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收益法 (元)" sheetId="67"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 name="土地案例" sheetId="81" r:id="rId47"/>
    <sheet name="Sheet3" sheetId="82"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5" i="39" l="1"/>
  <c r="G5" i="39"/>
  <c r="E5" i="39"/>
  <c r="I46" i="39"/>
  <c r="G46" i="39"/>
  <c r="E46" i="39"/>
  <c r="H70" i="39"/>
  <c r="I70" i="39" s="1"/>
  <c r="J70" i="39" s="1"/>
  <c r="K70" i="39" s="1"/>
  <c r="L70" i="39" s="1"/>
  <c r="M70" i="39" s="1"/>
  <c r="N70" i="39" s="1"/>
  <c r="O70" i="39" s="1"/>
  <c r="G70" i="39"/>
  <c r="I7" i="39"/>
  <c r="G7" i="39"/>
  <c r="E7" i="39"/>
  <c r="D33" i="43" l="1"/>
  <c r="N6" i="1"/>
  <c r="F19" i="6"/>
  <c r="D37" i="43" l="1"/>
  <c r="U3" i="43"/>
  <c r="U2" i="43"/>
  <c r="Y6" i="1"/>
  <c r="N19"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10" i="1" l="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L15" i="3" s="1"/>
  <c r="BN16" i="3"/>
  <c r="BN17" i="3"/>
  <c r="BP13" i="3"/>
  <c r="BP14" i="3"/>
  <c r="BP15" i="3"/>
  <c r="BP16" i="3"/>
  <c r="BP17" i="3"/>
  <c r="E19" i="6"/>
  <c r="K6" i="1" s="1"/>
  <c r="AP6" i="1" s="1"/>
  <c r="E20" i="6"/>
  <c r="K7" i="1" s="1"/>
  <c r="M7" i="1" s="1"/>
  <c r="O7" i="1" s="1"/>
  <c r="P7" i="1"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B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c r="F31" i="39"/>
  <c r="AA31"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J19" i="39"/>
  <c r="AC19" i="39" s="1"/>
  <c r="J17" i="39"/>
  <c r="AC17" i="39" s="1"/>
  <c r="J27" i="39"/>
  <c r="W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H21" i="39"/>
  <c r="AB21" i="39" s="1"/>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W31" i="39"/>
  <c r="AC31"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9" i="67"/>
  <c r="F7" i="15"/>
  <c r="B11" i="76"/>
  <c r="F40" i="67"/>
  <c r="M23" i="15"/>
  <c r="F38" i="15"/>
  <c r="B10" i="76"/>
  <c r="F7" i="67"/>
  <c r="M29" i="67"/>
  <c r="M29" i="15"/>
  <c r="E7" i="76"/>
  <c r="M9" i="15"/>
  <c r="M24" i="15"/>
  <c r="D5" i="73"/>
  <c r="E9" i="76"/>
  <c r="B12" i="76"/>
  <c r="E2" i="69"/>
  <c r="F42" i="67"/>
  <c r="B7" i="76"/>
  <c r="F16" i="67"/>
  <c r="E8" i="76"/>
  <c r="M22" i="15"/>
  <c r="E12" i="76"/>
  <c r="F6" i="67"/>
  <c r="F8" i="67"/>
  <c r="F6" i="15"/>
  <c r="F43" i="67"/>
  <c r="F13" i="15"/>
  <c r="J15" i="67"/>
  <c r="F6" i="73"/>
  <c r="B9" i="76"/>
  <c r="F26" i="15"/>
  <c r="F20" i="31"/>
  <c r="D3" i="73"/>
  <c r="M8" i="15"/>
  <c r="F8" i="15"/>
  <c r="L48" i="15"/>
  <c r="F37" i="67"/>
  <c r="F9" i="15"/>
  <c r="M24" i="67"/>
  <c r="M23" i="67"/>
  <c r="F43" i="15"/>
  <c r="L47" i="67"/>
  <c r="M6" i="67"/>
  <c r="M8" i="67"/>
  <c r="F7" i="73"/>
  <c r="E10" i="76"/>
  <c r="D6" i="73"/>
  <c r="F4" i="73"/>
  <c r="M6" i="15"/>
  <c r="M26" i="15"/>
  <c r="E13" i="76"/>
  <c r="D4" i="73"/>
  <c r="F16" i="15"/>
  <c r="F26" i="67"/>
  <c r="D35" i="9"/>
  <c r="M9" i="67"/>
  <c r="AO13" i="1"/>
  <c r="F36" i="67"/>
  <c r="M28" i="67"/>
  <c r="F3" i="73"/>
  <c r="J15" i="15"/>
  <c r="M22" i="67"/>
  <c r="F40" i="15"/>
  <c r="F13" i="67"/>
  <c r="F5" i="73"/>
  <c r="F38" i="67"/>
  <c r="B13" i="76"/>
  <c r="M26" i="67"/>
  <c r="E2" i="68"/>
  <c r="F37" i="15"/>
  <c r="B8" i="76"/>
  <c r="F42" i="15"/>
  <c r="L47" i="15"/>
  <c r="D7" i="73"/>
  <c r="F36" i="15"/>
  <c r="M28" i="15"/>
  <c r="E11" i="76"/>
  <c r="D34" i="9"/>
  <c r="L48" i="67"/>
  <c r="C76" i="15"/>
  <c r="D23" i="15" l="1"/>
  <c r="S9" i="39"/>
  <c r="W9" i="39"/>
  <c r="AA39" i="39"/>
  <c r="AB39" i="39"/>
  <c r="H123" i="39"/>
  <c r="I123" i="39" s="1"/>
  <c r="J123" i="39" s="1"/>
  <c r="K123" i="39" s="1"/>
  <c r="L123" i="39" s="1"/>
  <c r="M123" i="39" s="1"/>
  <c r="F41" i="39"/>
  <c r="S41" i="39" s="1"/>
  <c r="J41" i="39"/>
  <c r="W41" i="39" s="1"/>
  <c r="S42" i="39"/>
  <c r="U42" i="39"/>
  <c r="AA41" i="39"/>
  <c r="U41" i="39"/>
  <c r="H27" i="39"/>
  <c r="U27" i="39" s="1"/>
  <c r="F27" i="39"/>
  <c r="F100" i="39"/>
  <c r="G100" i="39" s="1"/>
  <c r="J23" i="39"/>
  <c r="AC23" i="39" s="1"/>
  <c r="S23" i="39"/>
  <c r="F21" i="39"/>
  <c r="AA21" i="39" s="1"/>
  <c r="G94" i="39"/>
  <c r="F90" i="39"/>
  <c r="H17" i="39"/>
  <c r="AB17" i="39" s="1"/>
  <c r="AC27" i="39"/>
  <c r="W17" i="39"/>
  <c r="U21" i="39"/>
  <c r="W25" i="39"/>
  <c r="AB27" i="39"/>
  <c r="U19" i="39"/>
  <c r="S19" i="39"/>
  <c r="W19" i="39"/>
  <c r="S38" i="39"/>
  <c r="S11" i="39"/>
  <c r="AB8" i="39"/>
  <c r="C18" i="9"/>
  <c r="D18" i="9" s="1"/>
  <c r="F8" i="1"/>
  <c r="G8" i="1" s="1"/>
  <c r="D55" i="43"/>
  <c r="D50" i="43"/>
  <c r="E50" i="43" s="1"/>
  <c r="B48" i="43" s="1"/>
  <c r="B41" i="1"/>
  <c r="C21" i="68"/>
  <c r="C40" i="69"/>
  <c r="BF5" i="3"/>
  <c r="BL5" i="3"/>
  <c r="BS5" i="3"/>
  <c r="F28" i="6" s="1"/>
  <c r="AZ15" i="3"/>
  <c r="G29" i="6"/>
  <c r="G28" i="6"/>
  <c r="G14" i="3"/>
  <c r="H5" i="3"/>
  <c r="BA5" i="3"/>
  <c r="G5" i="3"/>
  <c r="B3" i="3" s="1"/>
  <c r="E188" i="3" s="1"/>
  <c r="D19" i="53"/>
  <c r="B38" i="72" s="1"/>
  <c r="D16" i="53"/>
  <c r="B34" i="72" s="1"/>
  <c r="D21" i="53"/>
  <c r="B39" i="72" s="1"/>
  <c r="C24" i="12"/>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22" i="3"/>
  <c r="E514" i="3"/>
  <c r="E387" i="3"/>
  <c r="E69" i="3"/>
  <c r="E191" i="3"/>
  <c r="E385"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16" i="15"/>
  <c r="G1" i="73"/>
  <c r="D9" i="69"/>
  <c r="C16" i="67"/>
  <c r="C36" i="69"/>
  <c r="AC41" i="39" l="1"/>
  <c r="S27" i="39"/>
  <c r="AA27" i="39"/>
  <c r="W23" i="39"/>
  <c r="S21" i="39"/>
  <c r="U17" i="39"/>
  <c r="G90" i="39"/>
  <c r="F17" i="39"/>
  <c r="G16" i="1"/>
  <c r="F10" i="39" s="1"/>
  <c r="H26" i="43"/>
  <c r="N94" i="46"/>
  <c r="E445" i="3"/>
  <c r="E431" i="3"/>
  <c r="J7" i="36"/>
  <c r="E26" i="43"/>
  <c r="D26" i="43" s="1"/>
  <c r="C25" i="43" s="1"/>
  <c r="G26" i="43"/>
  <c r="J26" i="43"/>
  <c r="N370" i="46"/>
  <c r="F48" i="9"/>
  <c r="O52" i="9" s="1"/>
  <c r="F28" i="67"/>
  <c r="C28" i="67" s="1"/>
  <c r="F32" i="67"/>
  <c r="F60" i="67" s="1"/>
  <c r="F28" i="15"/>
  <c r="C28" i="15" s="1"/>
  <c r="F31" i="12"/>
  <c r="C31" i="12" s="1"/>
  <c r="F30" i="69"/>
  <c r="D68" i="9"/>
  <c r="M18" i="67"/>
  <c r="J18" i="67" s="1"/>
  <c r="M18" i="15"/>
  <c r="F30" i="68"/>
  <c r="F52" i="9"/>
  <c r="F32" i="15"/>
  <c r="F60" i="15" s="1"/>
  <c r="F54" i="9"/>
  <c r="F30" i="11"/>
  <c r="AI6" i="3"/>
  <c r="E135" i="3"/>
  <c r="E172" i="3"/>
  <c r="E189" i="3"/>
  <c r="AB6" i="3"/>
  <c r="E311" i="3"/>
  <c r="E579" i="3"/>
  <c r="E268" i="3"/>
  <c r="E109" i="3"/>
  <c r="E211" i="3"/>
  <c r="E489" i="3"/>
  <c r="E400" i="3"/>
  <c r="E327" i="3"/>
  <c r="E227" i="3"/>
  <c r="E214" i="3"/>
  <c r="E454" i="3"/>
  <c r="E465" i="3"/>
  <c r="K6" i="3"/>
  <c r="H6" i="3" s="1"/>
  <c r="AK6" i="3"/>
  <c r="E77" i="3"/>
  <c r="X6" i="3"/>
  <c r="E423" i="3"/>
  <c r="E161" i="3"/>
  <c r="E563" i="3"/>
  <c r="E215" i="3"/>
  <c r="M6" i="3"/>
  <c r="E201" i="3"/>
  <c r="E509" i="3"/>
  <c r="E526" i="3"/>
  <c r="E572" i="3"/>
  <c r="E182" i="3"/>
  <c r="E531" i="3"/>
  <c r="E485" i="3"/>
  <c r="E204" i="3"/>
  <c r="E74" i="3"/>
  <c r="E171" i="3"/>
  <c r="E468" i="3"/>
  <c r="E406" i="3"/>
  <c r="E133" i="3"/>
  <c r="E545" i="3"/>
  <c r="E273" i="3"/>
  <c r="E28" i="3"/>
  <c r="E345" i="3"/>
  <c r="Z6" i="3"/>
  <c r="E368" i="3"/>
  <c r="E315" i="3"/>
  <c r="E106" i="3"/>
  <c r="E587" i="3"/>
  <c r="E560" i="3"/>
  <c r="E228" i="3"/>
  <c r="E568" i="3"/>
  <c r="E246" i="3"/>
  <c r="E263" i="3"/>
  <c r="E535" i="3"/>
  <c r="E278" i="3"/>
  <c r="E335" i="3"/>
  <c r="E570" i="3"/>
  <c r="E247" i="3"/>
  <c r="AJ6" i="3"/>
  <c r="E217" i="3"/>
  <c r="E377" i="3"/>
  <c r="E70" i="3"/>
  <c r="E557" i="3"/>
  <c r="AO6" i="3"/>
  <c r="E89" i="3"/>
  <c r="E362" i="3"/>
  <c r="E146" i="3"/>
  <c r="E577" i="3"/>
  <c r="E472" i="3"/>
  <c r="E277" i="3"/>
  <c r="E181" i="3"/>
  <c r="E16" i="3"/>
  <c r="E59" i="40"/>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510" i="3"/>
  <c r="E539" i="3"/>
  <c r="E296" i="3"/>
  <c r="E149"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4" i="3"/>
  <c r="E198" i="3"/>
  <c r="E281" i="3"/>
  <c r="E332" i="3"/>
  <c r="E356" i="3"/>
  <c r="E42" i="3"/>
  <c r="E75" i="3"/>
  <c r="E428" i="3"/>
  <c r="E412" i="3"/>
  <c r="E96" i="3"/>
  <c r="E78" i="3"/>
  <c r="E190" i="3"/>
  <c r="E205" i="3"/>
  <c r="E244" i="3"/>
  <c r="E212" i="3"/>
  <c r="E173" i="3"/>
  <c r="E369" i="3"/>
  <c r="E525" i="3"/>
  <c r="E534" i="3"/>
  <c r="T6" i="3"/>
  <c r="E405" i="3"/>
  <c r="E456" i="3"/>
  <c r="E469" i="3"/>
  <c r="E512" i="3"/>
  <c r="E408" i="3"/>
  <c r="E451" i="3"/>
  <c r="E360" i="3"/>
  <c r="E556" i="3"/>
  <c r="E497" i="3"/>
  <c r="E13" i="3"/>
  <c r="E452" i="3"/>
  <c r="E470" i="3"/>
  <c r="E420" i="3"/>
  <c r="E26" i="3"/>
  <c r="E104" i="3"/>
  <c r="E41" i="3"/>
  <c r="E115" i="3"/>
  <c r="E139" i="3"/>
  <c r="E225" i="3"/>
  <c r="E243" i="3"/>
  <c r="E391" i="3"/>
  <c r="AL6" i="3"/>
  <c r="E94" i="3"/>
  <c r="E482" i="3"/>
  <c r="E18" i="3"/>
  <c r="E129" i="3"/>
  <c r="E174" i="3"/>
  <c r="E165" i="3"/>
  <c r="E148" i="3"/>
  <c r="E19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5" i="3"/>
  <c r="E543" i="3"/>
  <c r="E422" i="3"/>
  <c r="AH6" i="3"/>
  <c r="E483" i="3"/>
  <c r="E25" i="3"/>
  <c r="E202" i="3"/>
  <c r="E346" i="3"/>
  <c r="E60" i="3"/>
  <c r="E15" i="3"/>
  <c r="E100" i="3"/>
  <c r="E220" i="3"/>
  <c r="E235" i="3"/>
  <c r="E383" i="3"/>
  <c r="E522" i="3"/>
  <c r="E86" i="3"/>
  <c r="E49" i="3"/>
  <c r="E232" i="3"/>
  <c r="E370" i="3"/>
  <c r="E102" i="3"/>
  <c r="E113" i="3"/>
  <c r="E287" i="3"/>
  <c r="E326" i="3"/>
  <c r="E83" i="3"/>
  <c r="E493" i="3"/>
  <c r="E486" i="3"/>
  <c r="E490" i="3"/>
  <c r="E463" i="3"/>
  <c r="E226" i="3"/>
  <c r="E540" i="3"/>
  <c r="E137" i="3"/>
  <c r="E324" i="3"/>
  <c r="E342" i="3"/>
  <c r="E34" i="3"/>
  <c r="E251" i="3"/>
  <c r="E80" i="3"/>
  <c r="E308" i="3"/>
  <c r="E167" i="3"/>
  <c r="E564" i="3"/>
  <c r="E507" i="3"/>
  <c r="E419" i="3"/>
  <c r="E40" i="3"/>
  <c r="E119" i="3"/>
  <c r="E276" i="3"/>
  <c r="L6" i="3"/>
  <c r="E473" i="3"/>
  <c r="E38" i="3"/>
  <c r="E194" i="3"/>
  <c r="E219" i="3"/>
  <c r="E339" i="3"/>
  <c r="E392" i="3"/>
  <c r="E52" i="3"/>
  <c r="E112" i="3"/>
  <c r="E147" i="3"/>
  <c r="E340" i="3"/>
  <c r="E50" i="3"/>
  <c r="E62" i="3"/>
  <c r="E365" i="3"/>
  <c r="E536" i="3"/>
  <c r="E393" i="3"/>
  <c r="E427" i="3"/>
  <c r="E440" i="3"/>
  <c r="J6" i="3"/>
  <c r="E401" i="3"/>
  <c r="E108" i="3"/>
  <c r="E242" i="3"/>
  <c r="E333" i="3"/>
  <c r="E43" i="3"/>
  <c r="E455" i="3"/>
  <c r="E170" i="3"/>
  <c r="E234" i="3"/>
  <c r="E299" i="3"/>
  <c r="E325" i="3"/>
  <c r="AQ6" i="3"/>
  <c r="E36" i="3"/>
  <c r="E123" i="3"/>
  <c r="E289" i="3"/>
  <c r="E364" i="3"/>
  <c r="E20" i="3"/>
  <c r="E176" i="3"/>
  <c r="E265" i="3"/>
  <c r="E524" i="3"/>
  <c r="E376" i="3"/>
  <c r="E218" i="3"/>
  <c r="E140" i="3"/>
  <c r="E498" i="3"/>
  <c r="E178" i="3"/>
  <c r="E372" i="3"/>
  <c r="E79" i="3"/>
  <c r="E275" i="3"/>
  <c r="E35" i="3"/>
  <c r="E206" i="3"/>
  <c r="AF6" i="3"/>
  <c r="AC6" i="3" s="1"/>
  <c r="E158" i="3"/>
  <c r="E22" i="3"/>
  <c r="E101"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23"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329" i="3"/>
  <c r="E116" i="3"/>
  <c r="D18" i="53"/>
  <c r="B35" i="72" s="1"/>
  <c r="C7" i="74"/>
  <c r="J7" i="37"/>
  <c r="F7" i="36"/>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F1" i="67"/>
  <c r="Q52" i="67"/>
  <c r="Q60" i="15"/>
  <c r="Q73" i="15"/>
  <c r="Q61" i="67"/>
  <c r="Q74" i="67"/>
  <c r="Q74" i="15"/>
  <c r="Q61" i="15"/>
  <c r="AE11" i="1"/>
  <c r="AE9" i="1"/>
  <c r="F27" i="68"/>
  <c r="AE12" i="1"/>
  <c r="AE10" i="1"/>
  <c r="AE8" i="1"/>
  <c r="AE7" i="1"/>
  <c r="AE6" i="1"/>
  <c r="AA17" i="39" l="1"/>
  <c r="S17" i="39"/>
  <c r="E65" i="39"/>
  <c r="L36" i="43"/>
  <c r="N36" i="43" s="1"/>
  <c r="C32" i="15"/>
  <c r="C48" i="11"/>
  <c r="C30" i="11"/>
  <c r="F48" i="68"/>
  <c r="C30" i="68"/>
  <c r="C48" i="68"/>
  <c r="F48" i="69"/>
  <c r="C48" i="69"/>
  <c r="C30" i="6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F69" i="67" l="1"/>
  <c r="V2" i="43"/>
  <c r="M36" i="43"/>
  <c r="O36" i="43"/>
  <c r="P36" i="43"/>
  <c r="L37" i="43"/>
  <c r="O37" i="43" s="1"/>
  <c r="Q36" i="43"/>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34" i="69"/>
  <c r="D10" i="69"/>
  <c r="C17" i="15"/>
  <c r="C17" i="67"/>
  <c r="C14" i="67"/>
  <c r="H25" i="6" l="1"/>
  <c r="Q37" i="43"/>
  <c r="M37" i="43"/>
  <c r="N37" i="43"/>
  <c r="P37" i="4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I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19" i="9"/>
  <c r="D2" i="37"/>
  <c r="L51" i="15"/>
  <c r="D2" i="34"/>
  <c r="D102" i="9" l="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7" i="1"/>
  <c r="AO10" i="1"/>
  <c r="AO11" i="1"/>
  <c r="AO12" i="1"/>
  <c r="AO9" i="1"/>
  <c r="D20" i="9"/>
  <c r="AO8" i="1"/>
  <c r="R48" i="39" l="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C6" i="69" s="1"/>
  <c r="E52" i="39"/>
  <c r="F52" i="39" s="1"/>
  <c r="E51" i="39"/>
  <c r="F51" i="39" s="1"/>
  <c r="U7" i="40"/>
  <c r="AB7" i="40"/>
  <c r="T42" i="40" s="1"/>
  <c r="G42" i="40" s="1"/>
  <c r="AA7" i="40"/>
  <c r="R42" i="40" s="1"/>
  <c r="S7" i="40"/>
  <c r="AC7" i="40"/>
  <c r="V42" i="40" s="1"/>
  <c r="I42" i="40" s="1"/>
  <c r="W7" i="40"/>
  <c r="C7" i="69" l="1"/>
  <c r="C5" i="6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C42" i="40"/>
  <c r="C43" i="40"/>
  <c r="E47" i="40"/>
  <c r="F47" i="40" s="1"/>
  <c r="E46" i="40"/>
  <c r="F46" i="40" s="1"/>
  <c r="I47" i="40"/>
  <c r="J47" i="40" s="1"/>
  <c r="C28" i="69" l="1"/>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C31" i="69" l="1"/>
  <c r="C52" i="69" s="1"/>
  <c r="B2" i="69" s="1"/>
  <c r="C19" i="9"/>
  <c r="B3" i="69"/>
  <c r="C57" i="69" l="1"/>
  <c r="C56" i="69" s="1"/>
  <c r="C102" i="9"/>
  <c r="C21" i="9"/>
  <c r="D22" i="9"/>
  <c r="G19" i="9"/>
  <c r="G21" i="9" s="1"/>
  <c r="C20" i="9"/>
  <c r="C103" i="9" l="1"/>
  <c r="G20" i="9"/>
  <c r="C32" i="9" s="1"/>
  <c r="C35" i="9" s="1"/>
  <c r="C34" i="9" s="1"/>
  <c r="I118" i="9" l="1"/>
  <c r="C105" i="9" s="1"/>
  <c r="G118" i="9"/>
  <c r="F118" i="9" s="1"/>
  <c r="F4" i="52" s="1"/>
  <c r="B51" i="72" s="1"/>
  <c r="I4" i="52" l="1"/>
  <c r="E118" i="9"/>
  <c r="G4" i="52"/>
  <c r="B52" i="72" s="1"/>
  <c r="F119" i="9"/>
  <c r="F5" i="52" s="1"/>
  <c r="B53" i="72" s="1"/>
  <c r="H102" i="9"/>
  <c r="H118" i="9"/>
  <c r="D14" i="74" s="1"/>
  <c r="D118" i="9"/>
  <c r="E4" i="52"/>
  <c r="B48" i="72" s="1"/>
  <c r="B5" i="74" l="1"/>
  <c r="D5" i="74" s="1"/>
  <c r="E14" i="74"/>
  <c r="F14" i="74"/>
  <c r="H4" i="52"/>
  <c r="C104" i="9"/>
  <c r="H101" i="9"/>
  <c r="H119" i="9"/>
  <c r="H5" i="52" s="1"/>
  <c r="D7" i="53"/>
  <c r="B21" i="72" s="1"/>
  <c r="C5" i="74"/>
  <c r="D119" i="9"/>
  <c r="D5" i="52" s="1"/>
  <c r="B49" i="72" s="1"/>
  <c r="D4" i="52"/>
  <c r="B47" i="72" s="1"/>
  <c r="D45" i="9" l="1"/>
  <c r="D5" i="53"/>
  <c r="M48" i="9"/>
  <c r="H107" i="9"/>
  <c r="D122" i="9" l="1"/>
  <c r="G14" i="74" s="1"/>
  <c r="B6" i="74" s="1"/>
  <c r="D6" i="74" s="1"/>
  <c r="D13" i="53"/>
  <c r="H108" i="9"/>
  <c r="M49" i="9"/>
  <c r="D6" i="53"/>
  <c r="B22" i="72" s="1"/>
  <c r="B20" i="72"/>
  <c r="C78" i="9"/>
  <c r="C73" i="9" s="1"/>
  <c r="C85" i="9"/>
  <c r="D55" i="9"/>
  <c r="M53" i="9" s="1"/>
  <c r="C72" i="9"/>
  <c r="C93" i="9"/>
  <c r="C86" i="9" s="1"/>
  <c r="D53" i="9"/>
  <c r="C64" i="9"/>
  <c r="C63" i="9" s="1"/>
  <c r="C67" i="9" s="1"/>
  <c r="D52" i="9"/>
  <c r="C95" i="9" l="1"/>
  <c r="C96" i="9" s="1"/>
  <c r="E96" i="9" s="1"/>
  <c r="E97" i="9" s="1"/>
  <c r="L63" i="9"/>
  <c r="M63" i="9" s="1"/>
  <c r="L66" i="9"/>
  <c r="M66" i="9" s="1"/>
  <c r="L68" i="9"/>
  <c r="M68" i="9" s="1"/>
  <c r="L67" i="9"/>
  <c r="M67" i="9" s="1"/>
  <c r="L64" i="9"/>
  <c r="M64" i="9" s="1"/>
  <c r="L65" i="9"/>
  <c r="M65" i="9" s="1"/>
  <c r="C68" i="9"/>
  <c r="D54" i="9" s="1"/>
  <c r="D59" i="9"/>
  <c r="M55" i="9" s="1"/>
  <c r="C6" i="74"/>
  <c r="D15" i="53"/>
  <c r="B31" i="72" s="1"/>
  <c r="C79" i="9"/>
  <c r="B30" i="72"/>
  <c r="D14" i="53"/>
  <c r="B32" i="72" s="1"/>
  <c r="D8" i="52"/>
  <c r="D123" i="9"/>
  <c r="D9" i="52" s="1"/>
  <c r="C97" i="9"/>
  <c r="D58" i="9" s="1"/>
  <c r="D56" i="9" s="1"/>
  <c r="M54" i="9" s="1"/>
  <c r="N57" i="9" s="1"/>
  <c r="C80" i="9" l="1"/>
  <c r="E80" i="9" s="1"/>
  <c r="E81" i="9" s="1"/>
  <c r="M69" i="9"/>
  <c r="N69" i="9" s="1"/>
  <c r="N58" i="9"/>
  <c r="P57" i="9"/>
  <c r="N59" i="9"/>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<sst xmlns="http://schemas.openxmlformats.org/spreadsheetml/2006/main" count="8409" uniqueCount="3648">
  <si>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</si>
  <si>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</si>
  <si>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</si>
  <si>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</si>
  <si>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</si>
  <si>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</si>
  <si>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</si>
  <si>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</si>
  <si>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</si>
  <si>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</si>
  <si>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</si>
  <si>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</si>
  <si>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</si>
  <si>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</si>
  <si>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</si>
  <si>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</si>
  <si>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</si>
  <si>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</si>
  <si>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</si>
  <si>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</si>
  <si>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</si>
  <si>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</si>
  <si>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</si>
  <si>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</si>
  <si>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</si>
  <si>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</si>
  <si>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</si>
  <si>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</si>
  <si>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</si>
  <si>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</si>
  <si>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</si>
  <si>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</si>
  <si>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</si>
  <si>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</si>
  <si>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</si>
  <si>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</si>
  <si>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</si>
  <si>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</si>
  <si>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</si>
  <si>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</si>
  <si>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</si>
  <si>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</si>
  <si>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</si>
  <si>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</si>
  <si>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</si>
  <si>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</si>
  <si>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</si>
  <si>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</si>
  <si>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</si>
  <si>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</si>
  <si>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</si>
  <si>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</si>
  <si>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</si>
  <si>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</si>
  <si>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</si>
  <si>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</si>
  <si>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</si>
  <si>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</si>
  <si>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</si>
  <si>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</si>
  <si>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</si>
  <si>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</si>
  <si>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</si>
  <si>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</si>
  <si>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</si>
  <si>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</si>
  <si>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</si>
  <si>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</si>
  <si>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</si>
  <si>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</si>
  <si>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</si>
  <si>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</si>
  <si>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</si>
  <si>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</si>
  <si>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</si>
  <si>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</si>
  <si>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</si>
  <si>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</si>
  <si>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</si>
  <si>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</si>
  <si>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</si>
  <si>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</si>
  <si>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</si>
  <si>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</si>
  <si>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</si>
  <si>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</si>
  <si>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</si>
  <si>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</si>
  <si>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</si>
  <si>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</si>
  <si>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</si>
  <si>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</si>
  <si>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</si>
  <si>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</si>
  <si>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</si>
  <si>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</si>
  <si>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</si>
  <si>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</si>
  <si>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</si>
  <si>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</si>
  <si>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</si>
  <si>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</si>
  <si>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</si>
  <si>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</si>
  <si>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</si>
  <si>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</si>
  <si>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</si>
  <si>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</si>
  <si>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</si>
  <si>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</si>
  <si>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</si>
  <si>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</si>
  <si>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</si>
  <si>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</si>
  <si>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</si>
  <si>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</si>
  <si>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</si>
  <si>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</si>
  <si>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</si>
  <si>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</si>
  <si>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</si>
  <si>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</si>
  <si>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</si>
  <si>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</si>
  <si>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</si>
  <si>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</si>
  <si>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</si>
  <si>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</si>
  <si>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</si>
  <si>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</si>
  <si>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</si>
  <si>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</si>
  <si>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</si>
  <si>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</si>
  <si>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</si>
  <si>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</si>
  <si>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</si>
  <si>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</si>
  <si>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</si>
  <si>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</si>
  <si>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</si>
  <si>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</si>
  <si>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</si>
  <si>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</si>
  <si>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</si>
  <si>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</si>
  <si>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</si>
  <si>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</si>
  <si>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</si>
  <si>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</si>
  <si>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</si>
  <si>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</si>
  <si>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</si>
  <si>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</si>
  <si>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</si>
  <si>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</si>
  <si>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</si>
  <si>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</si>
  <si>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</si>
  <si>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</si>
  <si>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</si>
  <si>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</si>
  <si>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</si>
  <si>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</si>
  <si>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</si>
  <si>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</si>
  <si>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</si>
  <si>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</si>
  <si>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</si>
  <si>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</si>
  <si>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</si>
  <si>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</si>
  <si>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</si>
  <si>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</si>
  <si>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</si>
  <si>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</si>
  <si>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</si>
  <si>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</si>
  <si>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</si>
  <si>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</si>
  <si>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</si>
  <si>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</si>
  <si>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</si>
  <si>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</si>
  <si>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</si>
  <si>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</si>
  <si>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</si>
  <si>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</si>
  <si>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</si>
  <si>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</si>
  <si>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</si>
  <si>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</si>
  <si>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</si>
  <si>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</si>
  <si>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</si>
  <si>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</si>
  <si>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</si>
  <si>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</si>
  <si>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</si>
  <si>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</si>
  <si>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</si>
  <si>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</si>
  <si>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</si>
  <si>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</si>
  <si>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</si>
  <si>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</si>
  <si>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</si>
  <si>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</si>
  <si>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</si>
  <si>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</si>
  <si>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</si>
  <si>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</si>
  <si>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</si>
  <si>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</si>
  <si>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</si>
  <si>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</si>
  <si>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</si>
  <si>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</si>
  <si>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</si>
  <si>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</si>
  <si>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</si>
  <si>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</si>
  <si>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</si>
  <si>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</si>
  <si>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</si>
  <si>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</si>
  <si>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</si>
  <si>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</si>
  <si>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</si>
  <si>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</si>
  <si>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</si>
  <si>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</si>
  <si>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</si>
  <si>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</si>
  <si>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</si>
  <si>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</si>
  <si>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</si>
  <si>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</si>
  <si>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</si>
  <si>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</si>
  <si>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</si>
  <si>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</si>
  <si>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</si>
  <si>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</si>
  <si>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</si>
  <si>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</si>
  <si>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</si>
  <si>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</si>
  <si>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</si>
  <si>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</si>
  <si>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</si>
  <si>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</si>
  <si>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</si>
  <si>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</si>
  <si>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</si>
  <si>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</si>
  <si>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</si>
  <si>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</si>
  <si>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</si>
  <si>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</si>
  <si>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</si>
  <si>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</si>
  <si>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</si>
  <si>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</si>
  <si>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</si>
  <si>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</si>
  <si>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</si>
  <si>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</si>
  <si>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</si>
  <si>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</si>
  <si>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</si>
  <si>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</si>
  <si>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</si>
  <si>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</si>
  <si>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</si>
  <si>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</si>
  <si>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</si>
  <si>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</si>
  <si>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</si>
  <si>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</si>
  <si>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</si>
  <si>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</si>
  <si>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</si>
  <si>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</si>
  <si>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</si>
  <si>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</si>
  <si>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</si>
  <si>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</si>
  <si>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</si>
  <si>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</si>
  <si>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</si>
  <si>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</si>
  <si>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</si>
  <si>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</si>
  <si>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</si>
  <si>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</si>
  <si>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</si>
  <si>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</si>
  <si>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</si>
  <si>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</si>
  <si>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</si>
  <si>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</si>
  <si>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</si>
  <si>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</si>
  <si>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</si>
  <si>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</si>
  <si>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</si>
  <si>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</si>
  <si>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</si>
  <si>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</si>
  <si>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</si>
  <si>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</si>
  <si>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</si>
  <si>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</si>
  <si>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</si>
  <si>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</si>
  <si>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</si>
  <si>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</si>
  <si>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</si>
  <si>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</si>
  <si>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</si>
  <si>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</si>
  <si>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</si>
  <si>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</si>
  <si>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</si>
  <si>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</si>
  <si>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</si>
  <si>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</si>
  <si>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</si>
  <si>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</si>
  <si>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</si>
  <si>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</si>
  <si>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</si>
  <si>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</si>
  <si>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</si>
  <si>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</si>
  <si>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</si>
  <si>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</si>
  <si>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</si>
  <si>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</si>
  <si>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</si>
  <si>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</si>
  <si>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</si>
  <si>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</si>
  <si>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</si>
  <si>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</si>
  <si>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</si>
  <si>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</si>
  <si>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</si>
  <si>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</si>
  <si>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</si>
  <si>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</si>
  <si>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</si>
  <si>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</si>
  <si>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</si>
  <si>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</si>
  <si>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</si>
  <si>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</si>
  <si>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</si>
  <si>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</si>
  <si>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</si>
  <si>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</si>
  <si>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</si>
  <si>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</si>
  <si>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</si>
  <si>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</si>
  <si>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</si>
  <si>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</si>
  <si>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</si>
  <si>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</si>
  <si>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</si>
  <si>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</si>
  <si>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</si>
  <si>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</si>
  <si>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</si>
  <si>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</si>
  <si>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</si>
  <si>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</si>
  <si>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</si>
  <si>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</si>
  <si>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</si>
  <si>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</si>
  <si>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</si>
  <si>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</si>
  <si>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</si>
  <si>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</si>
  <si>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</si>
  <si>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</si>
  <si>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</si>
  <si>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</si>
  <si>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</si>
  <si>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</si>
  <si>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</si>
  <si>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</si>
  <si>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</si>
  <si>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</si>
  <si>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</si>
  <si>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</si>
  <si>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</si>
  <si>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</si>
  <si>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</si>
  <si>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</si>
  <si>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</si>
  <si>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</si>
  <si>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</si>
  <si>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</si>
  <si>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</si>
  <si>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</si>
  <si>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</si>
  <si>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</si>
  <si>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</si>
  <si>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</si>
  <si>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</si>
  <si>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</si>
  <si>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</si>
  <si>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</si>
  <si>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</si>
  <si>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</si>
  <si>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</si>
  <si>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</si>
  <si>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</si>
  <si>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</si>
  <si>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</si>
  <si>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</si>
  <si>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</si>
  <si>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</si>
  <si>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</si>
  <si>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</si>
  <si>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</si>
  <si>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</si>
  <si>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</si>
  <si>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</si>
  <si>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</si>
  <si>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</si>
  <si>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</si>
  <si>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</si>
  <si>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</si>
  <si>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</si>
  <si>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</si>
  <si>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</si>
  <si>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</si>
  <si>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</si>
  <si>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</si>
  <si>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</si>
  <si>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</si>
  <si>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</si>
  <si>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</si>
  <si>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</si>
  <si>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</si>
  <si>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</si>
  <si>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</si>
  <si>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</si>
  <si>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</si>
  <si>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</si>
  <si>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</si>
  <si>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</si>
  <si>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</si>
  <si>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</si>
  <si>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</si>
  <si>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</si>
  <si>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</si>
  <si>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</si>
  <si>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</si>
  <si>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</si>
  <si>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</si>
  <si>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</si>
  <si>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</si>
  <si>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</si>
  <si>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</si>
  <si>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</si>
  <si>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</si>
  <si>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</si>
  <si>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</si>
  <si>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</si>
  <si>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</si>
  <si>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</si>
  <si>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</si>
  <si>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</si>
  <si>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</si>
  <si>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</si>
  <si>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</si>
  <si>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</si>
  <si>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</si>
  <si>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</si>
  <si>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</si>
  <si>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</si>
  <si>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</si>
  <si>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</si>
  <si>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</si>
  <si>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</si>
  <si>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</si>
  <si>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</si>
  <si>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</si>
  <si>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</si>
  <si>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</si>
  <si>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</si>
  <si>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</si>
  <si>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</si>
  <si>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</si>
  <si>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</si>
  <si>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</si>
  <si>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</si>
  <si>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</si>
  <si>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</si>
  <si>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</si>
  <si>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</si>
  <si>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</si>
  <si>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</si>
  <si>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</si>
  <si>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</si>
  <si>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</si>
  <si>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</si>
  <si>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</si>
  <si>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</si>
  <si>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</si>
  <si>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</si>
  <si>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</si>
  <si>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</si>
  <si>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</si>
  <si>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</si>
  <si>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</si>
  <si>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</si>
  <si>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</si>
  <si>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</si>
  <si>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</si>
  <si>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</si>
  <si>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</si>
  <si>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</si>
  <si>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</si>
  <si>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</si>
  <si>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</si>
  <si>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</si>
  <si>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</si>
  <si>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</si>
  <si>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</si>
  <si>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</si>
  <si>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</si>
  <si>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</si>
  <si>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</si>
  <si>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</si>
  <si>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</si>
  <si>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</si>
  <si>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</si>
  <si>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</si>
  <si>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</si>
  <si>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</si>
  <si>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</si>
  <si>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</si>
  <si>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</si>
  <si>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</si>
  <si>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</si>
  <si>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</si>
  <si>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</si>
  <si>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</si>
  <si>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</si>
  <si>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</si>
  <si>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</si>
  <si>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</si>
  <si>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</si>
  <si>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</si>
  <si>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</si>
  <si>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</si>
  <si>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</si>
  <si>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</si>
  <si>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</si>
  <si>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</si>
  <si>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</si>
  <si>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</si>
  <si>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</si>
  <si>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</si>
  <si>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</si>
  <si>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</si>
  <si>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</si>
  <si>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</si>
  <si>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</si>
  <si>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</si>
  <si>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</si>
  <si>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</si>
  <si>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</si>
  <si>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</si>
  <si>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</si>
  <si>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</si>
  <si>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</si>
  <si>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</si>
  <si>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</si>
  <si>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</si>
  <si>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</si>
  <si>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</si>
  <si>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</si>
  <si>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</si>
  <si>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</si>
  <si>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</si>
  <si>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</si>
  <si>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</si>
  <si>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</si>
  <si>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</si>
  <si>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</si>
  <si>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</si>
  <si>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</si>
  <si>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</si>
  <si>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</si>
  <si>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</si>
  <si>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</si>
  <si>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</si>
  <si>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</si>
  <si>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</si>
  <si>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</si>
  <si>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</si>
  <si>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</si>
  <si>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</si>
  <si>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</si>
  <si>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</si>
  <si>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</si>
  <si>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</si>
  <si>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</si>
  <si>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</si>
  <si>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</si>
  <si>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</si>
  <si>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</si>
  <si>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</si>
  <si>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</si>
  <si>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</si>
  <si>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</si>
  <si>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</si>
  <si>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</si>
  <si>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</si>
  <si>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</si>
  <si>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</si>
  <si>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</si>
  <si>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</si>
  <si>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</si>
  <si>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</si>
  <si>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</si>
  <si>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</si>
  <si>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</si>
  <si>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</si>
  <si>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</si>
  <si>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</si>
  <si>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</si>
  <si>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</si>
  <si>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</si>
  <si>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</si>
  <si>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</si>
  <si>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</si>
  <si>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</si>
  <si>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</si>
  <si>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</si>
  <si>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</si>
  <si>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</si>
  <si>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</si>
  <si>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</si>
  <si>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</si>
  <si>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</si>
  <si>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</si>
  <si>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</si>
  <si>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</si>
  <si>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</si>
  <si>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</si>
  <si>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</si>
  <si>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</si>
  <si>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</si>
  <si>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</si>
  <si>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</si>
  <si>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</si>
  <si>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</si>
  <si>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</si>
  <si>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</si>
  <si>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</si>
  <si>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</si>
  <si>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</si>
  <si>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</si>
  <si>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</si>
  <si>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</si>
  <si>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</si>
  <si>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</si>
  <si>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</si>
  <si>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</si>
  <si>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</si>
  <si>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</si>
  <si>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</si>
  <si>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</si>
  <si>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</si>
  <si>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</si>
  <si>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</si>
  <si>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</si>
  <si>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</si>
  <si>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</si>
  <si>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</si>
  <si>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</si>
  <si>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</si>
  <si>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</si>
  <si>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</si>
  <si>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</si>
  <si>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</si>
  <si>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</si>
  <si>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</si>
  <si>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</si>
  <si>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</si>
  <si>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</si>
  <si>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</si>
  <si>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</si>
  <si>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</si>
  <si>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</si>
  <si>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</si>
  <si>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</si>
  <si>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</si>
  <si>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</si>
  <si>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</si>
  <si>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</si>
  <si>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</si>
  <si>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</si>
  <si>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</si>
  <si>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</si>
  <si>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</si>
  <si>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</si>
  <si>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</si>
  <si>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</si>
  <si>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</si>
  <si>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</si>
  <si>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</si>
  <si>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</si>
  <si>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</si>
  <si>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</si>
  <si>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</si>
  <si>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</si>
  <si>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</si>
  <si>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</si>
  <si>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</si>
  <si>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</si>
  <si>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</si>
  <si>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</si>
  <si>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</si>
  <si>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</si>
  <si>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</si>
  <si>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</si>
  <si>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</si>
  <si>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</si>
  <si>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</si>
  <si>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</si>
  <si>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</si>
  <si>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</si>
  <si>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</si>
  <si>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</si>
  <si>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</si>
  <si>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</si>
  <si>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</si>
  <si>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</si>
  <si>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</si>
  <si>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</si>
  <si>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</si>
  <si>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</si>
  <si>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</si>
  <si>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</si>
  <si>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</si>
  <si>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</si>
  <si>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</si>
  <si>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</si>
  <si>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</si>
  <si>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</si>
  <si>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</si>
  <si>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</si>
  <si>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</si>
  <si>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</si>
  <si>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</si>
  <si>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</si>
  <si>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</si>
  <si>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</si>
  <si>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</si>
  <si>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</si>
  <si>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</si>
  <si>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</si>
  <si>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</si>
  <si>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</si>
  <si>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</si>
  <si>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</si>
  <si>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</si>
  <si>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</si>
  <si>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</si>
  <si>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</si>
  <si>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</si>
  <si>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</si>
  <si>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</si>
  <si>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</si>
  <si>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</si>
  <si>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</si>
  <si>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</si>
  <si>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</si>
  <si>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</si>
  <si>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</si>
  <si>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</si>
  <si>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</si>
  <si>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</si>
  <si>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</si>
  <si>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</si>
  <si>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</si>
  <si>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</si>
  <si>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</si>
  <si>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</si>
  <si>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</si>
  <si>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</si>
  <si>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</si>
  <si>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</si>
  <si>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</si>
  <si>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</si>
  <si>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</si>
  <si>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</si>
  <si>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</si>
  <si>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</si>
  <si>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</si>
  <si>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</si>
  <si>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</si>
  <si>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</si>
  <si>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</si>
  <si>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</si>
  <si>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</si>
  <si>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</si>
  <si>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</si>
  <si>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</si>
  <si>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</si>
  <si>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</si>
  <si>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</si>
  <si>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</si>
  <si>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</si>
  <si>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</si>
  <si>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</si>
  <si>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</si>
  <si>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</si>
  <si>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</si>
  <si>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</si>
  <si>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</si>
  <si>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</si>
  <si>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</si>
  <si>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</si>
  <si>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</si>
  <si>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</si>
  <si>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</si>
  <si>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</si>
  <si>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</si>
  <si>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</si>
  <si>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</si>
  <si>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</si>
  <si>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</si>
  <si>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</si>
  <si>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</si>
  <si>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</si>
  <si>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</si>
  <si>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</si>
  <si>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</si>
  <si>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</si>
  <si>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</si>
  <si>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</si>
  <si>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</si>
  <si>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</si>
  <si>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</si>
  <si>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</si>
  <si>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</si>
  <si>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</si>
  <si>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</si>
  <si>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</si>
  <si>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</si>
  <si>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</si>
  <si>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</si>
  <si>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</si>
  <si>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</si>
  <si>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</si>
  <si>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</si>
  <si>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</si>
  <si>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</si>
  <si>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</si>
  <si>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</si>
  <si>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</si>
  <si>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</si>
  <si>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</si>
  <si>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</si>
  <si>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</si>
  <si>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</si>
  <si>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</si>
  <si>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</si>
  <si>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</si>
  <si>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</si>
  <si>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</si>
  <si>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</si>
  <si>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</si>
  <si>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</si>
  <si>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</si>
  <si>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</si>
  <si>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</si>
  <si>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</si>
  <si>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</si>
  <si>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</si>
  <si>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</si>
  <si>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</si>
  <si>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</si>
  <si>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</si>
  <si>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</si>
  <si>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</si>
  <si>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</si>
  <si>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</si>
  <si>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</si>
  <si>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</si>
  <si>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</si>
  <si>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</si>
  <si>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</si>
  <si>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</si>
  <si>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</si>
  <si>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</si>
  <si>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</si>
  <si>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</si>
  <si>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</si>
  <si>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</si>
  <si>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</si>
  <si>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</si>
  <si>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</si>
  <si>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</si>
  <si>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</si>
  <si>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</si>
  <si>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</si>
  <si>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</si>
  <si>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</si>
  <si>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</si>
  <si>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</si>
  <si>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</si>
  <si>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</si>
  <si>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</si>
  <si>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</si>
  <si>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</si>
  <si>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</si>
  <si>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</si>
  <si>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</si>
  <si>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</si>
  <si>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</si>
  <si>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</si>
  <si>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</si>
  <si>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</si>
  <si>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</si>
  <si>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</si>
  <si>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</si>
  <si>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</si>
  <si>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</si>
  <si>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</si>
  <si>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</si>
  <si>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</si>
  <si>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</si>
  <si>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</si>
  <si>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</si>
  <si>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</si>
  <si>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</si>
  <si>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</si>
  <si>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</si>
  <si>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</si>
  <si>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</si>
  <si>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</si>
  <si>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</si>
  <si>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</si>
  <si>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</si>
  <si>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</si>
  <si>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</si>
  <si>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</si>
  <si>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</si>
  <si>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</si>
  <si>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</si>
  <si>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</si>
  <si>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</si>
  <si>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</si>
  <si>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</si>
  <si>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</si>
  <si>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</si>
  <si>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</si>
  <si>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</si>
  <si>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</si>
  <si>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</si>
  <si>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</si>
  <si>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</si>
  <si>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</si>
  <si>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</si>
  <si>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</si>
  <si>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</si>
  <si>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</si>
  <si>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</si>
  <si>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</si>
  <si>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</si>
  <si>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</si>
  <si>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</si>
  <si>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</si>
  <si>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</si>
  <si>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</si>
  <si>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</si>
  <si>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</si>
  <si>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</si>
  <si>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</si>
  <si>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</si>
  <si>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</si>
  <si>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</si>
  <si>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</si>
  <si>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</si>
  <si>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</si>
  <si>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</si>
  <si>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</si>
  <si>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</si>
  <si>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</si>
  <si>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</si>
  <si>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</si>
  <si>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</si>
  <si>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</si>
  <si>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</si>
  <si>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</si>
  <si>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</si>
  <si>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</si>
  <si>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</si>
  <si>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</si>
  <si>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</si>
  <si>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</si>
  <si>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</si>
  <si>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</si>
  <si>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</si>
  <si>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</si>
  <si>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</si>
  <si>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</si>
  <si>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</si>
  <si>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</si>
  <si>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</si>
  <si>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</si>
  <si>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</si>
  <si>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</si>
  <si>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</si>
  <si>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</si>
  <si>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</si>
  <si>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</si>
  <si>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</si>
  <si>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</si>
  <si>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</si>
  <si>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</si>
  <si>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</si>
  <si>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</si>
  <si>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</si>
  <si>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</si>
  <si>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</si>
  <si>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</si>
  <si>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</si>
  <si>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</si>
  <si>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</si>
  <si>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</si>
  <si>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</si>
  <si>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</si>
  <si>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</si>
  <si>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</si>
  <si>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</si>
  <si>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</si>
  <si>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</si>
  <si>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</si>
  <si>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</si>
  <si>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</si>
  <si>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</si>
  <si>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</si>
  <si>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</si>
  <si>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</si>
  <si>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</si>
  <si>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</si>
  <si>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</si>
  <si>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</si>
  <si>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</si>
  <si>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</si>
  <si>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</si>
  <si>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</si>
  <si>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</si>
  <si>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</si>
  <si>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</si>
  <si>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</si>
  <si>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</si>
  <si>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</si>
  <si>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</si>
  <si>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</si>
  <si>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</si>
  <si>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</si>
  <si>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</si>
  <si>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</si>
  <si>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</si>
  <si>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</si>
  <si>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</si>
  <si>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</si>
  <si>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</si>
  <si>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</si>
  <si>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</si>
  <si>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</si>
  <si>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</si>
  <si>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</si>
  <si>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</si>
  <si>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</si>
  <si>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</si>
  <si>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</si>
  <si>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</si>
  <si>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</si>
  <si>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</si>
  <si>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</si>
  <si>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</si>
  <si>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</si>
  <si>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</si>
  <si>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</si>
  <si>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</si>
  <si>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</si>
  <si>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</si>
  <si>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</si>
  <si>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</si>
  <si>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</si>
  <si>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</si>
  <si>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</si>
  <si>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</si>
  <si>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</si>
  <si>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</si>
  <si>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</si>
  <si>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</si>
  <si>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</si>
  <si>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</si>
  <si>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</si>
  <si>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</si>
  <si>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</si>
  <si>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</si>
  <si>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</si>
  <si>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</si>
  <si>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</si>
  <si>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</si>
  <si>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</si>
  <si>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</si>
  <si>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</si>
  <si>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</si>
  <si>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</si>
  <si>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</si>
  <si>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</si>
  <si>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</si>
  <si>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</si>
  <si>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</si>
  <si>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</si>
  <si>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</si>
  <si>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</si>
  <si>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</si>
  <si>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</si>
  <si>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</si>
  <si>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</si>
  <si>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</si>
  <si>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</si>
  <si>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</si>
  <si>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</si>
  <si>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</si>
  <si>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</si>
  <si>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</si>
  <si>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</si>
  <si>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</si>
  <si>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</si>
  <si>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</si>
  <si>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</si>
  <si>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</si>
  <si>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</si>
  <si>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</si>
  <si>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</si>
  <si>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</si>
  <si>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</si>
  <si>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</si>
  <si>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</si>
  <si>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</si>
  <si>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</si>
  <si>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</si>
  <si>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</si>
  <si>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</si>
  <si>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</si>
  <si>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</si>
  <si>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</si>
  <si>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</si>
  <si>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</si>
  <si>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</si>
  <si>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</si>
  <si>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</si>
  <si>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</si>
  <si>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</si>
  <si>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</si>
  <si>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</si>
  <si>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</si>
  <si>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</si>
  <si>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</si>
  <si>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</si>
  <si>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</si>
  <si>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</si>
  <si>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</si>
  <si>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</si>
  <si>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</si>
  <si>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</si>
  <si>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</si>
  <si>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</si>
  <si>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</si>
  <si>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</si>
  <si>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</si>
  <si>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</si>
  <si>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</si>
  <si>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</si>
  <si>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</si>
  <si>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</si>
  <si>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</si>
  <si>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</si>
  <si>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</si>
  <si>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</si>
  <si>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</si>
  <si>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</si>
  <si>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</si>
  <si>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</si>
  <si>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</si>
  <si>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</si>
  <si>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</si>
  <si>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</si>
  <si>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</si>
  <si>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</si>
  <si>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</si>
  <si>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</si>
  <si>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</si>
  <si>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</si>
  <si>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</si>
  <si>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</si>
  <si>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</si>
  <si>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</si>
  <si>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</si>
  <si>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</si>
  <si>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</si>
  <si>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</si>
  <si>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</si>
  <si>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</si>
  <si>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</si>
  <si>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</si>
  <si>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</si>
  <si>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</si>
  <si>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</si>
  <si>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</si>
  <si>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</si>
  <si>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</si>
  <si>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</si>
  <si>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</si>
  <si>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</si>
  <si>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</si>
  <si>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</si>
  <si>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</si>
  <si>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</si>
  <si>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</si>
  <si>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</si>
  <si>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</si>
  <si>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</si>
  <si>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</si>
  <si>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</si>
  <si>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</si>
  <si>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</si>
  <si>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</si>
  <si>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</si>
  <si>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</si>
  <si>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</si>
  <si>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</si>
  <si>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</si>
  <si>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</si>
  <si>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</si>
  <si>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</si>
  <si>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</si>
  <si>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</si>
  <si>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</si>
  <si>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</si>
  <si>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</si>
  <si>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</si>
  <si>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</si>
  <si>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</si>
  <si>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</si>
  <si>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</si>
  <si>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</si>
  <si>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</si>
  <si>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</si>
  <si>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</si>
  <si>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</si>
  <si>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</si>
  <si>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</si>
  <si>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</si>
  <si>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</si>
  <si>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</si>
  <si>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</si>
  <si>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</si>
  <si>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</si>
  <si>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</si>
  <si>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</si>
  <si>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</si>
  <si>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</si>
  <si>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</si>
  <si>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</si>
  <si>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</si>
  <si>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</si>
  <si>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</si>
  <si>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</si>
  <si>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</si>
  <si>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</si>
  <si>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</si>
  <si>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</si>
  <si>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</si>
  <si>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</si>
  <si>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</si>
  <si>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</si>
  <si>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</si>
  <si>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</si>
  <si>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</si>
  <si>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</si>
  <si>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</si>
  <si>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</si>
  <si>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</si>
  <si>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</si>
  <si>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</si>
  <si>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</si>
  <si>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</si>
  <si>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</si>
  <si>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</si>
  <si>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</si>
  <si>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</si>
  <si>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</si>
  <si>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</si>
  <si>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</si>
  <si>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</si>
  <si>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</si>
  <si>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</si>
  <si>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</si>
  <si>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</si>
  <si>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</si>
  <si>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</si>
  <si>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</si>
  <si>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</si>
  <si>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</si>
  <si>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</si>
  <si>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</si>
  <si>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</si>
  <si>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</si>
  <si>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</si>
  <si>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</si>
  <si>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</si>
  <si>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</si>
  <si>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</si>
  <si>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</si>
  <si>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</si>
  <si>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</si>
  <si>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</si>
  <si>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</si>
  <si>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</si>
  <si>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</si>
  <si>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</si>
  <si>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</si>
  <si>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</si>
  <si>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</si>
  <si>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</si>
  <si>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</si>
  <si>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</si>
  <si>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</si>
  <si>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</si>
  <si>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</si>
  <si>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</si>
  <si>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</si>
  <si>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</si>
  <si>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</si>
  <si>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</si>
  <si>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</si>
  <si>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</si>
  <si>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</si>
  <si>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</si>
  <si>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</si>
  <si>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</si>
  <si>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</si>
  <si>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</si>
  <si>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</si>
  <si>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</si>
  <si>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</si>
  <si>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</si>
  <si>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</si>
  <si>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</si>
  <si>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</si>
  <si>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</si>
  <si>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</si>
  <si>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</si>
  <si>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</si>
  <si>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</si>
  <si>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</si>
  <si>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</si>
  <si>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</si>
  <si>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</si>
  <si>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</si>
  <si>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</si>
  <si>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</si>
  <si>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</si>
  <si>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</si>
  <si>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</si>
  <si>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</si>
  <si>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</si>
  <si>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</si>
  <si>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</si>
  <si>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</si>
  <si>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</si>
  <si>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</si>
  <si>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</si>
  <si>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</si>
  <si>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</si>
  <si>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</si>
  <si>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</si>
  <si>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</si>
  <si>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</si>
  <si>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</si>
  <si>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</si>
  <si>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</si>
  <si>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</si>
  <si>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</si>
  <si>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</si>
  <si>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</si>
  <si>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</si>
  <si>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</si>
  <si>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</si>
  <si>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</si>
  <si>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</si>
  <si>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</si>
  <si>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</si>
  <si>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</si>
  <si>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</si>
  <si>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</si>
  <si>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</si>
  <si>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</si>
  <si>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</si>
  <si>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</si>
  <si>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</si>
  <si>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</si>
  <si>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</si>
  <si>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</si>
  <si>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</si>
  <si>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</si>
  <si>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</si>
  <si>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</si>
  <si>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</si>
  <si>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</si>
  <si>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</si>
  <si>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</si>
  <si>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</si>
  <si>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</si>
  <si>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</si>
  <si>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</si>
  <si>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</si>
  <si>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</si>
  <si>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</si>
  <si>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</si>
  <si>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</si>
  <si>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</si>
  <si>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</si>
  <si>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</si>
  <si>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</si>
  <si>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</si>
  <si>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</si>
  <si>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</si>
  <si>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</si>
  <si>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</si>
  <si>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</si>
  <si>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</si>
  <si>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</si>
  <si>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</si>
  <si>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</si>
  <si>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</si>
  <si>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</si>
  <si>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</si>
  <si>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</si>
  <si>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</si>
  <si>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</si>
  <si>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</si>
  <si>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</si>
  <si>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</si>
  <si>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</si>
  <si>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</si>
  <si>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</si>
  <si>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</si>
  <si>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</si>
  <si>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</si>
  <si>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</si>
  <si>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</si>
  <si>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</si>
  <si>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</si>
  <si>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</si>
  <si>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</si>
  <si>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</si>
  <si>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</si>
  <si>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</si>
  <si>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</si>
  <si>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</si>
  <si>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</si>
  <si>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</si>
  <si>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</si>
  <si>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</si>
  <si>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</si>
  <si>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</si>
  <si>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</si>
  <si>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</si>
  <si>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</si>
  <si>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</si>
  <si>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</si>
  <si>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</si>
  <si>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</si>
  <si>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</si>
  <si>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</si>
  <si>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</si>
  <si>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</si>
  <si>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</si>
  <si>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</si>
  <si>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</si>
  <si>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</si>
  <si>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</si>
  <si>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</si>
  <si>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</si>
  <si>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</si>
  <si>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</si>
  <si>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</si>
  <si>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</si>
  <si>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</si>
  <si>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</si>
  <si>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</si>
  <si>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</si>
  <si>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</si>
  <si>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</si>
  <si>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</si>
  <si>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</si>
  <si>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</si>
  <si>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</si>
  <si>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</si>
  <si>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</si>
  <si>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</si>
  <si>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</si>
  <si>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</si>
  <si>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</si>
  <si>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</si>
  <si>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</si>
  <si>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</si>
  <si>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</si>
  <si>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</si>
  <si>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</si>
  <si>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</si>
  <si>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</si>
  <si>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</si>
  <si>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</si>
  <si>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</si>
  <si>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</si>
  <si>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</si>
  <si>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</si>
  <si>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</si>
  <si>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</si>
  <si>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</si>
  <si>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</si>
  <si>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</si>
  <si>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</si>
  <si>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</si>
  <si>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</si>
  <si>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</si>
  <si>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</si>
  <si>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</si>
  <si>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</si>
  <si>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</si>
  <si>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</si>
  <si>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</si>
  <si>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</si>
  <si>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</si>
  <si>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</si>
  <si>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</si>
  <si>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</si>
  <si>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</si>
  <si>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</si>
  <si>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</si>
  <si>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</si>
  <si>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</si>
  <si>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</si>
  <si>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</si>
  <si>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</si>
  <si>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</si>
  <si>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</si>
  <si>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</si>
  <si>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</si>
  <si>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</si>
  <si>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</si>
  <si>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</si>
  <si>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</si>
  <si>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</si>
  <si>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</si>
  <si>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</si>
  <si>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</si>
  <si>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</si>
  <si>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</si>
  <si>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</si>
  <si>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</si>
  <si>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</si>
  <si>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</si>
  <si>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</si>
  <si>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</si>
  <si>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</si>
  <si>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</si>
  <si>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</si>
  <si>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</si>
  <si>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</si>
  <si>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</si>
  <si>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</si>
  <si>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</si>
  <si>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</si>
  <si>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</si>
  <si>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</si>
  <si>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</si>
  <si>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</si>
  <si>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</si>
  <si>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</si>
  <si>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</si>
  <si>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</si>
  <si>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</si>
  <si>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</si>
  <si>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</si>
  <si>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</si>
  <si>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</si>
  <si>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</si>
  <si>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</si>
  <si>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</si>
  <si>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</si>
  <si>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</si>
  <si>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</si>
  <si>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</si>
  <si>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</si>
  <si>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</si>
  <si>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</si>
  <si>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</si>
  <si>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</si>
  <si>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</si>
  <si>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</si>
  <si>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</si>
  <si>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</si>
  <si>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</si>
  <si>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</si>
  <si>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</si>
  <si>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</si>
  <si>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</si>
  <si>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</si>
  <si>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</si>
  <si>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</si>
  <si>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</si>
  <si>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</si>
  <si>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</si>
  <si>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</si>
  <si>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</si>
  <si>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</si>
  <si>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</si>
  <si>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</si>
  <si>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</si>
  <si>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</si>
  <si>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</si>
  <si>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</si>
  <si>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</si>
  <si>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</si>
  <si>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</si>
  <si>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</si>
  <si>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</si>
  <si>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</si>
  <si>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</si>
  <si>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</si>
  <si>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</si>
  <si>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</si>
  <si>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</si>
  <si>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</si>
  <si>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</si>
  <si>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</si>
  <si>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</si>
  <si>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</si>
  <si>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</si>
  <si>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</si>
  <si>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</si>
  <si>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</si>
  <si>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</si>
  <si>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</si>
  <si>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</si>
  <si>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</si>
  <si>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</si>
  <si>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</si>
  <si>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</si>
  <si>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</si>
  <si>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</si>
  <si>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</si>
  <si>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</si>
  <si>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</si>
  <si>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</si>
  <si>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</si>
  <si>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</si>
  <si>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</si>
  <si>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</si>
  <si>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</si>
  <si>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</si>
  <si>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</si>
  <si>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</si>
  <si>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</si>
  <si>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</si>
  <si>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</si>
  <si>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</si>
  <si>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</si>
  <si>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</si>
  <si>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</si>
  <si>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</si>
  <si>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</si>
  <si>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</si>
  <si>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</si>
  <si>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</si>
  <si>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</si>
  <si>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</si>
  <si>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</si>
  <si>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</si>
  <si>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</si>
  <si>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</si>
  <si>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</si>
  <si>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</si>
  <si>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</si>
  <si>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</si>
  <si>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</si>
  <si>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</si>
  <si>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</si>
  <si>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</si>
  <si>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</si>
  <si>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</si>
  <si>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</si>
  <si>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</si>
  <si>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</si>
  <si>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</si>
  <si>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</si>
  <si>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</si>
  <si>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</si>
  <si>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</si>
  <si>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</si>
  <si>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</si>
  <si>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</si>
  <si>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</si>
  <si>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</si>
  <si>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</si>
  <si>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</si>
  <si>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</si>
  <si>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</si>
  <si>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</si>
  <si>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</si>
  <si>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</si>
  <si>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</si>
  <si>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</si>
  <si>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</si>
  <si>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</si>
  <si>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</si>
  <si>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</si>
  <si>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</si>
  <si>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</si>
  <si>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</si>
  <si>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</si>
  <si>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</si>
  <si>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</si>
  <si>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</si>
  <si>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</si>
  <si>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</si>
  <si>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</si>
  <si>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</si>
  <si>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</si>
  <si>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</si>
  <si>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</si>
  <si>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</si>
  <si>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</si>
  <si>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</si>
  <si>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</si>
  <si>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</si>
  <si>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</si>
  <si>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</si>
  <si>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</si>
  <si>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</si>
  <si>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</si>
  <si>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</si>
  <si>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</si>
  <si>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</si>
  <si>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</si>
  <si>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</si>
  <si>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</si>
  <si>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</si>
  <si>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</si>
  <si>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</si>
  <si>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</si>
  <si>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</si>
  <si>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</si>
  <si>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</si>
  <si>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</si>
  <si>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</si>
  <si>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</si>
  <si>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</si>
  <si>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</si>
  <si>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</si>
  <si>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</si>
  <si>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</si>
  <si>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</si>
  <si>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</si>
  <si>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</si>
  <si>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</si>
  <si>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</si>
  <si>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</si>
  <si>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</si>
  <si>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</si>
  <si>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</si>
  <si>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</si>
  <si>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</si>
  <si>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</si>
  <si>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</si>
  <si>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</si>
  <si>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</si>
  <si>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</si>
  <si>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</si>
  <si>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</si>
  <si>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</si>
  <si>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</si>
  <si>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</si>
  <si>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</si>
  <si>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</si>
  <si>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</si>
  <si>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</si>
  <si>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</si>
  <si>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</si>
  <si>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</si>
  <si>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</si>
  <si>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</si>
  <si>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</si>
  <si>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</si>
  <si>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</si>
  <si>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</si>
  <si>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</si>
  <si>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</si>
  <si>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</si>
  <si>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</si>
  <si>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</si>
  <si>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</si>
  <si>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</si>
  <si>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</si>
  <si>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</si>
  <si>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</si>
  <si>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</si>
  <si>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</si>
  <si>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</si>
  <si>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</si>
  <si>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</si>
  <si>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</si>
  <si>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</si>
  <si>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</si>
  <si>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</si>
  <si>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</si>
  <si>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</si>
  <si>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</si>
  <si>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</si>
  <si>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</si>
  <si>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</si>
  <si>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</si>
  <si>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</si>
  <si>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</si>
  <si>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</si>
  <si>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</si>
  <si>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</si>
  <si>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</si>
  <si>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</si>
  <si>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</si>
  <si>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</si>
  <si>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</si>
  <si>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</si>
  <si>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</si>
  <si>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</si>
  <si>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</si>
  <si>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</si>
  <si>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</si>
  <si>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</si>
  <si>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</si>
  <si>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</si>
  <si>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</si>
  <si>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</si>
  <si>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</si>
  <si>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</si>
  <si>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</si>
  <si>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</si>
  <si>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</si>
  <si>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</si>
  <si>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</si>
  <si>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</si>
  <si>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</si>
  <si>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</si>
  <si>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</si>
  <si>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</si>
  <si>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</si>
  <si>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</si>
  <si>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</si>
  <si>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</si>
  <si>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</si>
  <si>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</si>
  <si>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</si>
  <si>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</si>
  <si>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</si>
  <si>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</si>
  <si>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</si>
  <si>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</si>
  <si>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</si>
  <si>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</si>
  <si>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</si>
  <si>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</si>
  <si>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</si>
  <si>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</si>
  <si>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</si>
  <si>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</si>
  <si>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</si>
  <si>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</si>
  <si>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</si>
  <si>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</si>
  <si>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</si>
  <si>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</si>
  <si>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</si>
  <si>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</si>
  <si>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</si>
  <si>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</si>
  <si>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</si>
  <si>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</si>
  <si>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</si>
  <si>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</si>
  <si>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</si>
  <si>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</si>
  <si>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</si>
  <si>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</si>
  <si>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</si>
  <si>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</si>
  <si>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</si>
  <si>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</si>
  <si>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</si>
  <si>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</si>
  <si>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</si>
  <si>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</si>
  <si>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</si>
  <si>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</si>
  <si>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</si>
  <si>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</si>
  <si>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</si>
  <si>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</si>
  <si>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</si>
  <si>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</si>
  <si>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</si>
  <si>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</si>
  <si>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</si>
  <si>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</si>
  <si>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</si>
  <si>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</si>
  <si>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</si>
  <si>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</si>
  <si>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</si>
  <si>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</si>
  <si>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</si>
  <si>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</si>
  <si>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</si>
  <si>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</si>
  <si>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</si>
  <si>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</si>
  <si>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</si>
  <si>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</si>
  <si>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</si>
  <si>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</si>
  <si>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</si>
  <si>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</si>
  <si>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</si>
  <si>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</si>
  <si>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</si>
  <si>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</si>
  <si>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</si>
  <si>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</si>
  <si>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</si>
  <si>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</si>
  <si>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</si>
  <si>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</si>
  <si>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</si>
  <si>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</si>
  <si>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</si>
  <si>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</si>
  <si>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</si>
  <si>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</si>
  <si>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</si>
  <si>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</si>
  <si>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</si>
  <si>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</si>
  <si>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</si>
  <si>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</si>
  <si>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</si>
  <si>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</si>
  <si>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</si>
  <si>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</si>
  <si>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</si>
  <si>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</si>
  <si>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</si>
  <si>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</si>
  <si>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</si>
  <si>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</si>
  <si>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</si>
  <si>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</si>
  <si>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</si>
  <si>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</si>
  <si>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</si>
  <si>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</si>
  <si>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</si>
  <si>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</si>
  <si>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</si>
  <si>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</si>
  <si>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</si>
  <si>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</si>
  <si>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</si>
  <si>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</si>
  <si>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</si>
  <si>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</si>
  <si>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</si>
  <si>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</si>
  <si>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</si>
  <si>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</si>
  <si>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</si>
  <si>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</si>
  <si>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</si>
  <si>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</si>
  <si>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</si>
  <si>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</si>
  <si>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</si>
  <si>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</si>
  <si>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</si>
  <si>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</si>
  <si>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</si>
  <si>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</si>
  <si>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</si>
  <si>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</si>
  <si>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</si>
  <si>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</si>
  <si>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</si>
  <si>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</si>
  <si>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</si>
  <si>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</si>
  <si>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</si>
  <si>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</si>
  <si>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</si>
  <si>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</si>
  <si>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</si>
  <si>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</si>
  <si>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</si>
  <si>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</si>
  <si>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</si>
  <si>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</si>
  <si>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</si>
  <si>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</si>
  <si>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</si>
  <si>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</si>
  <si>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</si>
  <si>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</si>
  <si>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</si>
  <si>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</si>
  <si>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</si>
  <si>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</si>
  <si>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</si>
  <si>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</si>
  <si>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</si>
  <si>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</si>
  <si>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</si>
  <si>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</si>
  <si>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</si>
  <si>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</si>
  <si>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</si>
  <si>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</si>
  <si>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</si>
  <si>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</si>
  <si>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</si>
  <si>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</si>
  <si>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</si>
  <si>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</si>
  <si>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</si>
  <si>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</si>
  <si>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</si>
  <si>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</si>
  <si>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</si>
  <si>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</si>
  <si>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</si>
  <si>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</si>
  <si>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</si>
  <si>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</si>
  <si>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</si>
  <si>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</si>
  <si>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</si>
  <si>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</si>
  <si>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</si>
  <si>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</si>
  <si>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</si>
  <si>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</si>
  <si>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</si>
  <si>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</si>
  <si>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</si>
  <si>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</si>
  <si>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</si>
  <si>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</si>
  <si>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</si>
  <si>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</si>
  <si>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</si>
  <si>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</si>
  <si>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</si>
  <si>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</si>
  <si>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</si>
  <si>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</si>
  <si>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</si>
  <si>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</si>
  <si>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</si>
  <si>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</si>
  <si>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</si>
  <si>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</si>
  <si>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</si>
  <si>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</si>
  <si>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</si>
  <si>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</si>
  <si>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</si>
  <si>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</si>
  <si>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</si>
  <si>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</si>
  <si>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</si>
  <si>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</si>
  <si>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</si>
  <si>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</si>
  <si>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</si>
  <si>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</si>
  <si>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</si>
  <si>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</si>
  <si>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</si>
  <si>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</si>
  <si>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</si>
  <si>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</si>
  <si>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</si>
  <si>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</si>
  <si>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</si>
  <si>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</si>
  <si>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</si>
  <si>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</si>
  <si>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</si>
  <si>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</si>
  <si>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</si>
  <si>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</si>
  <si>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</si>
  <si>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</si>
  <si>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</si>
  <si>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</si>
  <si>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</si>
  <si>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</si>
  <si>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</si>
  <si>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</si>
  <si>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</si>
  <si>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</si>
  <si>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</si>
  <si>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</si>
  <si>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</si>
  <si>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</si>
  <si>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</si>
  <si>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</si>
  <si>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</si>
  <si>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</si>
  <si>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</si>
  <si>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</si>
  <si>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</si>
  <si>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</si>
  <si>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</si>
  <si>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</si>
  <si>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</si>
  <si>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</si>
  <si>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</si>
  <si>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</si>
  <si>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</si>
  <si>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</si>
  <si>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</si>
  <si>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</si>
  <si>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</si>
  <si>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</si>
  <si>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</si>
  <si>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</si>
  <si>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</si>
  <si>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</si>
  <si>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</si>
  <si>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</si>
  <si>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</si>
  <si>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</si>
  <si>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</si>
  <si>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</si>
  <si>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</si>
  <si>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</si>
  <si>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</si>
  <si>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</si>
  <si>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</si>
  <si>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</si>
  <si>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</si>
  <si>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</si>
  <si>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</si>
  <si>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</si>
  <si>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</si>
  <si>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</si>
  <si>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</si>
  <si>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</si>
  <si>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</si>
  <si>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</si>
  <si>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</si>
  <si>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</si>
  <si>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</si>
  <si>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</si>
  <si>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</si>
  <si>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</si>
  <si>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</si>
  <si>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</si>
  <si>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</si>
  <si>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</si>
  <si>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</si>
  <si>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</si>
  <si>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</si>
  <si>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</si>
  <si>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</si>
  <si>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</si>
  <si>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</si>
  <si>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</si>
  <si>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</si>
  <si>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</si>
  <si>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</si>
  <si>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</si>
  <si>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</si>
  <si>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</si>
  <si>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</si>
  <si>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</si>
  <si>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</si>
  <si>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</si>
  <si>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</si>
  <si>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</si>
  <si>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</si>
  <si>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</si>
  <si>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</si>
  <si>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</si>
  <si>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</si>
  <si>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</si>
  <si>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</si>
  <si>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</si>
  <si>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</si>
  <si>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</si>
  <si>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</si>
  <si>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</si>
  <si>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</si>
  <si>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</si>
  <si>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</si>
  <si>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</si>
  <si>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</si>
  <si>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</si>
  <si>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</si>
  <si>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</si>
  <si>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</si>
  <si>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</si>
  <si>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</si>
  <si>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</si>
  <si>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</si>
  <si>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</si>
  <si>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</si>
  <si>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</si>
  <si>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</si>
  <si>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</si>
  <si>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</si>
  <si>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</si>
  <si>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</si>
  <si>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</si>
  <si>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</si>
  <si>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</si>
  <si>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</si>
  <si>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</si>
  <si>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</si>
  <si>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</si>
  <si>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</si>
  <si>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</si>
  <si>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</si>
  <si>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</si>
  <si>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</si>
  <si>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</si>
  <si>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</si>
  <si>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</si>
  <si>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</si>
  <si>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</si>
  <si>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</si>
  <si>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</si>
  <si>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</si>
  <si>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</si>
  <si>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</si>
  <si>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</si>
  <si>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</si>
  <si>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</si>
  <si>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</si>
  <si>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</si>
  <si>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</si>
  <si>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</si>
  <si>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</si>
  <si>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</si>
  <si>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</si>
  <si>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</si>
  <si>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</si>
  <si>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</si>
  <si>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</si>
  <si>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</si>
  <si>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</si>
  <si>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</si>
  <si>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</si>
  <si>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</si>
  <si>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</si>
  <si>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</si>
  <si>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</si>
  <si>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</si>
  <si>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</si>
  <si>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</si>
  <si>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</si>
  <si>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</si>
  <si>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</si>
  <si>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</si>
  <si>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</si>
  <si>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</si>
  <si>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</si>
  <si>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</si>
  <si>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</si>
  <si>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</si>
  <si>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</si>
  <si>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</si>
  <si>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</si>
  <si>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</si>
  <si>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</si>
  <si>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</si>
  <si>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</si>
  <si>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</si>
  <si>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</si>
  <si>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</si>
  <si>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</si>
  <si>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</si>
  <si>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</si>
  <si>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</si>
  <si>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</si>
  <si>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</si>
  <si>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</si>
  <si>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</si>
  <si>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</si>
  <si>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</si>
  <si>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</si>
  <si>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</si>
  <si>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</si>
  <si>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</si>
  <si>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</si>
  <si>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</si>
  <si>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</si>
  <si>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</si>
  <si>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</si>
  <si>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</si>
  <si>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</si>
  <si>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</si>
  <si>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</si>
  <si>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</si>
  <si>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</si>
  <si>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</si>
  <si>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</si>
  <si>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</si>
  <si>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</si>
  <si>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</si>
  <si>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</si>
  <si>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</si>
  <si>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</si>
  <si>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</si>
  <si>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</si>
  <si>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</si>
  <si>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</si>
  <si>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</si>
  <si>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</si>
  <si>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</si>
  <si>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</si>
  <si>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</si>
  <si>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</si>
  <si>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</si>
  <si>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</si>
  <si>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</si>
  <si>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</si>
  <si>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</si>
  <si>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</si>
  <si>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</si>
  <si>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</si>
  <si>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</si>
  <si>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</si>
  <si>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</si>
  <si>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</si>
  <si>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</si>
  <si>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</si>
  <si>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</si>
  <si>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</si>
  <si>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</si>
  <si>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</si>
  <si>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</si>
  <si>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</si>
  <si>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</si>
  <si>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</si>
  <si>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</si>
  <si>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</si>
  <si>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</si>
  <si>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</si>
  <si>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</si>
  <si>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</si>
  <si>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</si>
  <si>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</si>
  <si>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</si>
  <si>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</si>
  <si>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</si>
  <si>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</si>
  <si>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</si>
  <si>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</si>
  <si>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</si>
  <si>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</si>
  <si>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</si>
  <si>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</si>
  <si>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</si>
  <si>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</si>
  <si>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</si>
  <si>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</si>
  <si>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</si>
  <si>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</si>
  <si>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</si>
  <si>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</si>
  <si>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</si>
  <si>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</si>
  <si>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</si>
  <si>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</si>
  <si>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</si>
  <si>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</si>
  <si>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</si>
  <si>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</si>
  <si>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</si>
  <si>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</si>
  <si>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</si>
  <si>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</si>
  <si>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</si>
  <si>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</si>
  <si>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</si>
  <si>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</si>
  <si>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</si>
  <si>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</si>
  <si>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</si>
  <si>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</si>
  <si>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</si>
  <si>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</si>
  <si>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</si>
  <si>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</si>
  <si>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</si>
  <si>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</si>
  <si>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</si>
  <si>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</si>
  <si>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</si>
  <si>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</si>
  <si>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</si>
  <si>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</si>
  <si>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</si>
  <si>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</si>
  <si>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</si>
  <si>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</si>
  <si>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</si>
  <si>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</si>
  <si>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</si>
  <si>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</si>
  <si>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</si>
  <si>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</si>
  <si>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</si>
  <si>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</si>
  <si>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</si>
  <si>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</si>
  <si>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</si>
  <si>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</si>
  <si>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</si>
  <si>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</si>
  <si>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</si>
  <si>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</si>
  <si>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</si>
  <si>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</si>
  <si>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</si>
  <si>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</si>
  <si>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</si>
  <si>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</si>
  <si>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</si>
  <si>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</si>
  <si>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</si>
  <si>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</si>
  <si>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</si>
  <si>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</si>
  <si>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</si>
  <si>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</si>
  <si>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</si>
  <si>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</si>
  <si>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</si>
  <si>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</si>
  <si>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</si>
  <si>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</si>
  <si>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</si>
  <si>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</si>
  <si>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</si>
  <si>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</si>
  <si>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</si>
  <si>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</si>
  <si>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</si>
  <si>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</si>
  <si>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</si>
  <si>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</si>
  <si>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</si>
  <si>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</si>
  <si>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</si>
  <si>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</si>
  <si>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</si>
  <si>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</si>
  <si>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</si>
  <si>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</si>
  <si>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</si>
  <si>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</si>
  <si>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</si>
  <si>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</si>
  <si>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</si>
  <si>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</si>
  <si>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</si>
  <si>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</si>
  <si>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</si>
  <si>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</si>
  <si>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</si>
  <si>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</si>
  <si>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</si>
  <si>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</si>
  <si>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</si>
  <si>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</si>
  <si>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</si>
  <si>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</si>
  <si>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</si>
  <si>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</si>
  <si>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</si>
  <si>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</si>
  <si>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</si>
  <si>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</si>
  <si>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</si>
  <si>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</si>
  <si>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</si>
  <si>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</si>
  <si>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</si>
  <si>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</si>
  <si>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</si>
  <si>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</si>
  <si>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</si>
  <si>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</si>
  <si>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</si>
  <si>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</si>
  <si>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</si>
  <si>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</si>
  <si>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</si>
  <si>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</si>
  <si>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</si>
  <si>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</si>
  <si>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</si>
  <si>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</si>
  <si>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</si>
  <si>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</si>
  <si>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</si>
  <si>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</si>
  <si>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</si>
  <si>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</si>
  <si>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</si>
  <si>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</si>
  <si>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</si>
  <si>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</si>
  <si>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</si>
  <si>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</si>
  <si>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</si>
  <si>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</si>
  <si>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</si>
  <si>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</si>
  <si>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</si>
  <si>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</si>
  <si>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</si>
  <si>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</si>
  <si>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</si>
  <si>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</si>
  <si>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</si>
  <si>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</si>
  <si>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</si>
  <si>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</si>
  <si>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</si>
  <si>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</si>
  <si>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</si>
  <si>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</si>
  <si>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</si>
  <si>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</si>
  <si>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</si>
  <si>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</si>
  <si>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</si>
  <si>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</si>
  <si>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</si>
  <si>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</si>
  <si>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</si>
  <si>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</si>
  <si>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</si>
  <si>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</si>
  <si>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</si>
  <si>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</si>
  <si>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</si>
  <si>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</si>
  <si>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</si>
  <si>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</si>
  <si>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</si>
  <si>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</si>
  <si>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</si>
  <si>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</si>
  <si>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</si>
  <si>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</si>
  <si>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</si>
  <si>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</si>
  <si>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</si>
  <si>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</si>
  <si>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</si>
  <si>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</si>
  <si>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</si>
  <si>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</si>
  <si>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</si>
  <si>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</si>
  <si>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</si>
  <si>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</si>
  <si>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</si>
  <si>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</si>
  <si>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</si>
  <si>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</si>
  <si>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</si>
  <si>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</si>
  <si>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</si>
  <si>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</si>
  <si>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</si>
  <si>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</si>
  <si>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</si>
  <si>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</si>
  <si>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</si>
  <si>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</si>
  <si>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</si>
  <si>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</si>
  <si>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</si>
  <si>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</si>
  <si>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</si>
  <si>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</si>
  <si>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</si>
  <si>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</si>
  <si>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</si>
  <si>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</si>
  <si>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</si>
  <si>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</si>
  <si>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</si>
  <si>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</si>
  <si>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</si>
  <si>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</si>
  <si>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</si>
  <si>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</si>
  <si>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</si>
  <si>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</si>
  <si>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</si>
  <si>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</si>
  <si>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</si>
  <si>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</si>
  <si>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</si>
  <si>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</si>
  <si>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</si>
  <si>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</si>
  <si>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</si>
  <si>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</si>
  <si>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</si>
  <si>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</si>
  <si>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</si>
  <si>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</si>
  <si>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</si>
  <si>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</si>
  <si>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</si>
  <si>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</si>
  <si>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</si>
  <si>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</si>
  <si>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</si>
  <si>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</si>
  <si>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</si>
  <si>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</si>
  <si>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</si>
  <si>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</si>
  <si>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</si>
  <si>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</si>
  <si>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</si>
  <si>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</si>
  <si>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</si>
  <si>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</si>
  <si>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</si>
  <si>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</si>
  <si>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</si>
  <si>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</si>
  <si>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</si>
  <si>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</si>
  <si>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</si>
  <si>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</si>
  <si>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</si>
  <si>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</si>
  <si>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</si>
  <si>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</si>
  <si>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</si>
  <si>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</si>
  <si>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</si>
  <si>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</si>
  <si>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</si>
  <si>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</si>
  <si>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</si>
  <si>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</si>
  <si>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</si>
  <si>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</si>
  <si>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</si>
  <si>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</si>
  <si>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</si>
  <si>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</si>
  <si>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</si>
  <si>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</si>
  <si>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</si>
  <si>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</si>
  <si>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</si>
  <si>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</si>
  <si>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</si>
  <si>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</si>
  <si>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</si>
  <si>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</si>
  <si>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</si>
  <si>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</si>
  <si>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</si>
  <si>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</si>
  <si>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</si>
  <si>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</si>
  <si>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</si>
  <si>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</si>
  <si>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</si>
  <si>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</si>
  <si>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</si>
  <si>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</si>
  <si>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</si>
  <si>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</si>
  <si>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</si>
  <si>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</si>
  <si>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</si>
  <si>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</si>
  <si>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</si>
  <si>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</si>
  <si>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</si>
  <si>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</si>
  <si>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</si>
  <si>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</si>
  <si>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</si>
  <si>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</si>
  <si>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</si>
  <si>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</si>
  <si>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</si>
  <si>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</si>
  <si>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</si>
  <si>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</si>
  <si>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</si>
  <si>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</si>
  <si>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</si>
  <si>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</si>
  <si>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</si>
  <si>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</si>
  <si>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</si>
  <si>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</si>
  <si>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</si>
  <si>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</si>
  <si>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</si>
  <si>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</si>
  <si>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</si>
  <si>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</si>
  <si>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</si>
  <si>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</si>
  <si>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</si>
  <si>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</si>
  <si>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</si>
  <si>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</si>
  <si>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</si>
  <si>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</si>
  <si>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</si>
  <si>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</si>
  <si>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</si>
  <si>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</si>
  <si>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</si>
  <si>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</si>
  <si>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</si>
  <si>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</si>
  <si>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</si>
  <si>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</si>
  <si>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</si>
  <si>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</si>
  <si>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</si>
  <si>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</si>
  <si>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</si>
  <si>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</si>
  <si>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</si>
  <si>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</si>
  <si>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</si>
  <si>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</si>
  <si>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</si>
  <si>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</si>
  <si>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</si>
  <si>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</si>
  <si>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</si>
  <si>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</si>
  <si>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</si>
  <si>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</si>
  <si>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</si>
  <si>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</si>
  <si>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</si>
  <si>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</si>
  <si>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</si>
  <si>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</si>
  <si>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</si>
  <si>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</si>
  <si>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</si>
  <si>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</si>
  <si>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</si>
  <si>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</si>
  <si>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</si>
  <si>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</si>
  <si>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</si>
  <si>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</si>
  <si>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</si>
  <si>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</si>
  <si>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</si>
  <si>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</si>
  <si>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</si>
  <si>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</si>
  <si>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</si>
  <si>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</si>
  <si>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</si>
  <si>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</si>
  <si>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</si>
  <si>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</si>
  <si>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</si>
  <si>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</si>
  <si>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</si>
  <si>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</si>
  <si>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</si>
  <si>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</si>
  <si>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</si>
  <si>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</si>
  <si>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</si>
  <si>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</si>
  <si>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</si>
  <si>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</si>
  <si>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</si>
  <si>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</si>
  <si>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</si>
  <si>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</si>
  <si>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</si>
  <si>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</si>
  <si>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</si>
  <si>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</si>
  <si>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</si>
  <si>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</si>
  <si>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</si>
  <si>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</si>
  <si>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</si>
  <si>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</si>
  <si>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</si>
  <si>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</si>
  <si>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</si>
  <si>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</si>
  <si>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</si>
  <si>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</si>
  <si>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</si>
  <si>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</si>
  <si>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</si>
  <si>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</si>
  <si>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</si>
  <si>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</si>
  <si>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</si>
  <si>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</si>
  <si>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</si>
  <si>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</si>
  <si>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</si>
  <si>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</si>
  <si>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</si>
  <si>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</si>
  <si>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</si>
  <si>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</si>
  <si>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</si>
  <si>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</si>
  <si>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</si>
  <si>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</si>
  <si>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</si>
  <si>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</si>
  <si>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</si>
  <si>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</si>
  <si>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</si>
  <si>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</si>
  <si>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</si>
  <si>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</si>
  <si>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</si>
  <si>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</si>
  <si>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</si>
  <si>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</si>
  <si>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</si>
  <si>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</si>
  <si>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</si>
  <si>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</si>
  <si>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</si>
  <si>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</si>
  <si>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</si>
  <si>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</si>
  <si>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</si>
  <si>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</si>
  <si>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</si>
  <si>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</si>
  <si>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</si>
  <si>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</si>
  <si>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</si>
  <si>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</si>
  <si>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</si>
  <si>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</si>
  <si>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</si>
  <si>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</si>
  <si>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</si>
  <si>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</si>
  <si>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</si>
  <si>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</si>
  <si>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</si>
  <si>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</si>
  <si>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</si>
  <si>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</si>
  <si>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</si>
  <si>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</si>
  <si>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</si>
  <si>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</si>
  <si>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</si>
  <si>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</si>
  <si>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</si>
  <si>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</si>
  <si>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</si>
  <si>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</si>
  <si>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</si>
  <si>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</si>
  <si>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</si>
  <si>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</si>
  <si>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</si>
  <si>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</si>
  <si>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</si>
  <si>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</si>
  <si>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</si>
  <si>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</si>
  <si>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</si>
  <si>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</si>
  <si>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</si>
  <si>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</si>
  <si>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</si>
  <si>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</si>
  <si>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</si>
  <si>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</si>
  <si>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</si>
  <si>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</si>
  <si>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</si>
  <si>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</si>
  <si>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</si>
  <si>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</si>
  <si>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</si>
  <si>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</si>
  <si>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</si>
  <si>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</si>
  <si>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</si>
  <si>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</si>
  <si>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</si>
  <si>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</si>
  <si>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</si>
  <si>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</si>
  <si>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</si>
  <si>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</si>
  <si>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</si>
  <si>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</si>
  <si>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</si>
  <si>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</si>
  <si>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</si>
  <si>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</si>
  <si>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</si>
  <si>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</si>
  <si>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</si>
  <si>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</si>
  <si>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</si>
  <si>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</si>
  <si>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</si>
  <si>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</si>
  <si>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</si>
  <si>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</si>
  <si>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</si>
  <si>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</si>
  <si>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</si>
  <si>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</si>
  <si>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</si>
  <si>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</si>
  <si>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</si>
  <si>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</si>
  <si>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</si>
  <si>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</si>
  <si>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</si>
  <si>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</si>
  <si>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</si>
  <si>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</si>
  <si>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</si>
  <si>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</si>
  <si>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</si>
  <si>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</si>
  <si>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</si>
  <si>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</si>
  <si>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</si>
  <si>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</si>
  <si>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</si>
  <si>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</si>
  <si>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</si>
  <si>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</si>
  <si>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</si>
  <si>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</si>
  <si>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</si>
  <si>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</si>
  <si>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</si>
  <si>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</si>
  <si>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</si>
  <si>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</si>
  <si>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</si>
  <si>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</si>
  <si>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</si>
  <si>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</si>
  <si>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</si>
  <si>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</si>
  <si>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</si>
  <si>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</si>
  <si>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</si>
  <si>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</si>
  <si>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</si>
  <si>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</si>
  <si>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</si>
  <si>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</si>
  <si>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</si>
  <si>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</si>
  <si>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</si>
  <si>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</si>
  <si>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</si>
  <si>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</si>
  <si>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</si>
  <si>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</si>
  <si>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</si>
  <si>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</si>
  <si>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</si>
  <si>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</si>
  <si>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</si>
  <si>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</si>
  <si>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</si>
  <si>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</si>
  <si>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</si>
  <si>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</si>
  <si>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</si>
  <si>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</si>
  <si>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</si>
  <si>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</si>
  <si>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</si>
  <si>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</si>
  <si>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</si>
  <si>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</si>
  <si>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</si>
  <si>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</si>
  <si>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</si>
  <si>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</si>
  <si>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</si>
  <si>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</si>
  <si>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</si>
  <si>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</si>
  <si>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</si>
  <si>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</si>
  <si>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</si>
  <si>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</si>
  <si>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</si>
  <si>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</si>
  <si>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</si>
  <si>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</si>
  <si>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</si>
  <si>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</si>
  <si>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</si>
  <si>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</si>
  <si>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</si>
  <si>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</si>
  <si>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</si>
  <si>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</si>
  <si>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</si>
  <si>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</si>
  <si>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</si>
  <si>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</si>
  <si>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</si>
  <si>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</si>
  <si>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</si>
  <si>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</si>
  <si>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</si>
  <si>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</si>
  <si>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</si>
  <si>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</si>
  <si>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</si>
  <si>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</si>
  <si>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</si>
  <si>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</si>
  <si>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</si>
  <si>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</si>
  <si>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</si>
  <si>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</si>
  <si>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</si>
  <si>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</si>
  <si>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</si>
  <si>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</si>
  <si>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</si>
  <si>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</si>
  <si>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</si>
  <si>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</si>
  <si>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</si>
  <si>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</si>
  <si>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</si>
  <si>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</si>
  <si>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</si>
  <si>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</si>
  <si>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</si>
  <si>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</si>
  <si>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</si>
  <si>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</si>
  <si>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</si>
  <si>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</si>
  <si>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</si>
  <si>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</si>
  <si>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</si>
  <si>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</si>
  <si>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</si>
  <si>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</si>
  <si>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</si>
  <si>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</si>
  <si>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</si>
  <si>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</si>
  <si>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</si>
  <si>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</si>
  <si>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</si>
  <si>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</si>
  <si>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</si>
  <si>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</si>
  <si>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</si>
  <si>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</si>
  <si>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</si>
  <si>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</si>
  <si>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</si>
  <si>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</si>
  <si>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</si>
  <si>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</si>
  <si>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</si>
  <si>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</si>
  <si>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</si>
  <si>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</si>
  <si>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</si>
  <si>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</si>
  <si>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</si>
  <si>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</si>
  <si>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</si>
  <si>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</si>
  <si>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</si>
  <si>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</si>
  <si>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</si>
  <si>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</si>
  <si>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</si>
  <si>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</si>
  <si>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</si>
  <si>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</si>
  <si>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</si>
  <si>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</si>
  <si>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</si>
  <si>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</si>
  <si>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</si>
  <si>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</si>
  <si>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</si>
  <si>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</si>
  <si>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</si>
  <si>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</si>
  <si>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</si>
  <si>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</si>
  <si>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</si>
  <si>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</si>
  <si>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</si>
  <si>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</si>
  <si>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</si>
  <si>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</si>
  <si>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</si>
  <si>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</si>
  <si>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</si>
  <si>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</si>
  <si>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</si>
  <si>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</si>
  <si>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</si>
  <si>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</si>
  <si>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</si>
  <si>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</si>
  <si>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</si>
  <si>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</si>
  <si>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</si>
  <si>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</si>
  <si>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</si>
  <si>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</si>
  <si>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</si>
  <si>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</si>
  <si>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</si>
  <si>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</si>
  <si>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</si>
  <si>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</si>
  <si>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</si>
  <si>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</si>
  <si>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</si>
  <si>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</si>
  <si>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</si>
  <si>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</si>
  <si>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</si>
  <si>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</si>
  <si>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</si>
  <si>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</si>
  <si>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</si>
  <si>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</si>
  <si>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</si>
  <si>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</si>
  <si>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</si>
  <si>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</si>
  <si>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</si>
  <si>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</si>
  <si>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</si>
  <si>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</si>
  <si>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</si>
  <si>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</si>
  <si>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</si>
  <si>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</si>
  <si>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</si>
  <si>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</si>
  <si>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</si>
  <si>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</si>
  <si>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</si>
  <si>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</si>
  <si>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</si>
  <si>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</si>
  <si>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</si>
  <si>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</si>
  <si>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</si>
  <si>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</si>
  <si>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</si>
  <si>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</si>
  <si>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</si>
  <si>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</si>
  <si>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</si>
  <si>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</si>
  <si>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</si>
  <si>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</si>
  <si>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</si>
  <si>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</si>
  <si>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</si>
  <si>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</si>
  <si>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</si>
  <si>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</si>
  <si>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</si>
  <si>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</si>
  <si>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</si>
  <si>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</si>
  <si>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</si>
  <si>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</si>
  <si>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</si>
  <si>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</si>
  <si>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</si>
  <si>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</si>
  <si>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</si>
  <si>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</si>
  <si>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</si>
  <si>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</si>
  <si>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</si>
  <si>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</si>
  <si>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</si>
  <si>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</si>
  <si>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</si>
  <si>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</si>
  <si>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</si>
  <si>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</si>
  <si>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</si>
  <si>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</si>
  <si>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</si>
  <si>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</si>
  <si>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</si>
  <si>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</si>
  <si>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</si>
  <si>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</si>
  <si>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</si>
  <si>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</si>
  <si>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</si>
  <si>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</si>
  <si>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</si>
  <si>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</si>
  <si>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</si>
  <si>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</si>
  <si>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</si>
  <si>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</si>
  <si>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</si>
  <si>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</si>
  <si>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</si>
  <si>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</si>
  <si>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</si>
  <si>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</si>
  <si>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</si>
  <si>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</si>
  <si>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</si>
  <si>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</si>
  <si>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</si>
  <si>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</si>
  <si>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</si>
  <si>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</si>
  <si>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</si>
  <si>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</si>
  <si>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</si>
  <si>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</si>
  <si>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</si>
  <si>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</si>
  <si>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</si>
  <si>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</si>
  <si>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</si>
  <si>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</si>
  <si>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</si>
  <si>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</si>
  <si>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</si>
  <si>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</si>
  <si>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</si>
  <si>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</si>
  <si>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</si>
  <si>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</si>
  <si>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</si>
  <si>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</si>
  <si>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</si>
  <si>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</si>
  <si>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</si>
  <si>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</si>
  <si>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</si>
  <si>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</si>
  <si>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</si>
  <si>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</si>
  <si>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</si>
  <si>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</si>
  <si>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</si>
  <si>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</si>
  <si>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</si>
  <si>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</si>
  <si>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</si>
  <si>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</si>
  <si>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</si>
  <si>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</si>
  <si>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</si>
  <si>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</si>
  <si>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</si>
  <si>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</si>
  <si>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</si>
  <si>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</si>
  <si>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</si>
  <si>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</si>
  <si>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</si>
  <si>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</si>
  <si>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</si>
  <si>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</si>
  <si>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</si>
  <si>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</si>
  <si>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</si>
  <si>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</si>
  <si>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</si>
  <si>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</si>
  <si>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</si>
  <si>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</si>
  <si>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</si>
  <si>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</si>
  <si>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</si>
  <si>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</si>
  <si>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</si>
  <si>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</si>
  <si>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</si>
  <si>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</si>
  <si>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</si>
  <si>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</si>
  <si>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</si>
  <si>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</si>
  <si>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</si>
  <si>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</si>
  <si>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</si>
  <si>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</si>
  <si>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</si>
  <si>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</si>
  <si>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</si>
  <si>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</si>
  <si>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</si>
  <si>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</si>
  <si>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</si>
  <si>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</si>
  <si>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</si>
  <si>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</si>
  <si>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</si>
  <si>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t>地上</t>
  </si>
  <si>
    <t>是</t>
  </si>
  <si>
    <t>成新度</t>
  </si>
  <si>
    <t>押一</t>
  </si>
  <si>
    <t>钢混</t>
  </si>
  <si>
    <t>非生产用房</t>
  </si>
  <si>
    <t>否</t>
  </si>
  <si>
    <t>成本法 (元)-1</t>
    <phoneticPr fontId="16" type="noConversion"/>
  </si>
  <si>
    <t>收益法 (元)-1</t>
    <phoneticPr fontId="16" type="noConversion"/>
  </si>
  <si>
    <t>成本法 (元)-2</t>
    <phoneticPr fontId="16" type="noConversion"/>
  </si>
  <si>
    <t>收益法 (元)-2</t>
    <phoneticPr fontId="16" type="noConversion"/>
  </si>
  <si>
    <t>成本法 (元)-3</t>
    <phoneticPr fontId="16" type="noConversion"/>
  </si>
  <si>
    <t>收益法 (元)-3</t>
    <phoneticPr fontId="16" type="noConversion"/>
  </si>
  <si>
    <t>自定义容积率</t>
  </si>
  <si>
    <t>不临65条商业街</t>
  </si>
  <si>
    <t>与级别开发程度一致</t>
  </si>
  <si>
    <t>中心城区以外</t>
  </si>
  <si>
    <t>楼层修正</t>
  </si>
  <si>
    <t>较差</t>
  </si>
  <si>
    <t>一般</t>
  </si>
  <si>
    <t>较好</t>
  </si>
  <si>
    <t>好</t>
  </si>
  <si>
    <t>未包含在土地购买价格中</t>
  </si>
  <si>
    <t>已包含在土地取得成本中</t>
  </si>
  <si>
    <t>商业</t>
    <phoneticPr fontId="7" type="noConversion"/>
  </si>
  <si>
    <t>收益法 (元)</t>
  </si>
  <si>
    <t>Ⅶ-房1</t>
  </si>
  <si>
    <t>通路</t>
  </si>
  <si>
    <t>通电</t>
  </si>
  <si>
    <t>通讯</t>
  </si>
  <si>
    <t>通上水</t>
  </si>
  <si>
    <t>通下水</t>
  </si>
  <si>
    <t>通热</t>
  </si>
  <si>
    <t>燃气</t>
  </si>
  <si>
    <t>平整</t>
  </si>
  <si>
    <t>成本法 (元)</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</si>
  <si>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</si>
  <si>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</si>
  <si>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</si>
  <si>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</si>
  <si>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</si>
  <si>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</si>
  <si>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</si>
  <si>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</si>
  <si>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</si>
  <si>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</si>
  <si>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</si>
  <si>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</si>
  <si>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</si>
  <si>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</si>
  <si>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</si>
  <si>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</si>
  <si>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</si>
  <si>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</si>
  <si>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</si>
  <si>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</si>
  <si>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</si>
  <si>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</si>
  <si>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</si>
  <si>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</si>
  <si>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</si>
  <si>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t>
  </si>
  <si>
    <t xml:space="preserve"> 已成交 </t>
  </si>
  <si>
    <t xml:space="preserve"> 北京通州投资发展有限公司  </t>
  </si>
  <si>
    <t>2023-09-20 15:00</t>
  </si>
  <si>
    <t>北京城市副中心0403街区FZX-0403-0146、0148地块F3 其他类多功能用地</t>
  </si>
  <si>
    <t>京土储挂(通)〔2023〕032号</t>
  </si>
  <si>
    <t xml:space="preserve"> 0146容积率3.82、0148容积率2.75 </t>
  </si>
  <si>
    <t xml:space="preserve"> F3 其他类多功能用地 </t>
  </si>
  <si>
    <t>北京市房山区窦店镇高端制造业基地06街区01地块FS00-DD06-0018、0019、0023、0024地块F3其他类多功能用地</t>
  </si>
  <si>
    <t>京土储挂(房)[2023]013号</t>
  </si>
  <si>
    <t xml:space="preserve"> fs00-dd06-0018、0019容积率1.6;0023、0024容积率2.5 </t>
  </si>
  <si>
    <t xml:space="preserve"> 北京京东方医院有限公司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</si>
  <si>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</si>
  <si>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</si>
  <si>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</si>
  <si>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</si>
  <si>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</si>
  <si>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大兴区西红门镇集体经营性建设用地2号地2-002A地块</t>
  </si>
  <si>
    <t>京规自集使挂(兴)[2023]002号</t>
  </si>
  <si>
    <t xml:space="preserve"> F81集体产业用地 </t>
  </si>
  <si>
    <t xml:space="preserve"> 电建智汇(北京)运营管理有限公司  </t>
  </si>
  <si>
    <t>北京大兴国际机场临空经济区DX12-0105-6103地块S5加油加气站(加氢站)用地</t>
  </si>
  <si>
    <t>京土储挂(兴临空)[2022]072号</t>
  </si>
  <si>
    <t xml:space="preserve"> ≤0.4 </t>
  </si>
  <si>
    <t xml:space="preserve"> S5加油加气站(加氢站)用地 </t>
  </si>
  <si>
    <t xml:space="preserve"> 空气(北京)氢能科技有限公司  </t>
  </si>
  <si>
    <t>2023-01-19 15:00</t>
  </si>
  <si>
    <t>北京市通州经济开发区西区南扩区 三、五、六期棚户区改造项目 FZX-1102-6002地块 F3其他类多功能用地</t>
  </si>
  <si>
    <t>京土储挂(通)〔2022〕041号</t>
  </si>
  <si>
    <t xml:space="preserve"> ≤2.2 </t>
  </si>
  <si>
    <t xml:space="preserve"> 北京未来科创建筑有限公司  </t>
  </si>
  <si>
    <t>2022-08-23 15:00</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</si>
  <si>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</si>
  <si>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</si>
  <si>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</si>
  <si>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</si>
  <si>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</si>
  <si>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</si>
  <si>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</si>
  <si>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北京经济技术开发区亦庄新城0303街区C14C-3地块F3其他类多功能用地</t>
  </si>
  <si>
    <t>京土储挂(开)[2022]039号</t>
  </si>
  <si>
    <t xml:space="preserve"> ≤5.0 </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</si>
  <si>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</si>
  <si>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</si>
  <si>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</si>
  <si>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</si>
  <si>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</si>
  <si>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</si>
  <si>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</si>
  <si>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</si>
  <si>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</si>
  <si>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</si>
  <si>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</si>
  <si>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</si>
  <si>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</si>
  <si>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</si>
  <si>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</si>
  <si>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</si>
  <si>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 </t>
  </si>
  <si>
    <t xml:space="preserve">2021年第3批次 </t>
  </si>
  <si>
    <t xml:space="preserve"> 北京大兴宾馆有限责任公司  </t>
  </si>
  <si>
    <t>2021-12-23 15:00</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</si>
  <si>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</si>
  <si>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</si>
  <si>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</si>
  <si>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</si>
  <si>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</si>
  <si>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</si>
  <si>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</si>
  <si>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</si>
  <si>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</si>
  <si>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</si>
  <si>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</si>
  <si>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</si>
  <si>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</si>
  <si>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北京市房山区长阳镇06、07街区棚户区改造土地开发七片区项目FS10-0107-0005地块F3其他类多功能用地</t>
  </si>
  <si>
    <t>京土整储挂(房)[2020]046号</t>
  </si>
  <si>
    <t xml:space="preserve"> ≤3 </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</si>
  <si>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</si>
  <si>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</si>
  <si>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</si>
  <si>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</si>
  <si>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g4f-4≤3,g6f-1、g6f-5、g7f-1、g7f-2≤2.5,g7f-3≤1.96 </t>
  </si>
  <si>
    <t xml:space="preserve"> 北京通明湖信息城发展有限公司  </t>
  </si>
  <si>
    <t>2020-07-31 15:00</t>
  </si>
  <si>
    <t>北京市通州区潞城镇FZX-0901-0162地块F3其他类多功能用地</t>
  </si>
  <si>
    <t>京土整储挂(通)[2019]029号</t>
  </si>
  <si>
    <t xml:space="preserve"> ≤2.5 </t>
  </si>
  <si>
    <t xml:space="preserve"> 北京润置商业运营管理有限公司 、北京首都开发股份有限公司联合体  </t>
  </si>
  <si>
    <t>2019-10-16 15:00</t>
  </si>
  <si>
    <t>北京经济技术开发区河西区X78C2地块B4综合性商业金融服务业用地</t>
  </si>
  <si>
    <t>京土整储挂(开)[2019]019号</t>
  </si>
  <si>
    <t xml:space="preserve"> ≤2 </t>
  </si>
  <si>
    <t xml:space="preserve"> 北京尚恒锦瑞商业运营管理有限公司  </t>
  </si>
  <si>
    <t>2019-08-29 15:00</t>
  </si>
  <si>
    <t>北京经济技术开发区南海子郊野公园B片区B-04/ B-06/B-11地块F3其他类多功能用地</t>
  </si>
  <si>
    <t>京土整储挂(开)[2019]006号</t>
  </si>
  <si>
    <t xml:space="preserve"> b-04、b-06≤1.5,b-11≤2 </t>
  </si>
  <si>
    <t xml:space="preserve"> 北京国苑体育文化投资有限责任公司  </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</si>
  <si>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</si>
  <si>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</si>
  <si>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</si>
  <si>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 </t>
  </si>
  <si>
    <t>北京经济技术开发区路东区E16街区E16C-3、E16C-5、E16S-1地块</t>
  </si>
  <si>
    <t>京土整储挂(开)[2018]007号</t>
  </si>
  <si>
    <t xml:space="preserve"> B4综合性商业金融服务业用地、S41公用停车场用地 </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</si>
  <si>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</si>
  <si>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</si>
  <si>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</si>
  <si>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</si>
  <si>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通州区马驹桥镇YZ00-0606-0014地块</t>
  </si>
  <si>
    <t>京土整储挂(通)[2017]033号</t>
  </si>
  <si>
    <t xml:space="preserve"> 北京北建通成国际物流有限公司  </t>
  </si>
  <si>
    <t>房山区长阳镇FS00-LX10-0092等地块</t>
  </si>
  <si>
    <t>京土整储挂(房)[2017]031号</t>
  </si>
  <si>
    <t xml:space="preserve"> B4综合性商业金融服务业用地、S41公用停车场用地、G3广场用地、F3其他类多功能用地 </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</si>
  <si>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</si>
  <si>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</si>
  <si>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</si>
  <si>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</si>
  <si>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</si>
  <si>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</si>
  <si>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</si>
  <si>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</si>
  <si>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</si>
  <si>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</si>
  <si>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房山区长阳镇FS00-LX10-0042等地块</t>
  </si>
  <si>
    <t>京土整储挂(房)[2016]023号</t>
  </si>
  <si>
    <t xml:space="preserve"> B4综合性商业金融服务业、S32公交场站设施用地 </t>
  </si>
  <si>
    <t xml:space="preserve"> 北京龙湖天行置业有限公司 、北京首都开发股份有限公司  </t>
  </si>
  <si>
    <t>房山区拱辰街道FS00-LX11-0007地块</t>
  </si>
  <si>
    <t>京土整储挂(房)[2016]022号</t>
  </si>
  <si>
    <t xml:space="preserve"> 北京旭辉合创投资有限公司  </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</si>
  <si>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</si>
  <si>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</si>
  <si>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</si>
  <si>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</si>
  <si>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</si>
  <si>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</si>
  <si>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</si>
  <si>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大兴区黄村镇兴华大街DX00-0202-0307地块</t>
  </si>
  <si>
    <t>京土整储挂(兴)[2016]006号</t>
  </si>
  <si>
    <t xml:space="preserve"> 北京中瑞凯华投资管理有限公司  </t>
  </si>
  <si>
    <t>大兴区北臧村生物医药基地DX00-0501-6003地块</t>
  </si>
  <si>
    <t>京土整储挂(兴)[2016]003号</t>
  </si>
  <si>
    <t xml:space="preserve"> 北京绿地京城置业有限公司 、北京绿地京华置业有限公司联合体  </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</si>
  <si>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</si>
  <si>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</si>
  <si>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</si>
  <si>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</si>
  <si>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</si>
  <si>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</si>
  <si>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</si>
  <si>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</si>
  <si>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</si>
  <si>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</si>
  <si>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</si>
  <si>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 </t>
  </si>
  <si>
    <t xml:space="preserve"> 北京格雷时尚科技有限公司  </t>
  </si>
  <si>
    <t>大兴区采育镇区六号地-1土地一级开发项目01-0044地块</t>
  </si>
  <si>
    <t>京土整储挂(兴)[2015]018号</t>
  </si>
  <si>
    <t xml:space="preserve"> 北京兴创置地房地产开发有限公司  </t>
  </si>
  <si>
    <t>通州区宋庄镇0301-1201地块</t>
  </si>
  <si>
    <t>京土整储挂(通)[2015]012号</t>
  </si>
  <si>
    <t xml:space="preserve"> 北京市文化置业有限公司  </t>
  </si>
  <si>
    <t>通州区永顺镇0504-014地块F3其他类多功能用地</t>
  </si>
  <si>
    <t>京土整储招(通)[2014]092号</t>
  </si>
  <si>
    <t xml:space="preserve"> 招标 </t>
  </si>
  <si>
    <t xml:space="preserve"> 北京建工集团有限责任公司 、北京通州现代化国际新城投资运营有限公司  </t>
  </si>
  <si>
    <t>大兴区三合庄改造区A组团0202-0907地块商业用地</t>
  </si>
  <si>
    <t>京土整储挂(兴)[2014]085号</t>
  </si>
  <si>
    <t xml:space="preserve"> B1商业用地 </t>
  </si>
  <si>
    <t xml:space="preserve"> 北京城康华房地产开发有限公司  </t>
  </si>
  <si>
    <t>通州区运河核心区Ⅷ-05、08-2地块F3其它类多功能用地</t>
  </si>
  <si>
    <t>京土整储招(通)[2014]054号</t>
  </si>
  <si>
    <t xml:space="preserve"> 绿地控股集团有限公司 、复地(集团)股份有限公司 、上海复迈投资有限公司联合体  </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</si>
  <si>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</si>
  <si>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</si>
  <si>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</si>
  <si>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</si>
  <si>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</si>
  <si>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</si>
  <si>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</si>
  <si>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</si>
  <si>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七通</t>
  </si>
  <si>
    <t>较规则</t>
  </si>
  <si>
    <t>较规则</t>
    <phoneticPr fontId="30" type="noConversion"/>
  </si>
  <si>
    <t>七通</t>
    <phoneticPr fontId="30" type="noConversion"/>
  </si>
  <si>
    <t>六通</t>
  </si>
  <si>
    <t>六通</t>
    <phoneticPr fontId="30" type="noConversion"/>
  </si>
  <si>
    <t>五通</t>
    <phoneticPr fontId="30" type="noConversion"/>
  </si>
  <si>
    <t>四通</t>
    <phoneticPr fontId="30" type="noConversion"/>
  </si>
  <si>
    <t>三通</t>
  </si>
  <si>
    <t>三通</t>
    <phoneticPr fontId="30" type="noConversion"/>
  </si>
  <si>
    <t>较好</t>
    <phoneticPr fontId="30" type="noConversion"/>
  </si>
  <si>
    <t>商业</t>
    <phoneticPr fontId="30" type="noConversion"/>
  </si>
  <si>
    <t>商业、办公</t>
  </si>
  <si>
    <t>商业、办公</t>
    <phoneticPr fontId="30" type="noConversion"/>
  </si>
  <si>
    <t>旅馆</t>
  </si>
  <si>
    <t>旅馆</t>
    <phoneticPr fontId="30"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</si>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</sst>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100" fillId="0" borderId="23" xfId="0" applyNumberFormat="1" applyFont="1" applyBorder="1" applyAlignment="1" applyProtection="1">
      <alignment horizontal="center" vertical="center"/>
      <protection locked="0"/>
    </xf>
    <xf numFmtId="0" fontId="54" fillId="22" borderId="2" xfId="0" applyFont="1" applyFill="1" applyBorder="1" applyAlignment="1" applyProtection="1">
      <alignment horizontal="center" vertical="center" wrapText="1"/>
    </xf>
    <xf numFmtId="177" fontId="53" fillId="22" borderId="1" xfId="1" applyNumberFormat="1" applyFont="1" applyFill="1" applyBorder="1" applyAlignment="1" applyProtection="1">
      <alignment horizontal="center"/>
      <protection locked="0"/>
    </xf>
    <xf numFmtId="0" fontId="53" fillId="7" borderId="24" xfId="1" applyNumberFormat="1" applyFont="1" applyFill="1" applyBorder="1" applyAlignment="1" applyProtection="1">
      <alignment horizontal="center" vertical="center"/>
      <protection locked="0"/>
    </xf>
    <xf numFmtId="0" fontId="0" fillId="5" borderId="0" xfId="0" applyFill="1">
      <alignment vertical="center"/>
    </xf>
    <xf numFmtId="0" fontId="0" fillId="7" borderId="0" xfId="0" applyFill="1">
      <alignment vertical="center"/>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269" fillId="7" borderId="0" xfId="19" applyNumberFormat="1" applyFill="1"/>
    <xf numFmtId="14" fontId="269" fillId="7" borderId="0" xfId="19" applyNumberFormat="1" applyFill="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30</xdr:row>
      <xdr:rowOff>142214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4914286" cy="5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456629</xdr:colOff>
      <xdr:row>32</xdr:row>
      <xdr:rowOff>46933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1429" cy="5533333"/>
        </a:xfrm>
        <a:prstGeom prst="rect">
          <a:avLst/>
        </a:prstGeom>
      </xdr:spPr>
    </xdr:pic>
    <xdr:clientData/>
  </xdr:twoCellAnchor>
  <xdr:twoCellAnchor editAs="oneCell">
    <xdr:from>
      <xdr:col>7</xdr:col>
      <xdr:colOff>0</xdr:colOff>
      <xdr:row>0</xdr:row>
      <xdr:rowOff>0</xdr:rowOff>
    </xdr:from>
    <xdr:to>
      <xdr:col>11</xdr:col>
      <xdr:colOff>657225</xdr:colOff>
      <xdr:row>31</xdr:row>
      <xdr:rowOff>113531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3400425" cy="54284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估价对象为北京市房地产，为所有。根据《国有土地使用证》[]，估价对象（分摊）出让国有建设用地使用权面积为0平方米，建筑面积为573.27平方米。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估价对象为北京市房地产,属开发建设的，该项目尚在开发建设中。根据《国有土地使用证》[]，估价对象（分摊）出让国有建设用地使用权面积为0平方米，规划建筑面积为573.27平方米。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2024年7月20日</v>
      </c>
    </row>
    <row r="13" spans="1:2" s="1198" customFormat="1">
      <c r="A13" s="1196" t="s">
        <v>529</v>
      </c>
      <c r="B13" s="1197" t="str">
        <f>'预评函-1'!A18</f>
        <v>本次估价的“房地产价值”是指在正常市场情况下，在价值时点2024年7月20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1001</v>
      </c>
    </row>
    <row r="21" spans="1:2" s="1198" customFormat="1">
      <c r="A21" s="1196" t="s">
        <v>537</v>
      </c>
      <c r="B21" s="1197">
        <f ca="1">'预评函-2'!D7</f>
        <v>17469</v>
      </c>
    </row>
    <row r="22" spans="1:2" s="1198" customFormat="1">
      <c r="A22" s="1196" t="s">
        <v>538</v>
      </c>
      <c r="B22" s="1197" t="str">
        <f ca="1">'预评函-2'!D6</f>
        <v>壹仟零壹万元整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1001</v>
      </c>
    </row>
    <row r="31" spans="1:2" s="1198" customFormat="1">
      <c r="A31" s="1196" t="s">
        <v>576</v>
      </c>
      <c r="B31" s="1197">
        <f ca="1">'预评函-2'!D15</f>
        <v>17469</v>
      </c>
    </row>
    <row r="32" spans="1:2" s="1198" customFormat="1">
      <c r="A32" s="1196" t="s">
        <v>543</v>
      </c>
      <c r="B32" s="1197" t="str">
        <f ca="1">'预评函-2'!D14</f>
        <v>壹仟零壹万元整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573.27</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8" sqref="H2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3353</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3339</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3340</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3341</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3342</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3343</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3344</v>
      </c>
    </row>
    <row r="8" spans="1:23">
      <c r="A8" s="1541" t="s">
        <v>1026</v>
      </c>
      <c r="B8" s="1541" t="s">
        <v>1027</v>
      </c>
      <c r="C8" s="1542" t="s">
        <v>319</v>
      </c>
      <c r="F8" s="1543" t="s">
        <v>1028</v>
      </c>
      <c r="H8" s="1543" t="s">
        <v>2581</v>
      </c>
      <c r="I8" s="1543" t="s">
        <v>3345</v>
      </c>
    </row>
    <row r="9" spans="1:23">
      <c r="A9" s="1541" t="s">
        <v>1029</v>
      </c>
      <c r="B9" s="1541" t="s">
        <v>1030</v>
      </c>
      <c r="C9" s="1542" t="s">
        <v>320</v>
      </c>
      <c r="F9" s="1543" t="s">
        <v>1031</v>
      </c>
      <c r="H9" s="1543"/>
      <c r="I9" s="1546" t="s">
        <v>3346</v>
      </c>
    </row>
    <row r="10" spans="1:23">
      <c r="A10" s="1541" t="s">
        <v>1032</v>
      </c>
      <c r="B10" s="1541" t="s">
        <v>1033</v>
      </c>
      <c r="C10" s="1542" t="s">
        <v>321</v>
      </c>
      <c r="F10" s="1543" t="s">
        <v>2582</v>
      </c>
      <c r="I10" s="1546" t="s">
        <v>3347</v>
      </c>
    </row>
    <row r="11" spans="1:23">
      <c r="A11" s="1541" t="s">
        <v>1034</v>
      </c>
      <c r="B11" s="1541" t="s">
        <v>1035</v>
      </c>
      <c r="C11" s="1542" t="s">
        <v>322</v>
      </c>
      <c r="F11" s="1543" t="s">
        <v>13</v>
      </c>
      <c r="I11" s="1546" t="s">
        <v>3348</v>
      </c>
    </row>
    <row r="12" spans="1:23">
      <c r="A12" s="1541" t="s">
        <v>1036</v>
      </c>
      <c r="B12" s="1541" t="s">
        <v>1037</v>
      </c>
      <c r="C12" s="1542" t="s">
        <v>323</v>
      </c>
      <c r="I12" s="1546" t="s">
        <v>3349</v>
      </c>
    </row>
    <row r="13" spans="1:23">
      <c r="A13" s="1541" t="s">
        <v>1038</v>
      </c>
      <c r="B13" s="1541" t="s">
        <v>1039</v>
      </c>
      <c r="C13" s="1542" t="s">
        <v>324</v>
      </c>
      <c r="I13" s="1546" t="s">
        <v>3350</v>
      </c>
    </row>
    <row r="14" spans="1:23">
      <c r="A14" s="1541" t="s">
        <v>1040</v>
      </c>
      <c r="B14" s="1541" t="s">
        <v>1041</v>
      </c>
      <c r="C14" s="1543" t="s">
        <v>13</v>
      </c>
      <c r="I14" s="1546" t="s">
        <v>3351</v>
      </c>
    </row>
    <row r="15" spans="1:23">
      <c r="A15" s="1541" t="s">
        <v>1042</v>
      </c>
      <c r="B15" s="1541" t="s">
        <v>1043</v>
      </c>
      <c r="C15" s="1542"/>
      <c r="I15" s="1546" t="s">
        <v>3352</v>
      </c>
    </row>
    <row r="16" spans="1:23">
      <c r="A16" s="1541" t="s">
        <v>1044</v>
      </c>
      <c r="B16" s="1541" t="s">
        <v>312</v>
      </c>
      <c r="C16" s="1542"/>
    </row>
    <row r="17" spans="1:3">
      <c r="A17" s="1541" t="s">
        <v>1045</v>
      </c>
      <c r="B17" s="1541" t="s">
        <v>2293</v>
      </c>
      <c r="C17" s="1542"/>
    </row>
    <row r="18" spans="1:3">
      <c r="A18" s="1541" t="s">
        <v>1046</v>
      </c>
      <c r="B18" s="1541" t="s">
        <v>2437</v>
      </c>
      <c r="C18" s="1542"/>
    </row>
    <row r="19" spans="1:3">
      <c r="A19" s="1541" t="s">
        <v>1047</v>
      </c>
      <c r="B19" s="1544" t="s">
        <v>3393</v>
      </c>
      <c r="C19" s="1542"/>
    </row>
    <row r="20" spans="1:3">
      <c r="A20" s="1541" t="s">
        <v>1048</v>
      </c>
      <c r="B20" s="1544" t="s">
        <v>3394</v>
      </c>
      <c r="C20" s="1542"/>
    </row>
    <row r="21" spans="1:3">
      <c r="A21" s="1541" t="s">
        <v>1049</v>
      </c>
      <c r="B21" s="1544" t="s">
        <v>3395</v>
      </c>
      <c r="C21" s="1542"/>
    </row>
    <row r="22" spans="1:3">
      <c r="A22" s="1541" t="s">
        <v>1050</v>
      </c>
      <c r="B22" s="1544" t="s">
        <v>3396</v>
      </c>
      <c r="C22" s="1542"/>
    </row>
    <row r="23" spans="1:3">
      <c r="A23" s="1541" t="s">
        <v>1051</v>
      </c>
      <c r="B23" s="1544" t="s">
        <v>3397</v>
      </c>
      <c r="C23" s="1542"/>
    </row>
    <row r="24" spans="1:3">
      <c r="A24" s="1541" t="s">
        <v>1052</v>
      </c>
      <c r="B24" s="1544" t="s">
        <v>3398</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49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49" t="s">
        <v>385</v>
      </c>
      <c r="C54" s="1546" t="s">
        <v>583</v>
      </c>
    </row>
    <row r="55" spans="1:4">
      <c r="A55" s="3492"/>
      <c r="B55" s="1549" t="s">
        <v>386</v>
      </c>
      <c r="C55" s="1546" t="s">
        <v>584</v>
      </c>
    </row>
    <row r="56" spans="1:4">
      <c r="A56" s="3492"/>
      <c r="B56" s="1549" t="s">
        <v>387</v>
      </c>
      <c r="C56" s="1546" t="s">
        <v>588</v>
      </c>
    </row>
    <row r="57" spans="1:4">
      <c r="A57" s="349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2504</v>
      </c>
      <c r="B1" s="3009"/>
      <c r="C1" s="3009"/>
      <c r="D1" s="3009"/>
      <c r="E1" s="3009"/>
      <c r="F1" s="3010"/>
      <c r="I1" s="3431" t="s">
        <v>2597</v>
      </c>
      <c r="J1" s="3221"/>
      <c r="K1" s="3221"/>
      <c r="L1" s="3221"/>
      <c r="M1" s="3221"/>
      <c r="N1" s="3432"/>
      <c r="O1" s="3432"/>
      <c r="P1" s="3432"/>
      <c r="Q1" s="3432"/>
      <c r="R1" s="3432"/>
    </row>
    <row r="2" spans="1:18">
      <c r="A2" s="3012"/>
      <c r="B2" s="3013"/>
      <c r="C2" s="3013"/>
      <c r="D2" s="3013"/>
      <c r="E2" s="3013"/>
      <c r="F2" s="3014"/>
      <c r="I2" s="3493" t="s">
        <v>2584</v>
      </c>
      <c r="J2" s="3493"/>
      <c r="K2" s="3493"/>
      <c r="L2" s="3493"/>
      <c r="M2" s="3493"/>
      <c r="N2" s="3493"/>
      <c r="O2" s="3493"/>
      <c r="P2" s="3493"/>
      <c r="Q2" s="3493"/>
      <c r="R2" s="3493"/>
    </row>
    <row r="3" spans="1:18">
      <c r="A3" s="3015" t="s">
        <v>2505</v>
      </c>
      <c r="B3" s="3016">
        <f>项目基本情况!D3</f>
        <v>45493</v>
      </c>
      <c r="C3" s="3018"/>
      <c r="D3" s="3018"/>
      <c r="E3" s="3018"/>
      <c r="F3" s="3014"/>
      <c r="I3" s="3433"/>
      <c r="J3" s="3433" t="s">
        <v>2588</v>
      </c>
      <c r="K3" s="3433" t="s">
        <v>2589</v>
      </c>
      <c r="L3" s="3433" t="s">
        <v>2590</v>
      </c>
      <c r="M3" s="3433" t="s">
        <v>2591</v>
      </c>
      <c r="N3" s="3434" t="s">
        <v>2592</v>
      </c>
      <c r="O3" s="3434" t="s">
        <v>2593</v>
      </c>
      <c r="P3" s="3434" t="s">
        <v>2594</v>
      </c>
      <c r="Q3" s="3434" t="s">
        <v>2595</v>
      </c>
      <c r="R3" s="3434" t="s">
        <v>2596</v>
      </c>
    </row>
    <row r="4" spans="1:18">
      <c r="A4" s="3015" t="s">
        <v>2506</v>
      </c>
      <c r="B4" s="3018" t="s">
        <v>2507</v>
      </c>
      <c r="C4" s="3018" t="s">
        <v>2508</v>
      </c>
      <c r="D4" s="3018" t="s">
        <v>2509</v>
      </c>
      <c r="E4" s="3018" t="s">
        <v>2510</v>
      </c>
      <c r="F4" s="3014"/>
      <c r="I4" s="3433" t="s">
        <v>2585</v>
      </c>
      <c r="J4" s="3433">
        <v>80</v>
      </c>
      <c r="K4" s="3433">
        <v>70</v>
      </c>
      <c r="L4" s="3433">
        <v>20</v>
      </c>
      <c r="M4" s="3433">
        <v>30</v>
      </c>
      <c r="N4" s="3018">
        <v>45</v>
      </c>
      <c r="O4" s="3018">
        <v>60</v>
      </c>
      <c r="P4" s="3018">
        <v>50</v>
      </c>
      <c r="Q4" s="3018">
        <v>20</v>
      </c>
      <c r="R4" s="3018">
        <v>375</v>
      </c>
    </row>
    <row r="5" spans="1:18">
      <c r="A5" s="3019">
        <v>40</v>
      </c>
      <c r="B5" s="3016">
        <v>46375</v>
      </c>
      <c r="C5" s="3018">
        <f>ROUNDDOWN(MIN((B5-B3)/365,A5),2)</f>
        <v>2.41</v>
      </c>
      <c r="D5" s="3020">
        <f>IF(ISERROR(ROUND(POWER(1+E5,A5-C5)*(POWER(1+E5,C5)-1)/(POWER(1+E5,A5)-1),3)),0,ROUND(POWER(1+E5,A5-C5)*(POWER(1+E5,C5)-1)/(POWER(1+E5,A5)-1),4))</f>
        <v>0.1139</v>
      </c>
      <c r="E5" s="3021">
        <v>0.04</v>
      </c>
      <c r="F5" s="3014"/>
      <c r="I5" s="3433" t="s">
        <v>2586</v>
      </c>
      <c r="J5" s="3433">
        <v>70</v>
      </c>
      <c r="K5" s="3433">
        <v>60</v>
      </c>
      <c r="L5" s="3433">
        <v>15</v>
      </c>
      <c r="M5" s="3433">
        <v>25</v>
      </c>
      <c r="N5" s="3018">
        <v>40</v>
      </c>
      <c r="O5" s="3018">
        <v>50</v>
      </c>
      <c r="P5" s="3018">
        <v>40</v>
      </c>
      <c r="Q5" s="3018">
        <v>15</v>
      </c>
      <c r="R5" s="3018">
        <v>315</v>
      </c>
    </row>
    <row r="6" spans="1:18">
      <c r="A6" s="3019">
        <v>50</v>
      </c>
      <c r="B6" s="3016">
        <v>50028</v>
      </c>
      <c r="C6" s="3018">
        <f>ROUNDDOWN(MIN((B6-B3)/365,A6),2)</f>
        <v>12.42</v>
      </c>
      <c r="D6" s="3020">
        <f>IF(ISERROR(ROUND(POWER(1+E6,A6-C6)*(POWER(1+E6,C6)-1)/(POWER(1+E6,A6)-1),3)),0,ROUND(POWER(1+E6,A6-C6)*(POWER(1+E6,C6)-1)/(POWER(1+E6,A6)-1),4))</f>
        <v>0.44879999999999998</v>
      </c>
      <c r="E6" s="3021">
        <v>0.04</v>
      </c>
      <c r="F6" s="3014"/>
      <c r="I6" s="3433" t="s">
        <v>2587</v>
      </c>
      <c r="J6" s="3433">
        <v>60</v>
      </c>
      <c r="K6" s="3433">
        <v>50</v>
      </c>
      <c r="L6" s="3433">
        <v>10</v>
      </c>
      <c r="M6" s="3433">
        <v>20</v>
      </c>
      <c r="N6" s="3018">
        <v>35</v>
      </c>
      <c r="O6" s="3018">
        <v>40</v>
      </c>
      <c r="P6" s="3018">
        <v>30</v>
      </c>
      <c r="Q6" s="3018">
        <v>10</v>
      </c>
      <c r="R6" s="3018">
        <v>255</v>
      </c>
    </row>
    <row r="7" spans="1:18">
      <c r="A7" s="3019">
        <v>70</v>
      </c>
      <c r="B7" s="3016">
        <v>57333</v>
      </c>
      <c r="C7" s="3018">
        <f>ROUNDDOWN(MIN((B7-B3)/365,A7),2)</f>
        <v>32.43</v>
      </c>
      <c r="D7" s="3020">
        <f>IF(ISERROR(ROUND(POWER(1+E7,A7-C7)*(POWER(1+E7,C7)-1)/(POWER(1+E7,A7)-1),3)),0,ROUND(POWER(1+E7,A7-C7)*(POWER(1+E7,C7)-1)/(POWER(1+E7,A7)-1),4))</f>
        <v>0.76910000000000001</v>
      </c>
      <c r="E7" s="3021">
        <v>0.04</v>
      </c>
      <c r="F7" s="3014"/>
    </row>
    <row r="8" spans="1:18">
      <c r="A8" s="3012"/>
      <c r="B8" s="3013"/>
      <c r="C8" s="3013"/>
      <c r="D8" s="3013"/>
      <c r="E8" s="3013"/>
      <c r="F8" s="3014"/>
    </row>
    <row r="9" spans="1:18">
      <c r="A9" s="3015" t="s">
        <v>2511</v>
      </c>
      <c r="B9" s="3018"/>
      <c r="C9" s="3018"/>
      <c r="D9" s="3018"/>
      <c r="E9" s="3018"/>
      <c r="F9" s="3022"/>
    </row>
    <row r="10" spans="1:18">
      <c r="A10" s="3015" t="s">
        <v>2512</v>
      </c>
      <c r="B10" s="3018"/>
      <c r="C10" s="3018"/>
      <c r="D10" s="3018" t="s">
        <v>2510</v>
      </c>
      <c r="E10" s="3018"/>
      <c r="F10" s="3022" t="s">
        <v>2509</v>
      </c>
    </row>
    <row r="11" spans="1:18">
      <c r="A11" s="3015" t="s">
        <v>2513</v>
      </c>
      <c r="B11" s="3023">
        <v>70</v>
      </c>
      <c r="C11" s="3018" t="s">
        <v>2514</v>
      </c>
      <c r="D11" s="3024">
        <v>4.4999999999999998E-2</v>
      </c>
      <c r="E11" s="3018" t="s">
        <v>2515</v>
      </c>
      <c r="F11" s="3025">
        <f>ROUND(1-(1/(POWER(1+D11,B11))),4)</f>
        <v>0.95409999999999995</v>
      </c>
    </row>
    <row r="12" spans="1:18">
      <c r="A12" s="3015" t="s">
        <v>2516</v>
      </c>
      <c r="B12" s="3023">
        <v>40</v>
      </c>
      <c r="C12" s="3018" t="s">
        <v>2517</v>
      </c>
      <c r="D12" s="3024">
        <v>4.4999999999999998E-2</v>
      </c>
      <c r="E12" s="3018" t="s">
        <v>2518</v>
      </c>
      <c r="F12" s="3025">
        <f>ROUND(1-(1/(POWER(1+D12,B12))),4)</f>
        <v>0.82809999999999995</v>
      </c>
    </row>
    <row r="13" spans="1:18">
      <c r="A13" s="3015" t="s">
        <v>2519</v>
      </c>
      <c r="B13" s="3018"/>
      <c r="C13" s="3018"/>
      <c r="D13" s="3013"/>
      <c r="E13" s="3013"/>
      <c r="F13" s="3014"/>
    </row>
    <row r="14" spans="1:18">
      <c r="A14" s="3015" t="s">
        <v>2520</v>
      </c>
      <c r="B14" s="3023">
        <v>5000</v>
      </c>
      <c r="C14" s="3017"/>
      <c r="D14" s="3013"/>
      <c r="E14" s="3013"/>
      <c r="F14" s="3014"/>
    </row>
    <row r="15" spans="1:18">
      <c r="A15" s="3015" t="s">
        <v>2521</v>
      </c>
      <c r="B15" s="3018">
        <f>ROUND(B14*F12/F11,2)</f>
        <v>4339.6899999999996</v>
      </c>
      <c r="C15" s="3018">
        <f>ROUND(F12/F11,4)</f>
        <v>0.8679</v>
      </c>
      <c r="D15" s="3013"/>
      <c r="E15" s="3013"/>
      <c r="F15" s="3014"/>
    </row>
    <row r="16" spans="1:18">
      <c r="A16" s="3015" t="s">
        <v>2522</v>
      </c>
      <c r="B16" s="3018"/>
      <c r="C16" s="3018"/>
      <c r="D16" s="3013"/>
      <c r="E16" s="3013"/>
      <c r="F16" s="3014"/>
    </row>
    <row r="17" spans="1:13">
      <c r="A17" s="3015" t="s">
        <v>2521</v>
      </c>
      <c r="B17" s="3024">
        <v>4810</v>
      </c>
      <c r="C17" s="3017"/>
      <c r="D17" s="3013"/>
      <c r="E17" s="3013"/>
      <c r="F17" s="3014"/>
    </row>
    <row r="18" spans="1:13" ht="14.25" thickBot="1">
      <c r="A18" s="3026" t="s">
        <v>2520</v>
      </c>
      <c r="B18" s="3027">
        <f>ROUND(B17*F11/F12,2)</f>
        <v>5541.87</v>
      </c>
      <c r="C18" s="3027">
        <f>ROUND(F11/F12,4)</f>
        <v>1.1521999999999999</v>
      </c>
      <c r="D18" s="3028"/>
      <c r="E18" s="3028"/>
      <c r="F18" s="3029"/>
    </row>
    <row r="19" spans="1:13" ht="14.25" thickBot="1"/>
    <row r="20" spans="1:13" s="3064" customFormat="1" ht="14.25" thickTop="1">
      <c r="A20" s="3061" t="s">
        <v>2523</v>
      </c>
      <c r="B20" s="3062"/>
      <c r="C20" s="3062"/>
      <c r="D20" s="3062"/>
      <c r="E20" s="3062"/>
      <c r="F20" s="3062"/>
      <c r="G20" s="3063"/>
      <c r="I20" s="3065" t="s">
        <v>2568</v>
      </c>
      <c r="J20" s="3065" t="s">
        <v>2573</v>
      </c>
      <c r="K20" s="3065"/>
      <c r="L20" s="3065"/>
      <c r="M20" s="3065"/>
    </row>
    <row r="21" spans="1:13">
      <c r="A21" s="3030"/>
      <c r="B21" s="3031" t="s">
        <v>2524</v>
      </c>
      <c r="C21" s="3031" t="s">
        <v>2525</v>
      </c>
      <c r="D21" s="3031" t="s">
        <v>2526</v>
      </c>
      <c r="E21" s="3031" t="s">
        <v>2527</v>
      </c>
      <c r="F21" s="3031" t="s">
        <v>2528</v>
      </c>
      <c r="G21" s="3032" t="s">
        <v>2529</v>
      </c>
      <c r="I21" s="3053">
        <v>5</v>
      </c>
      <c r="J21" s="3053">
        <v>54.2</v>
      </c>
    </row>
    <row r="22" spans="1:13">
      <c r="A22" s="3030" t="s">
        <v>2530</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2531</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2571</v>
      </c>
      <c r="M23" s="3053" t="s">
        <v>2572</v>
      </c>
    </row>
    <row r="24" spans="1:13">
      <c r="A24" s="3030" t="s">
        <v>2532</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2570</v>
      </c>
      <c r="M24" s="3053">
        <v>10</v>
      </c>
    </row>
    <row r="25" spans="1:13">
      <c r="A25" s="3030" t="s">
        <v>2533</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2574</v>
      </c>
      <c r="M25" s="3053">
        <v>8</v>
      </c>
    </row>
    <row r="26" spans="1:13">
      <c r="A26" s="3035"/>
      <c r="B26" s="3036"/>
      <c r="C26" s="3036"/>
      <c r="D26" s="3036"/>
      <c r="E26" s="3036"/>
      <c r="F26" s="3036"/>
      <c r="G26" s="3037"/>
      <c r="I26" s="3053">
        <v>30</v>
      </c>
      <c r="J26" s="3053">
        <v>90.5</v>
      </c>
      <c r="K26" s="3053">
        <f t="shared" si="2"/>
        <v>4.2000000000000028</v>
      </c>
      <c r="L26" s="3053" t="s">
        <v>2575</v>
      </c>
      <c r="M26" s="3053">
        <v>5</v>
      </c>
    </row>
    <row r="27" spans="1:13">
      <c r="A27" s="3035" t="s">
        <v>2534</v>
      </c>
      <c r="B27" s="3036"/>
      <c r="C27" s="3036"/>
      <c r="D27" s="3036"/>
      <c r="E27" s="3036"/>
      <c r="F27" s="3036"/>
      <c r="G27" s="3037"/>
      <c r="I27" s="3053">
        <v>35</v>
      </c>
      <c r="J27" s="3053">
        <v>93.8</v>
      </c>
      <c r="K27" s="3053">
        <f t="shared" si="2"/>
        <v>3.2999999999999972</v>
      </c>
      <c r="L27" s="3053" t="s">
        <v>2576</v>
      </c>
      <c r="M27" s="3053">
        <v>3</v>
      </c>
    </row>
    <row r="28" spans="1:13">
      <c r="A28" s="3035" t="s">
        <v>2535</v>
      </c>
      <c r="B28" s="3036"/>
      <c r="C28" s="3036"/>
      <c r="D28" s="3036"/>
      <c r="E28" s="3036"/>
      <c r="F28" s="3036"/>
      <c r="G28" s="3037"/>
      <c r="I28" s="3053">
        <v>40</v>
      </c>
      <c r="J28" s="3053">
        <v>96.4</v>
      </c>
      <c r="K28" s="3053">
        <f t="shared" si="2"/>
        <v>2.6000000000000085</v>
      </c>
      <c r="L28" s="3053" t="s">
        <v>2577</v>
      </c>
      <c r="M28" s="3053">
        <v>2</v>
      </c>
    </row>
    <row r="29" spans="1:13">
      <c r="A29" s="3035" t="s">
        <v>2536</v>
      </c>
      <c r="B29" s="3036"/>
      <c r="C29" s="3036"/>
      <c r="D29" s="3036"/>
      <c r="E29" s="3036"/>
      <c r="F29" s="3036"/>
      <c r="G29" s="3037"/>
      <c r="I29" s="3053">
        <v>45</v>
      </c>
      <c r="J29" s="3053">
        <v>98.4</v>
      </c>
      <c r="K29" s="3053">
        <f t="shared" si="2"/>
        <v>2</v>
      </c>
    </row>
    <row r="30" spans="1:13">
      <c r="A30" s="3035" t="s">
        <v>2537</v>
      </c>
      <c r="B30" s="3036"/>
      <c r="C30" s="3036"/>
      <c r="D30" s="3036"/>
      <c r="E30" s="3036"/>
      <c r="F30" s="3036"/>
      <c r="G30" s="3037"/>
      <c r="I30" s="3053">
        <v>50</v>
      </c>
      <c r="J30" s="3053">
        <v>100</v>
      </c>
      <c r="K30" s="3053">
        <f t="shared" si="2"/>
        <v>1.5999999999999943</v>
      </c>
    </row>
    <row r="31" spans="1:13">
      <c r="A31" s="3035" t="s">
        <v>2538</v>
      </c>
      <c r="B31" s="3036"/>
      <c r="C31" s="3036"/>
      <c r="D31" s="3036"/>
      <c r="E31" s="3036"/>
      <c r="F31" s="3036"/>
      <c r="G31" s="3037"/>
      <c r="I31" s="3053" t="s">
        <v>2569</v>
      </c>
    </row>
    <row r="32" spans="1:13">
      <c r="A32" s="3035" t="s">
        <v>2539</v>
      </c>
      <c r="B32" s="3036"/>
      <c r="C32" s="3036"/>
      <c r="D32" s="3036"/>
      <c r="E32" s="3036"/>
      <c r="F32" s="3036"/>
      <c r="G32" s="3037"/>
    </row>
    <row r="33" spans="1:13">
      <c r="A33" s="3035" t="s">
        <v>2540</v>
      </c>
      <c r="B33" s="3036"/>
      <c r="C33" s="3036"/>
      <c r="D33" s="3036"/>
      <c r="E33" s="3036"/>
      <c r="F33" s="3036"/>
      <c r="G33" s="3037"/>
      <c r="I33" s="3053" t="s">
        <v>2568</v>
      </c>
      <c r="J33" s="3053" t="s">
        <v>2578</v>
      </c>
    </row>
    <row r="34" spans="1:13">
      <c r="A34" s="3035" t="s">
        <v>2541</v>
      </c>
      <c r="B34" s="3036"/>
      <c r="C34" s="3036"/>
      <c r="D34" s="3036"/>
      <c r="E34" s="3036"/>
      <c r="F34" s="3036"/>
      <c r="G34" s="3037"/>
      <c r="I34" s="3053">
        <v>5</v>
      </c>
      <c r="J34" s="3053">
        <v>55.1</v>
      </c>
    </row>
    <row r="35" spans="1:13">
      <c r="A35" s="3035" t="s">
        <v>2542</v>
      </c>
      <c r="B35" s="3036"/>
      <c r="C35" s="3036"/>
      <c r="D35" s="3036"/>
      <c r="E35" s="3036"/>
      <c r="F35" s="3036"/>
      <c r="G35" s="3037"/>
      <c r="I35" s="3053">
        <v>10</v>
      </c>
      <c r="J35" s="3053">
        <v>67</v>
      </c>
      <c r="K35" s="3053">
        <f>J35-J34</f>
        <v>11.899999999999999</v>
      </c>
    </row>
    <row r="36" spans="1:13">
      <c r="A36" s="3035" t="s">
        <v>2543</v>
      </c>
      <c r="B36" s="3036"/>
      <c r="C36" s="3036"/>
      <c r="D36" s="3036"/>
      <c r="E36" s="3036"/>
      <c r="F36" s="3036"/>
      <c r="G36" s="3037"/>
      <c r="I36" s="3053">
        <v>15</v>
      </c>
      <c r="J36" s="3053">
        <v>76.3</v>
      </c>
      <c r="K36" s="3053">
        <f t="shared" ref="K36:K41" si="3">J36-J35</f>
        <v>9.2999999999999972</v>
      </c>
      <c r="L36" s="3053" t="s">
        <v>2571</v>
      </c>
      <c r="M36" s="3053" t="s">
        <v>2572</v>
      </c>
    </row>
    <row r="37" spans="1:13">
      <c r="A37" s="3035" t="s">
        <v>2544</v>
      </c>
      <c r="B37" s="3036"/>
      <c r="C37" s="3036"/>
      <c r="D37" s="3036"/>
      <c r="E37" s="3036"/>
      <c r="F37" s="3036"/>
      <c r="G37" s="3037"/>
      <c r="I37" s="3053">
        <v>20</v>
      </c>
      <c r="J37" s="3053">
        <v>83.6</v>
      </c>
      <c r="K37" s="3053">
        <f t="shared" si="3"/>
        <v>7.2999999999999972</v>
      </c>
      <c r="L37" s="3053" t="s">
        <v>2570</v>
      </c>
      <c r="M37" s="3053">
        <v>10</v>
      </c>
    </row>
    <row r="38" spans="1:13">
      <c r="A38" s="3035" t="s">
        <v>2545</v>
      </c>
      <c r="B38" s="3036"/>
      <c r="C38" s="3036"/>
      <c r="D38" s="3036"/>
      <c r="E38" s="3036"/>
      <c r="F38" s="3036"/>
      <c r="G38" s="3037"/>
      <c r="I38" s="3053">
        <v>25</v>
      </c>
      <c r="J38" s="3053">
        <v>89.3</v>
      </c>
      <c r="K38" s="3053">
        <f t="shared" si="3"/>
        <v>5.7000000000000028</v>
      </c>
      <c r="L38" s="3053" t="s">
        <v>2574</v>
      </c>
      <c r="M38" s="3053">
        <v>8</v>
      </c>
    </row>
    <row r="39" spans="1:13">
      <c r="A39" s="3035"/>
      <c r="B39" s="3036"/>
      <c r="C39" s="3036"/>
      <c r="D39" s="3036"/>
      <c r="E39" s="3036"/>
      <c r="F39" s="3036"/>
      <c r="G39" s="3037"/>
      <c r="I39" s="3053">
        <v>30</v>
      </c>
      <c r="J39" s="3053">
        <v>93.8</v>
      </c>
      <c r="K39" s="3053">
        <f t="shared" si="3"/>
        <v>4.5</v>
      </c>
      <c r="L39" s="3053" t="s">
        <v>2575</v>
      </c>
      <c r="M39" s="3053">
        <v>6</v>
      </c>
    </row>
    <row r="40" spans="1:13">
      <c r="A40" s="3038" t="s">
        <v>2546</v>
      </c>
      <c r="B40" s="3039"/>
      <c r="C40" s="3039"/>
      <c r="D40" s="3039"/>
      <c r="E40" s="3039"/>
      <c r="F40" s="3039"/>
      <c r="G40" s="3040"/>
      <c r="I40" s="3053">
        <v>35</v>
      </c>
      <c r="J40" s="3053">
        <v>97.2</v>
      </c>
      <c r="K40" s="3053">
        <f t="shared" si="3"/>
        <v>3.4000000000000057</v>
      </c>
      <c r="L40" s="3053" t="s">
        <v>2576</v>
      </c>
      <c r="M40" s="3053">
        <v>3</v>
      </c>
    </row>
    <row r="41" spans="1:13">
      <c r="A41" s="3041" t="s">
        <v>2547</v>
      </c>
      <c r="B41" s="3042" t="s">
        <v>2548</v>
      </c>
      <c r="C41" s="3043" t="s">
        <v>2549</v>
      </c>
      <c r="D41" s="3043" t="s">
        <v>2550</v>
      </c>
      <c r="E41" s="3044"/>
      <c r="F41" s="3045"/>
      <c r="G41" s="3046"/>
      <c r="I41" s="3053">
        <v>40</v>
      </c>
      <c r="J41" s="3053">
        <v>100</v>
      </c>
      <c r="K41" s="3053">
        <f t="shared" si="3"/>
        <v>2.7999999999999972</v>
      </c>
    </row>
    <row r="42" spans="1:13">
      <c r="A42" s="3041" t="s">
        <v>2551</v>
      </c>
      <c r="B42" s="3042" t="s">
        <v>2552</v>
      </c>
      <c r="C42" s="3043" t="s">
        <v>2553</v>
      </c>
      <c r="D42" s="3047" t="s">
        <v>2554</v>
      </c>
      <c r="E42" s="3039" t="s">
        <v>2555</v>
      </c>
      <c r="F42" s="3039"/>
      <c r="G42" s="3040"/>
    </row>
    <row r="43" spans="1:13">
      <c r="A43" s="3041" t="s">
        <v>2556</v>
      </c>
      <c r="B43" s="3042" t="s">
        <v>2557</v>
      </c>
      <c r="C43" s="3043" t="s">
        <v>2558</v>
      </c>
      <c r="D43" s="3043" t="s">
        <v>2559</v>
      </c>
      <c r="E43" s="3044" t="s">
        <v>2560</v>
      </c>
      <c r="F43" s="3045"/>
      <c r="G43" s="3046"/>
      <c r="I43" s="3053" t="s">
        <v>2568</v>
      </c>
      <c r="J43" s="3053" t="s">
        <v>2579</v>
      </c>
    </row>
    <row r="44" spans="1:13">
      <c r="A44" s="3041" t="s">
        <v>2561</v>
      </c>
      <c r="B44" s="3042" t="s">
        <v>2562</v>
      </c>
      <c r="C44" s="3043" t="s">
        <v>2563</v>
      </c>
      <c r="D44" s="3047">
        <v>0.5</v>
      </c>
      <c r="E44" s="3044" t="s">
        <v>2564</v>
      </c>
      <c r="F44" s="3045"/>
      <c r="G44" s="3046"/>
      <c r="I44" s="3053">
        <v>30</v>
      </c>
      <c r="J44" s="3053">
        <v>81.7</v>
      </c>
    </row>
    <row r="45" spans="1:13" ht="14.25" thickBot="1">
      <c r="A45" s="3048" t="s">
        <v>2565</v>
      </c>
      <c r="B45" s="3049" t="s">
        <v>2552</v>
      </c>
      <c r="C45" s="3050" t="s">
        <v>2552</v>
      </c>
      <c r="D45" s="3050" t="s">
        <v>2566</v>
      </c>
      <c r="E45" s="3051" t="s">
        <v>2567</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S42" sqref="S42"/>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北京市房地产抵押价值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2" t="s">
        <v>2170</v>
      </c>
      <c r="B3" s="2368"/>
      <c r="C3" s="2369" t="s">
        <v>2171</v>
      </c>
      <c r="D3" s="2368">
        <v>45493</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3382</v>
      </c>
      <c r="C8" s="2385"/>
      <c r="D8" s="3497" t="s">
        <v>2177</v>
      </c>
      <c r="E8" s="2386" t="s">
        <v>3383</v>
      </c>
      <c r="F8" s="2387"/>
      <c r="G8" s="2658"/>
      <c r="H8" s="2658"/>
      <c r="I8" s="2658"/>
      <c r="J8" s="2434"/>
      <c r="K8" s="2609"/>
      <c r="L8" s="2608"/>
      <c r="M8" s="2608"/>
      <c r="N8" s="2434"/>
      <c r="O8" s="2445"/>
      <c r="P8" s="2434"/>
      <c r="Q8" s="2434"/>
      <c r="R8" s="2434"/>
    </row>
    <row r="9" spans="1:30" ht="13.5" thickBot="1">
      <c r="A9" s="2388" t="s">
        <v>2178</v>
      </c>
      <c r="B9" s="2389" t="s">
        <v>3383</v>
      </c>
      <c r="C9" s="2390"/>
      <c r="D9" s="3498"/>
      <c r="E9" s="2389"/>
      <c r="F9" s="2391"/>
      <c r="G9" s="2660"/>
      <c r="H9" s="2660"/>
      <c r="I9" s="2660"/>
      <c r="J9" s="2434"/>
      <c r="K9" s="2611"/>
      <c r="L9" s="2608"/>
      <c r="M9" s="2608"/>
      <c r="N9" s="2434"/>
      <c r="O9" s="2445"/>
      <c r="P9" s="2434"/>
      <c r="Q9" s="2434"/>
      <c r="R9" s="2434"/>
    </row>
    <row r="10" spans="1:30" ht="13.5" thickTop="1">
      <c r="A10" s="2392" t="s">
        <v>2179</v>
      </c>
      <c r="B10" s="2393" t="s">
        <v>3384</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3385</v>
      </c>
      <c r="C11" s="2398"/>
      <c r="D11" s="2399"/>
      <c r="E11" s="2365"/>
      <c r="F11" s="2365"/>
      <c r="G11" s="2365"/>
      <c r="H11" s="2365"/>
      <c r="I11" s="2365"/>
      <c r="J11" s="3056"/>
      <c r="K11" s="3055"/>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4" t="s">
        <v>2580</v>
      </c>
      <c r="J12" s="3057"/>
      <c r="K12" s="2608"/>
      <c r="L12" s="2608"/>
      <c r="M12" s="2434"/>
      <c r="N12" s="2445"/>
      <c r="O12" s="2434"/>
      <c r="P12" s="2434"/>
      <c r="Q12" s="2434"/>
      <c r="AD12" s="1740"/>
    </row>
    <row r="13" spans="1:30">
      <c r="A13" s="3417" t="s">
        <v>3335</v>
      </c>
      <c r="B13" s="2402" t="s">
        <v>2190</v>
      </c>
      <c r="C13" s="852"/>
      <c r="D13" s="852">
        <v>53161</v>
      </c>
      <c r="E13" s="852"/>
      <c r="F13" s="852"/>
      <c r="G13" s="852"/>
      <c r="H13" s="852"/>
      <c r="I13" s="852"/>
      <c r="J13" s="3057"/>
      <c r="K13" s="2608"/>
      <c r="L13" s="2608"/>
      <c r="M13" s="2434"/>
      <c r="N13" s="2445"/>
      <c r="O13" s="2434"/>
      <c r="P13" s="2434"/>
      <c r="Q13" s="2434"/>
      <c r="AD13" s="1740"/>
    </row>
    <row r="14" spans="1:30">
      <c r="A14" s="1077"/>
      <c r="B14" s="2402" t="s">
        <v>2191</v>
      </c>
      <c r="C14" s="2403"/>
      <c r="D14" s="2403">
        <v>40</v>
      </c>
      <c r="E14" s="2403"/>
      <c r="F14" s="2403"/>
      <c r="G14" s="2403"/>
      <c r="H14" s="2403"/>
      <c r="I14" s="2403"/>
      <c r="J14" s="3058"/>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21</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2193</v>
      </c>
      <c r="B16" s="3504"/>
      <c r="C16" s="3505"/>
      <c r="D16" s="3506"/>
      <c r="E16" s="2408" t="s">
        <v>2194</v>
      </c>
      <c r="F16" s="3507"/>
      <c r="G16" s="3508"/>
      <c r="H16" s="3508"/>
      <c r="I16" s="3509"/>
      <c r="J16" s="2434"/>
      <c r="K16" s="2612"/>
      <c r="L16" s="2446"/>
      <c r="M16" s="2446"/>
      <c r="N16" s="2504"/>
      <c r="O16" s="2446"/>
      <c r="P16" s="2504"/>
      <c r="Q16" s="2434"/>
      <c r="R16" s="2434"/>
    </row>
    <row r="17" spans="1:28">
      <c r="A17" s="313" t="s">
        <v>2195</v>
      </c>
      <c r="B17" s="302" t="s">
        <v>2196</v>
      </c>
      <c r="C17" s="8">
        <f>'数据-汇总表'!E3</f>
        <v>573.27</v>
      </c>
      <c r="D17" s="2317" t="s">
        <v>2197</v>
      </c>
      <c r="E17" s="3510" t="s">
        <v>2198</v>
      </c>
      <c r="F17" s="3511"/>
      <c r="G17" s="3511"/>
      <c r="H17" s="3511"/>
      <c r="I17" s="3512"/>
      <c r="J17" s="2434"/>
      <c r="K17" s="2613"/>
      <c r="L17" s="2446"/>
      <c r="M17" s="2446"/>
      <c r="N17" s="2504"/>
      <c r="O17" s="2446"/>
      <c r="P17" s="2504"/>
      <c r="Q17" s="2434"/>
      <c r="R17" s="2434"/>
      <c r="S17" s="2434"/>
      <c r="T17" s="2434"/>
      <c r="U17" s="2434"/>
      <c r="V17" s="2434"/>
    </row>
    <row r="18" spans="1:28" ht="24.75" thickBot="1">
      <c r="A18" s="2409" t="s">
        <v>2199</v>
      </c>
      <c r="B18" s="1086" t="s">
        <v>2200</v>
      </c>
      <c r="C18" s="2410">
        <f>'数据-汇总表'!D3</f>
        <v>0</v>
      </c>
      <c r="D18" s="1088" t="s">
        <v>2201</v>
      </c>
      <c r="E18" s="3513" t="s">
        <v>2202</v>
      </c>
      <c r="F18" s="3514"/>
      <c r="G18" s="3514"/>
      <c r="H18" s="3514"/>
      <c r="I18" s="3515"/>
      <c r="J18" s="2434"/>
      <c r="K18" s="2613"/>
      <c r="L18" s="2446"/>
      <c r="M18" s="2446"/>
      <c r="N18" s="2504"/>
      <c r="O18" s="2446"/>
      <c r="P18" s="2504"/>
      <c r="Q18" s="2434"/>
      <c r="R18" s="2434"/>
      <c r="S18" s="2434"/>
      <c r="T18" s="2434"/>
      <c r="U18" s="2434"/>
      <c r="V18" s="2434"/>
    </row>
    <row r="19" spans="1:28" ht="37.5" thickTop="1" thickBot="1">
      <c r="A19" s="327" t="s">
        <v>1055</v>
      </c>
      <c r="B19" s="307"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500" t="s">
        <v>2206</v>
      </c>
      <c r="C20" s="3501"/>
      <c r="D20" s="3502" t="s">
        <v>2207</v>
      </c>
      <c r="E20" s="3503"/>
      <c r="F20" s="2642" t="s">
        <v>1056</v>
      </c>
      <c r="G20" s="2659"/>
      <c r="H20" s="2659"/>
      <c r="I20" s="2659"/>
      <c r="J20" s="2434"/>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17" t="s">
        <v>2214</v>
      </c>
      <c r="B27" s="320"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17"/>
      <c r="B28" s="302"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17"/>
      <c r="B29" s="302"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18"/>
      <c r="B30" s="302" t="s">
        <v>2218</v>
      </c>
      <c r="C30" s="3519"/>
      <c r="D30" s="3520"/>
      <c r="E30" s="2659"/>
      <c r="F30" s="2659"/>
      <c r="G30" s="2659"/>
      <c r="H30" s="2659"/>
      <c r="I30" s="2659"/>
      <c r="J30" s="2434"/>
      <c r="K30" s="2611"/>
      <c r="L30" s="2608"/>
      <c r="M30" s="2608"/>
      <c r="N30" s="2434"/>
      <c r="O30" s="2445"/>
      <c r="P30" s="2434"/>
      <c r="Q30" s="2434"/>
      <c r="R30" s="2434"/>
      <c r="S30" s="2434"/>
      <c r="T30" s="2434"/>
      <c r="U30" s="2434"/>
      <c r="V30" s="2434"/>
    </row>
    <row r="31" spans="1:28">
      <c r="A31" s="3521"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22"/>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22"/>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2220</v>
      </c>
      <c r="B34" s="2021"/>
      <c r="C34" s="2021"/>
      <c r="D34" s="2021"/>
      <c r="E34" s="2021"/>
      <c r="F34" s="2021"/>
      <c r="G34" s="2021"/>
      <c r="H34" s="2021"/>
      <c r="I34" s="2659"/>
      <c r="J34" s="2434"/>
      <c r="K34" s="2422">
        <f>COUNTIF(B34:H34,"——")</f>
        <v>0</v>
      </c>
      <c r="L34" s="323" t="s">
        <v>2221</v>
      </c>
      <c r="M34" s="323" t="s">
        <v>2222</v>
      </c>
      <c r="N34" s="323" t="s">
        <v>2223</v>
      </c>
      <c r="O34" s="323" t="s">
        <v>2224</v>
      </c>
      <c r="P34" s="323" t="s">
        <v>2225</v>
      </c>
      <c r="Q34" s="323" t="s">
        <v>2226</v>
      </c>
      <c r="R34" s="323" t="s">
        <v>2227</v>
      </c>
      <c r="S34" s="3516" t="s">
        <v>2228</v>
      </c>
      <c r="T34" s="2423" t="str">
        <f>NUMBERSTRING(7-K34,1)&amp;"通"</f>
        <v>七通</v>
      </c>
      <c r="U34" s="2434"/>
      <c r="V34" s="2434"/>
    </row>
    <row r="35" spans="1:30">
      <c r="A35" s="2424"/>
      <c r="B35" s="3523" t="s">
        <v>2229</v>
      </c>
      <c r="C35" s="3523"/>
      <c r="D35" s="3523"/>
      <c r="E35" s="3523"/>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4"/>
      <c r="V35" s="2434"/>
    </row>
    <row r="36" spans="1:30">
      <c r="A36" s="2425"/>
      <c r="B36" s="664" t="s">
        <v>2185</v>
      </c>
      <c r="C36" s="664" t="s">
        <v>2186</v>
      </c>
      <c r="D36" s="664" t="s">
        <v>2184</v>
      </c>
      <c r="E36" s="664" t="s">
        <v>2189</v>
      </c>
      <c r="F36" s="3060" t="s">
        <v>2583</v>
      </c>
      <c r="G36" s="2659"/>
      <c r="H36" s="2659"/>
      <c r="I36" s="2659"/>
      <c r="J36" s="2434"/>
      <c r="K36" s="2611"/>
      <c r="L36" s="2608"/>
      <c r="M36" s="2608"/>
      <c r="N36" s="2434"/>
      <c r="O36" s="2445"/>
      <c r="P36" s="2434"/>
      <c r="Q36" s="2434"/>
      <c r="R36" s="2434"/>
      <c r="S36" s="2434"/>
      <c r="T36" s="2434"/>
      <c r="U36" s="2434"/>
      <c r="V36" s="2434"/>
    </row>
    <row r="37" spans="1:30">
      <c r="A37" s="2625" t="s">
        <v>2230</v>
      </c>
      <c r="B37" s="2426" t="s">
        <v>304</v>
      </c>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3412</v>
      </c>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573.27</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573.27</v>
      </c>
      <c r="H5" s="13">
        <f t="shared" ref="H5:AT5" si="0">SUM(H13:H656)</f>
        <v>573.27</v>
      </c>
      <c r="I5" s="13">
        <f t="shared" si="0"/>
        <v>573.27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573.27</v>
      </c>
      <c r="BA5" s="15">
        <f t="shared" si="1"/>
        <v>573.27</v>
      </c>
      <c r="BB5" s="15">
        <f t="shared" si="1"/>
        <v>573.27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3386</v>
      </c>
      <c r="J9" s="805"/>
      <c r="K9" s="1598"/>
      <c r="L9" s="805"/>
      <c r="M9" s="1598"/>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c r="L10" s="805"/>
      <c r="M10" s="1604"/>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3387</v>
      </c>
      <c r="E13" s="13">
        <f>IF($C$3="是",ROUND($A$3*G13/$B$3,2),ROUND($A$3*(G13-AT13)/$B$3,2))</f>
        <v>0</v>
      </c>
      <c r="F13" s="29"/>
      <c r="G13" s="30">
        <f>H13+AC13+AT13</f>
        <v>573.27</v>
      </c>
      <c r="H13" s="17">
        <f>SUMIF(I$12:AB$12,"总值",I13:AB13)</f>
        <v>573.27</v>
      </c>
      <c r="I13" s="1621">
        <v>573.27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573.27</v>
      </c>
      <c r="BA13" s="13">
        <f>SUM(BB13:BK13)</f>
        <v>573.27</v>
      </c>
      <c r="BB13" s="13">
        <f>IF($D13="是",I13-J13,0)</f>
        <v>573.27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t="s">
        <v>3387</v>
      </c>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t="s">
        <v>3387</v>
      </c>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6" sqref="G26"/>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533" t="s">
        <v>1131</v>
      </c>
      <c r="B2" s="3533"/>
      <c r="C2" s="3533"/>
      <c r="D2" s="792" t="s">
        <v>1107</v>
      </c>
      <c r="E2" s="1634" t="s">
        <v>1108</v>
      </c>
      <c r="F2" s="2654"/>
      <c r="G2" s="2645"/>
      <c r="H2" s="2646"/>
      <c r="I2" s="2320" t="s">
        <v>1132</v>
      </c>
      <c r="J2" s="2654"/>
      <c r="K2" s="2654"/>
      <c r="L2" s="2654"/>
      <c r="M2" s="2654"/>
      <c r="N2" s="2656"/>
      <c r="O2" s="2654"/>
      <c r="P2" s="2654"/>
    </row>
    <row r="3" spans="1:16" ht="15.75" thickBot="1">
      <c r="A3" s="3534" t="s">
        <v>1105</v>
      </c>
      <c r="B3" s="3534"/>
      <c r="C3" s="3534"/>
      <c r="D3" s="43">
        <f>'数据-基础表'!AY6</f>
        <v>0</v>
      </c>
      <c r="E3" s="43">
        <f>'数据-基础表'!AZ5</f>
        <v>573.27</v>
      </c>
      <c r="F3" s="2654"/>
      <c r="G3" s="1141"/>
      <c r="H3" s="1022" t="s">
        <v>1106</v>
      </c>
      <c r="I3" s="851" t="e">
        <f>ROUND('数据-基础表'!B3/'数据-基础表'!A3,2)</f>
        <v>#DIV/0!</v>
      </c>
      <c r="J3" s="2654"/>
      <c r="K3" s="2654"/>
      <c r="L3" s="2654"/>
      <c r="M3" s="2654"/>
      <c r="N3" s="2656"/>
      <c r="O3" s="2654"/>
      <c r="P3" s="2654"/>
    </row>
    <row r="4" spans="1:16" ht="15">
      <c r="A4" s="3535"/>
      <c r="B4" s="3536"/>
      <c r="C4" s="3537"/>
      <c r="D4" s="1636" t="s">
        <v>1107</v>
      </c>
      <c r="E4" s="1637" t="s">
        <v>1108</v>
      </c>
      <c r="F4" s="2654"/>
      <c r="G4" s="2647" t="s">
        <v>1133</v>
      </c>
      <c r="H4" s="1022" t="s">
        <v>1113</v>
      </c>
      <c r="I4" s="851" t="e">
        <f>ROUND(SUMIF('数据-基础表'!I9:AS9,"地上",'数据-基础表'!I5:AS5)/'数据-基础表'!A3,2)</f>
        <v>#DIV/0!</v>
      </c>
      <c r="J4" s="2654"/>
      <c r="K4" s="2654"/>
      <c r="L4" s="2654"/>
      <c r="M4" s="2654"/>
      <c r="N4" s="2656"/>
      <c r="O4" s="2654"/>
      <c r="P4" s="2654"/>
    </row>
    <row r="5" spans="1:16">
      <c r="A5" s="44" t="s">
        <v>1109</v>
      </c>
      <c r="B5" s="3538" t="s">
        <v>1110</v>
      </c>
      <c r="C5" s="3538"/>
      <c r="D5" s="45">
        <f>ROUND($D$3*E5/$E$3,2)</f>
        <v>0</v>
      </c>
      <c r="E5" s="46">
        <f>SUMIF('数据-基础表'!$11:$11,"住宅",'数据-基础表'!$5:$5)</f>
        <v>0</v>
      </c>
      <c r="F5" s="2654"/>
      <c r="G5" s="1141"/>
      <c r="H5" s="1022" t="s">
        <v>1106</v>
      </c>
      <c r="I5" s="851" t="e">
        <f>ROUND(E31/D31,2)</f>
        <v>#DIV/0!</v>
      </c>
      <c r="J5" s="2654"/>
      <c r="K5" s="2654"/>
      <c r="L5" s="2654"/>
      <c r="M5" s="2654"/>
      <c r="N5" s="2654"/>
      <c r="O5" s="2654"/>
      <c r="P5" s="2654"/>
    </row>
    <row r="6" spans="1:16" ht="15" thickBot="1">
      <c r="A6" s="1639"/>
      <c r="B6" s="3538" t="s">
        <v>1111</v>
      </c>
      <c r="C6" s="3538"/>
      <c r="D6" s="45">
        <f>ROUND($D$3*E6/$E$3,2)</f>
        <v>0</v>
      </c>
      <c r="E6" s="46">
        <f>E3-E5</f>
        <v>573.27</v>
      </c>
      <c r="F6" s="2654"/>
      <c r="G6" s="2648" t="s">
        <v>1112</v>
      </c>
      <c r="H6" s="1142" t="s">
        <v>1113</v>
      </c>
      <c r="I6" s="2649" t="e">
        <f>ROUND(F31/D31,2)</f>
        <v>#DIV/0!</v>
      </c>
      <c r="J6" s="2654"/>
      <c r="K6" s="2654"/>
      <c r="L6" s="2654"/>
      <c r="M6" s="2654"/>
      <c r="N6" s="2654"/>
      <c r="O6" s="2654"/>
      <c r="P6" s="2654"/>
    </row>
    <row r="7" spans="1:16" ht="15.75" thickBot="1">
      <c r="A7" s="3530"/>
      <c r="B7" s="3531"/>
      <c r="C7" s="3532"/>
      <c r="D7" s="1636" t="s">
        <v>1107</v>
      </c>
      <c r="E7" s="1640"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573.27</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0</v>
      </c>
      <c r="E16" s="50">
        <f>SUM(E8:E15)</f>
        <v>573.27</v>
      </c>
      <c r="F16" s="2654"/>
      <c r="G16" s="2655"/>
      <c r="H16" s="1643" t="s">
        <v>1135</v>
      </c>
      <c r="I16" s="1644"/>
      <c r="J16" s="1135"/>
      <c r="K16" s="3527" t="s">
        <v>1135</v>
      </c>
      <c r="L16" s="3528"/>
      <c r="M16" s="3528"/>
      <c r="N16" s="3528"/>
      <c r="O16" s="3528"/>
      <c r="P16" s="3529"/>
    </row>
    <row r="17" spans="1:19" ht="15">
      <c r="A17" s="1645" t="s">
        <v>1136</v>
      </c>
      <c r="B17" s="1646" t="s">
        <v>1137</v>
      </c>
      <c r="C17" s="1647" t="s">
        <v>1138</v>
      </c>
      <c r="D17" s="1648" t="s">
        <v>1126</v>
      </c>
      <c r="E17" s="1649" t="s">
        <v>1127</v>
      </c>
      <c r="F17" s="1650"/>
      <c r="G17" s="1651"/>
      <c r="H17" s="1652" t="s">
        <v>1139</v>
      </c>
      <c r="I17" s="1653" t="s">
        <v>1124</v>
      </c>
      <c r="J17" s="1135"/>
      <c r="K17" s="3524" t="s">
        <v>1140</v>
      </c>
      <c r="L17" s="3525"/>
      <c r="M17" s="3526"/>
      <c r="N17" s="3524" t="s">
        <v>1141</v>
      </c>
      <c r="O17" s="3525"/>
      <c r="P17" s="3526"/>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11" t="s">
        <v>3410</v>
      </c>
      <c r="D19" s="45">
        <f>ROUND($D$3*E19/$E$3,2)</f>
        <v>0</v>
      </c>
      <c r="E19" s="53">
        <f t="shared" ref="E19:E26" si="1">SUM(F19:G19)</f>
        <v>573.27</v>
      </c>
      <c r="F19" s="2790">
        <f>'数据-基础表'!I13</f>
        <v>573.27</v>
      </c>
      <c r="G19" s="2791"/>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573.27</v>
      </c>
    </row>
    <row r="20" spans="1:19">
      <c r="A20" s="1665"/>
      <c r="B20" s="47" t="s">
        <v>1153</v>
      </c>
      <c r="C20" s="3411"/>
      <c r="D20" s="45">
        <f t="shared" ref="D20:D26" si="6">ROUND($D$3*E20/$E$3,2)</f>
        <v>0</v>
      </c>
      <c r="E20" s="53">
        <f t="shared" si="1"/>
        <v>0</v>
      </c>
      <c r="F20" s="2790"/>
      <c r="G20" s="2791"/>
      <c r="H20" s="670">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11"/>
      <c r="D21" s="45">
        <f t="shared" si="6"/>
        <v>0</v>
      </c>
      <c r="E21" s="53">
        <f t="shared" si="1"/>
        <v>0</v>
      </c>
      <c r="F21" s="2790"/>
      <c r="G21" s="2791"/>
      <c r="H21" s="670">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12"/>
      <c r="D22" s="45">
        <f t="shared" si="6"/>
        <v>0</v>
      </c>
      <c r="E22" s="53">
        <f t="shared" si="1"/>
        <v>0</v>
      </c>
      <c r="F22" s="2792"/>
      <c r="G22" s="2793"/>
      <c r="H22" s="670">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12"/>
      <c r="D23" s="45">
        <f>ROUND($D$3*E23/$E$3,2)</f>
        <v>0</v>
      </c>
      <c r="E23" s="53">
        <f>SUM(F23:G23)</f>
        <v>0</v>
      </c>
      <c r="F23" s="2792"/>
      <c r="G23" s="2793"/>
      <c r="H23" s="670">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12"/>
      <c r="D24" s="45">
        <f>ROUND($D$3*E24/$E$3,2)</f>
        <v>0</v>
      </c>
      <c r="E24" s="53">
        <f>SUM(F24:G24)</f>
        <v>0</v>
      </c>
      <c r="F24" s="2792"/>
      <c r="G24" s="2793"/>
      <c r="H24" s="670">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12"/>
      <c r="D25" s="45">
        <f t="shared" si="6"/>
        <v>0</v>
      </c>
      <c r="E25" s="53">
        <f t="shared" si="1"/>
        <v>0</v>
      </c>
      <c r="F25" s="2792"/>
      <c r="G25" s="2793"/>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0</v>
      </c>
      <c r="E27" s="1137">
        <f>IF(SUM(E19:E26)='数据-基础表'!BA5,SUM(E19:E26),IF(F27="地上面积有误","面积有误","地下面积有误"))</f>
        <v>573.27</v>
      </c>
      <c r="F27" s="1136">
        <f>IF(SUM(F19:F26)=E8,SUM(F19:F26),"地上面积有误")</f>
        <v>573.27</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573.27</v>
      </c>
    </row>
    <row r="28" spans="1:19">
      <c r="A28" s="1665"/>
      <c r="B28" s="47" t="s">
        <v>1155</v>
      </c>
      <c r="C28" s="1034"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1"/>
      <c r="B31" s="1672"/>
      <c r="C31" s="831" t="s">
        <v>1158</v>
      </c>
      <c r="D31" s="676">
        <f>D27+D30</f>
        <v>0</v>
      </c>
      <c r="E31" s="676">
        <f>E27+E30</f>
        <v>573.27</v>
      </c>
      <c r="F31" s="677">
        <f>F27+F30</f>
        <v>573.27</v>
      </c>
      <c r="G31" s="678">
        <f>G27+G30</f>
        <v>0</v>
      </c>
      <c r="H31" s="2654"/>
      <c r="I31" s="2654"/>
      <c r="J31" s="2654"/>
      <c r="K31" s="2654"/>
      <c r="L31" s="2654"/>
      <c r="M31" s="2654"/>
      <c r="N31" s="2654"/>
      <c r="O31" s="2654"/>
      <c r="P31" s="2654"/>
    </row>
    <row r="32" spans="1:19">
      <c r="A32" s="1638"/>
      <c r="B32" s="1638" t="s">
        <v>1159</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H6" activePane="bottomRight" state="frozen"/>
      <selection activeCell="C50" sqref="C50"/>
      <selection pane="topRight" activeCell="C50" sqref="C50"/>
      <selection pane="bottomLeft" activeCell="C50" sqref="C50"/>
      <selection pane="bottomRight" activeCell="N23" sqref="M23:N24"/>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1">
        <f>项目基本情况!D3</f>
        <v>45493</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3388</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53161</v>
      </c>
      <c r="F6" s="64">
        <f>SUMIF(项目基本情况!C$12:I$12,C6,项目基本情况!C$15:I$15)</f>
        <v>21</v>
      </c>
      <c r="G6" s="65">
        <f>IF(ISERROR(ROUND(POWER(1+H6,D6-F6)*(POWER(1+H6,F6)-1)/(POWER(1+H6,D6)-1),3)),0,ROUND(POWER(1+H6,D6-F6)*(POWER(1+H6,F6)-1)/(POWER(1+H6,D6)-1),3))</f>
        <v>0.747</v>
      </c>
      <c r="H6" s="732">
        <v>0.05</v>
      </c>
      <c r="I6" s="732">
        <v>5.5E-2</v>
      </c>
      <c r="J6" s="66">
        <v>7.0000000000000007E-2</v>
      </c>
      <c r="K6" s="1026">
        <f>SUMIF('数据-汇总表'!C$19:C$33,A6,'数据-汇总表'!E$19:E$33)</f>
        <v>573.27</v>
      </c>
      <c r="L6" s="733">
        <v>4000</v>
      </c>
      <c r="M6" s="67">
        <f t="shared" ref="M6:M14" si="0">ROUND(K6*L6/10000,0)</f>
        <v>229</v>
      </c>
      <c r="N6" s="731">
        <f>ROUND((N19+N20)/2,2)</f>
        <v>0.79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8">
        <f>ROUND($L$14*S6/10000,0)</f>
        <v>0</v>
      </c>
      <c r="U6" s="3443">
        <v>3.5</v>
      </c>
      <c r="V6" s="70">
        <v>0.02</v>
      </c>
      <c r="W6" s="70">
        <v>0.1</v>
      </c>
      <c r="X6" s="1036"/>
      <c r="Y6" s="71">
        <f>N6</f>
        <v>0.79</v>
      </c>
      <c r="Z6" s="72"/>
      <c r="AA6" s="66"/>
      <c r="AB6" s="66"/>
      <c r="AC6" s="1036"/>
      <c r="AD6" s="73"/>
      <c r="AE6" s="1037">
        <f ca="1">IF(AN6="",0,SUMIF(INDIRECT("'"&amp;AN6&amp;"'"&amp;"!E:E"),$AE$5,INDIRECT("'"&amp;AN6&amp;"'"&amp;"!F:F")))</f>
        <v>21</v>
      </c>
      <c r="AF6" s="1343"/>
      <c r="AG6" s="138">
        <f>IF(AF6="",0,AE6-AF6)</f>
        <v>0</v>
      </c>
      <c r="AH6" s="74"/>
      <c r="AI6" s="76">
        <v>365</v>
      </c>
      <c r="AJ6" s="77"/>
      <c r="AK6" s="78">
        <v>5.0000000000000001E-3</v>
      </c>
      <c r="AL6" s="79">
        <v>1E-3</v>
      </c>
      <c r="AM6" s="80">
        <v>5.0000000000000001E-3</v>
      </c>
      <c r="AN6" s="1710" t="s">
        <v>3411</v>
      </c>
      <c r="AO6" s="52">
        <f ca="1">SUMIF(INDIRECT("'"&amp;AN6&amp;"'"&amp;"!A:A"),"总价",INDIRECT("'"&amp;AN6&amp;"'"&amp;"!B:B"))</f>
        <v>794.28399999999999</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3"/>
      <c r="V8" s="70"/>
      <c r="W8" s="70"/>
      <c r="X8" s="1036"/>
      <c r="Y8" s="71"/>
      <c r="Z8" s="72"/>
      <c r="AA8" s="66"/>
      <c r="AB8" s="66"/>
      <c r="AC8" s="1036"/>
      <c r="AD8" s="73"/>
      <c r="AE8" s="1037">
        <f t="shared" ca="1" si="6"/>
        <v>0</v>
      </c>
      <c r="AF8" s="1343"/>
      <c r="AG8" s="138">
        <f t="shared" si="7"/>
        <v>0</v>
      </c>
      <c r="AH8" s="735"/>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2"/>
      <c r="AJ14" s="704"/>
      <c r="AK14" s="1038"/>
      <c r="AL14" s="1039"/>
      <c r="AM14" s="1040"/>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2"/>
      <c r="AJ15" s="704"/>
      <c r="AK15" s="1038"/>
      <c r="AL15" s="1039"/>
      <c r="AM15" s="1040"/>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0.747</v>
      </c>
      <c r="H16" s="90">
        <f>ROUND(SUMPRODUCT(H6:H13,K6:K13)/SUMPRODUCT((H6:H13&gt;0)*(K6:K13)),3)</f>
        <v>0.05</v>
      </c>
      <c r="I16" s="91"/>
      <c r="J16" s="91"/>
      <c r="K16" s="92">
        <f>SUM(K6:K15)</f>
        <v>573.27</v>
      </c>
      <c r="L16" s="93">
        <f>ROUND(M16*10000/SUM(K6:K14),0)</f>
        <v>3995</v>
      </c>
      <c r="M16" s="93">
        <f>SUM(M6:M14)</f>
        <v>229</v>
      </c>
      <c r="N16" s="94">
        <f>ROUND(SUMPRODUCT(M6:M14,N6:N14)/M16,3)</f>
        <v>0.79</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v>2007</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v>0</v>
      </c>
      <c r="C19" s="2794" t="s">
        <v>2305</v>
      </c>
      <c r="D19" s="2671"/>
      <c r="E19" s="2668"/>
      <c r="F19" s="2668"/>
      <c r="G19" s="2668"/>
      <c r="H19" s="2668"/>
      <c r="I19" s="2668"/>
      <c r="J19" s="2668"/>
      <c r="K19" s="2667"/>
      <c r="L19" s="2667"/>
      <c r="M19" s="2666"/>
      <c r="N19" s="2666">
        <f>ROUND(1-(2024-N18)/60,2)</f>
        <v>0.72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4">
        <v>2</v>
      </c>
      <c r="C20" s="2795" t="s">
        <v>2303</v>
      </c>
      <c r="D20" s="2671"/>
      <c r="E20" s="2668"/>
      <c r="F20" s="2668"/>
      <c r="G20" s="2668"/>
      <c r="H20" s="2668"/>
      <c r="I20" s="2668"/>
      <c r="J20" s="2668"/>
      <c r="K20" s="2667"/>
      <c r="L20" s="2667"/>
      <c r="M20" s="2666"/>
      <c r="N20" s="2666">
        <v>0.85</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7"/>
      <c r="C27" s="2796" t="s">
        <v>2307</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3446">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c r="C29" s="2797" t="s">
        <v>2294</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3">
        <v>0.04</v>
      </c>
      <c r="C33" s="2798" t="s">
        <v>2295</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98" t="s">
        <v>2296</v>
      </c>
      <c r="D34" s="2679" t="s">
        <v>2304</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v>200</v>
      </c>
      <c r="C35" s="2798" t="s">
        <v>2297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0.02</v>
      </c>
      <c r="C36" s="2798" t="s">
        <v>2298</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5">
        <v>0.02</v>
      </c>
      <c r="C37" s="2798" t="s">
        <v>2299</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3">
        <v>0.02</v>
      </c>
      <c r="C38" s="2798" t="s">
        <v>2299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2314</v>
      </c>
      <c r="B40" s="1074">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9">
        <v>0.05</v>
      </c>
      <c r="C44" s="2798" t="s">
        <v>2308</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7">
        <v>0.03</v>
      </c>
      <c r="C45" s="2797" t="s">
        <v>2300</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7">
        <v>0.02</v>
      </c>
      <c r="C46" s="2797" t="s">
        <v>2301</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20"/>
      <c r="C47" s="2800" t="s">
        <v>2309</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21">
        <v>0.03</v>
      </c>
      <c r="C48" s="2797" t="s">
        <v>2300</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7">
        <v>5.0000000000000001E-4</v>
      </c>
      <c r="C49" s="2797" t="s">
        <v>2302</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c r="C53" s="2656" t="s">
        <v>1246</v>
      </c>
      <c r="D53" s="2799" t="s">
        <v>2306</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539" t="s">
        <v>2286</v>
      </c>
      <c r="B1" s="3540"/>
      <c r="C1" s="3540"/>
      <c r="D1" s="3540"/>
      <c r="E1" s="3540"/>
      <c r="F1" s="3540"/>
      <c r="G1" s="354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2281</v>
      </c>
      <c r="D2" s="2456"/>
      <c r="E2" s="2453"/>
      <c r="F2" s="2457"/>
      <c r="G2" s="2455" t="s">
        <v>2282</v>
      </c>
      <c r="H2" s="795"/>
      <c r="I2" s="795"/>
      <c r="J2" s="795"/>
      <c r="K2" s="795"/>
      <c r="L2" s="795"/>
      <c r="M2" s="795"/>
      <c r="N2" s="795"/>
      <c r="O2" s="795"/>
      <c r="P2" s="795"/>
      <c r="Q2" s="795"/>
      <c r="R2" s="795"/>
    </row>
    <row r="3" spans="1:29" ht="48">
      <c r="A3" s="2436" t="s">
        <v>2283</v>
      </c>
      <c r="B3" s="2458" t="s">
        <v>2252</v>
      </c>
      <c r="C3" s="2459" t="s">
        <v>2284</v>
      </c>
      <c r="D3" s="2460"/>
      <c r="E3" s="2437" t="s">
        <v>2283</v>
      </c>
      <c r="F3" s="2461" t="s">
        <v>2253</v>
      </c>
      <c r="G3" s="2462" t="s">
        <v>2285</v>
      </c>
      <c r="H3" s="795"/>
      <c r="I3" s="795"/>
      <c r="J3" s="795"/>
      <c r="K3" s="795"/>
      <c r="L3" s="795"/>
      <c r="M3" s="795"/>
      <c r="N3" s="795"/>
      <c r="O3" s="795"/>
      <c r="P3" s="795"/>
      <c r="Q3" s="795"/>
      <c r="R3" s="795"/>
    </row>
    <row r="4" spans="1:29" ht="36.75">
      <c r="A4" s="2437"/>
      <c r="B4" s="323" t="s">
        <v>2254</v>
      </c>
      <c r="C4" s="2463" t="s">
        <v>2255</v>
      </c>
      <c r="D4" s="2460"/>
      <c r="E4" s="2464"/>
      <c r="F4" s="1368" t="s">
        <v>2256</v>
      </c>
      <c r="G4" s="2465" t="s">
        <v>2257</v>
      </c>
      <c r="H4" s="795"/>
      <c r="I4" s="795"/>
      <c r="J4" s="795"/>
      <c r="K4" s="795"/>
      <c r="L4" s="795"/>
      <c r="M4" s="795"/>
      <c r="N4" s="795"/>
      <c r="O4" s="795"/>
      <c r="P4" s="795"/>
      <c r="Q4" s="795"/>
      <c r="R4" s="795"/>
    </row>
    <row r="5" spans="1:29" ht="36.75">
      <c r="A5" s="2437"/>
      <c r="B5" s="323" t="s">
        <v>2258</v>
      </c>
      <c r="C5" s="2463" t="s">
        <v>2259</v>
      </c>
      <c r="D5" s="2460"/>
      <c r="E5" s="2464"/>
      <c r="F5" s="323" t="s">
        <v>2260</v>
      </c>
      <c r="G5" s="2465" t="s">
        <v>2261</v>
      </c>
      <c r="H5" s="795"/>
      <c r="I5" s="795"/>
      <c r="J5" s="795"/>
      <c r="K5" s="795"/>
      <c r="L5" s="795"/>
      <c r="M5" s="795"/>
      <c r="N5" s="795"/>
      <c r="O5" s="795"/>
      <c r="P5" s="795"/>
      <c r="Q5" s="795"/>
      <c r="R5" s="795"/>
    </row>
    <row r="6" spans="1:29" ht="36">
      <c r="A6" s="2437"/>
      <c r="B6" s="323" t="s">
        <v>2262</v>
      </c>
      <c r="C6" s="2465" t="s">
        <v>2257</v>
      </c>
      <c r="D6" s="2460"/>
      <c r="E6" s="2464"/>
      <c r="F6" s="323" t="s">
        <v>2263</v>
      </c>
      <c r="G6" s="2465" t="s">
        <v>2264</v>
      </c>
      <c r="H6" s="795"/>
      <c r="I6" s="795"/>
      <c r="J6" s="795"/>
      <c r="K6" s="795"/>
      <c r="L6" s="795"/>
      <c r="M6" s="795"/>
      <c r="N6" s="795"/>
      <c r="O6" s="795"/>
      <c r="P6" s="795"/>
      <c r="Q6" s="795"/>
      <c r="R6" s="795"/>
    </row>
    <row r="7" spans="1:29" ht="24.75" thickBot="1">
      <c r="A7" s="2437"/>
      <c r="B7" s="323" t="s">
        <v>2260</v>
      </c>
      <c r="C7" s="2465" t="s">
        <v>2261</v>
      </c>
      <c r="D7" s="2466"/>
      <c r="E7" s="2467"/>
      <c r="F7" s="2468" t="s">
        <v>2265</v>
      </c>
      <c r="G7" s="2469" t="s">
        <v>2266</v>
      </c>
      <c r="H7" s="795"/>
      <c r="I7" s="795"/>
      <c r="J7" s="795"/>
      <c r="K7" s="795"/>
      <c r="L7" s="795"/>
      <c r="M7" s="795"/>
      <c r="N7" s="795"/>
      <c r="O7" s="795"/>
      <c r="P7" s="795"/>
      <c r="Q7" s="795"/>
      <c r="R7" s="795"/>
    </row>
    <row r="8" spans="1:29">
      <c r="A8" s="2437"/>
      <c r="B8" s="323" t="s">
        <v>2263</v>
      </c>
      <c r="C8" s="2465" t="s">
        <v>2264</v>
      </c>
      <c r="D8" s="2466"/>
      <c r="E8" s="2466"/>
      <c r="F8" s="2470"/>
      <c r="G8" s="2470"/>
      <c r="H8" s="795"/>
      <c r="I8" s="795"/>
      <c r="J8" s="795"/>
      <c r="K8" s="795"/>
      <c r="L8" s="795"/>
      <c r="M8" s="795"/>
      <c r="N8" s="795"/>
      <c r="O8" s="795"/>
      <c r="P8" s="795"/>
      <c r="Q8" s="795"/>
      <c r="R8" s="795"/>
    </row>
    <row r="9" spans="1:29" ht="24">
      <c r="A9" s="2437"/>
      <c r="B9" s="323" t="s">
        <v>2267</v>
      </c>
      <c r="C9" s="2463" t="s">
        <v>2268</v>
      </c>
      <c r="D9" s="2460"/>
      <c r="E9" s="2466"/>
      <c r="F9" s="2470"/>
      <c r="G9" s="2470"/>
      <c r="H9" s="795"/>
      <c r="I9" s="795"/>
      <c r="J9" s="795"/>
      <c r="K9" s="795"/>
      <c r="L9" s="795"/>
      <c r="M9" s="795"/>
      <c r="N9" s="795"/>
      <c r="O9" s="795"/>
      <c r="P9" s="795"/>
      <c r="Q9" s="795"/>
      <c r="R9" s="795"/>
    </row>
    <row r="10" spans="1:29" s="2476" customFormat="1" ht="15" thickBot="1">
      <c r="A10" s="2438"/>
      <c r="B10" s="2471" t="s">
        <v>2269</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2287</v>
      </c>
      <c r="B13" s="2479"/>
      <c r="C13" s="2479"/>
      <c r="D13" s="2477"/>
      <c r="E13" s="2479"/>
      <c r="F13" s="2479"/>
      <c r="G13" s="2479"/>
    </row>
    <row r="14" spans="1:29" ht="15" thickBot="1">
      <c r="A14" s="2489"/>
      <c r="B14" s="2489"/>
      <c r="C14" s="2490" t="s">
        <v>2270</v>
      </c>
      <c r="D14" s="2460"/>
      <c r="E14" s="2491"/>
      <c r="F14" s="2491"/>
      <c r="G14" s="2455" t="s">
        <v>2271</v>
      </c>
    </row>
    <row r="15" spans="1:29" ht="51">
      <c r="A15" s="2439" t="s">
        <v>2272</v>
      </c>
      <c r="B15" s="2492" t="s">
        <v>2252</v>
      </c>
      <c r="C15" s="2493" t="str">
        <f>C3</f>
        <v>估价对象周边居住用地比例、居住小区规模和社区发展完善程度，综合评价居住社区成熟度一般</v>
      </c>
      <c r="D15" s="2460"/>
      <c r="E15" s="2440" t="s">
        <v>2273</v>
      </c>
      <c r="F15" s="2492" t="s">
        <v>2274</v>
      </c>
      <c r="G15" s="2494" t="str">
        <f>G3</f>
        <v>估价对象位于XX开发区，园区建设成熟度XX，产业集聚程度XX</v>
      </c>
    </row>
    <row r="16" spans="1:29" ht="38.25">
      <c r="A16" s="2441"/>
      <c r="B16" s="2495" t="s">
        <v>2254</v>
      </c>
      <c r="C16" s="2496" t="str">
        <f>C4</f>
        <v>估价对象位于XX商圈，周边商业氛围成熟，人流量大，商业繁华度好</v>
      </c>
      <c r="D16" s="2460"/>
      <c r="E16" s="2442"/>
      <c r="F16" s="2497" t="s">
        <v>2256</v>
      </c>
      <c r="G16" s="2498" t="str">
        <f>G4</f>
        <v>估价对象周边道路状况、公共交通通达情况、停车便捷程度，综合评价交通便捷度较好</v>
      </c>
    </row>
    <row r="17" spans="1:18" ht="38.25">
      <c r="A17" s="2441"/>
      <c r="B17" s="2495" t="s">
        <v>2258</v>
      </c>
      <c r="C17" s="2496" t="str">
        <f>C5</f>
        <v>估价对象位于XX商圈，周边办公楼项目较多，入驻率高，办公集聚程度较好</v>
      </c>
      <c r="D17" s="2466"/>
      <c r="E17" s="2442"/>
      <c r="F17" s="2497" t="s">
        <v>2275</v>
      </c>
      <c r="G17" s="2499"/>
    </row>
    <row r="18" spans="1:18" ht="38.25">
      <c r="A18" s="2441"/>
      <c r="B18" s="2497" t="s">
        <v>2262</v>
      </c>
      <c r="C18" s="2498" t="str">
        <f>C6</f>
        <v>估价对象周边道路状况、公共交通通达情况、停车便捷程度，综合评价交通便捷度较好</v>
      </c>
      <c r="D18" s="2466"/>
      <c r="E18" s="2442"/>
      <c r="F18" s="2497" t="s">
        <v>2265</v>
      </c>
      <c r="G18" s="2498" t="str">
        <f>G7</f>
        <v>该园区内是否有污染型企业，绿化情况，卫生条件，整体环境状况判断</v>
      </c>
    </row>
    <row r="19" spans="1:18" ht="25.5">
      <c r="A19" s="2441"/>
      <c r="B19" s="2497" t="s">
        <v>2276</v>
      </c>
      <c r="C19" s="2499"/>
      <c r="D19" s="2460"/>
      <c r="E19" s="2442"/>
      <c r="F19" s="323" t="s">
        <v>2260</v>
      </c>
      <c r="G19" s="2498" t="str">
        <f>G5</f>
        <v>估价对象所在区域公共配套设施齐备情况</v>
      </c>
    </row>
    <row r="20" spans="1:18" ht="25.5">
      <c r="A20" s="2441"/>
      <c r="B20" s="2497" t="s">
        <v>2277</v>
      </c>
      <c r="C20" s="2496" t="str">
        <f>C9</f>
        <v>区域自然环境：；人文环境；综合评价环境状况一般</v>
      </c>
      <c r="D20" s="2466"/>
      <c r="E20" s="2442"/>
      <c r="F20" s="323" t="s">
        <v>2263</v>
      </c>
      <c r="G20" s="2498" t="str">
        <f>G6</f>
        <v>估价对象所在区域基础设施水平</v>
      </c>
    </row>
    <row r="21" spans="1:18" ht="25.5">
      <c r="A21" s="2441"/>
      <c r="B21" s="323" t="s">
        <v>2260</v>
      </c>
      <c r="C21" s="2498" t="str">
        <f>C7</f>
        <v>估价对象所在区域公共配套设施齐备情况</v>
      </c>
      <c r="D21" s="2460"/>
      <c r="E21" s="2442"/>
      <c r="F21" s="2497" t="s">
        <v>2278</v>
      </c>
      <c r="G21" s="2500"/>
    </row>
    <row r="22" spans="1:18" ht="13.5" customHeight="1">
      <c r="A22" s="2441"/>
      <c r="B22" s="323" t="s">
        <v>2263</v>
      </c>
      <c r="C22" s="2498" t="str">
        <f>C8</f>
        <v>估价对象所在区域基础设施水平</v>
      </c>
      <c r="D22" s="2460"/>
      <c r="E22" s="2442"/>
      <c r="F22" s="2497" t="s">
        <v>2269</v>
      </c>
      <c r="G22" s="2499"/>
    </row>
    <row r="23" spans="1:18" s="795" customFormat="1" ht="15" thickBot="1">
      <c r="A23" s="2441"/>
      <c r="B23" s="2497" t="s">
        <v>2278</v>
      </c>
      <c r="C23" s="2500"/>
      <c r="D23" s="1736"/>
      <c r="E23" s="2443"/>
      <c r="F23" s="2501" t="s">
        <v>2279</v>
      </c>
      <c r="G23" s="2502"/>
      <c r="H23" s="2486"/>
      <c r="I23" s="2487"/>
      <c r="J23" s="2486"/>
      <c r="K23" s="2486"/>
      <c r="L23" s="2487"/>
      <c r="M23" s="2486"/>
      <c r="N23" s="2486"/>
      <c r="O23" s="2487"/>
      <c r="P23" s="2486"/>
      <c r="Q23" s="2486"/>
      <c r="R23" s="2488"/>
    </row>
    <row r="24" spans="1:18" s="795" customFormat="1" ht="15" thickBot="1">
      <c r="A24" s="2444"/>
      <c r="B24" s="2501" t="s">
        <v>2280</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33" sqref="K33"/>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573.27</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45493</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1001</v>
      </c>
      <c r="C5" s="2507">
        <f ca="1">IF(B5=D14,结果表!H102,ROUND(B5*10000/$B$1,0))</f>
        <v>17469</v>
      </c>
      <c r="D5" s="2507" t="e">
        <f ca="1">ROUND(B5*10000/$B$2,0)</f>
        <v>#DIV/0!</v>
      </c>
      <c r="E5" s="2681"/>
      <c r="F5" s="2682"/>
      <c r="G5" s="2682"/>
      <c r="H5" s="2683"/>
      <c r="I5" s="2683"/>
      <c r="J5" s="2683"/>
      <c r="K5" s="2683"/>
    </row>
    <row r="6" spans="1:11" ht="16.5">
      <c r="A6" s="2507" t="s">
        <v>656</v>
      </c>
      <c r="B6" s="2507">
        <f ca="1">SUM(G14:G23)</f>
        <v>1001</v>
      </c>
      <c r="C6" s="2507">
        <f ca="1">IF(B6=G14,结果表!H108,ROUND(B6*10000/$B$1,0))</f>
        <v>17469</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3358</v>
      </c>
      <c r="D10" s="2507" t="s">
        <v>3359</v>
      </c>
      <c r="E10" s="3435"/>
      <c r="F10" s="3439" t="s">
        <v>3360</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573.27</v>
      </c>
      <c r="C14" s="2513"/>
      <c r="D14" s="2513">
        <f ca="1">结果表!H118</f>
        <v>1001</v>
      </c>
      <c r="E14" s="2513">
        <f ca="1">ROUND(D14*10000/B14,0)</f>
        <v>17461</v>
      </c>
      <c r="F14" s="2513" t="e">
        <f ca="1">ROUND(D14*10000/C14,0)</f>
        <v>#DIV/0!</v>
      </c>
      <c r="G14" s="2513">
        <f ca="1">结果表!D122</f>
        <v>1001</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D32" sqref="D32"/>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49" t="s">
        <v>1265</v>
      </c>
      <c r="B4" s="1750" t="s">
        <v>1266</v>
      </c>
      <c r="C4" s="1751" t="s">
        <v>3421</v>
      </c>
      <c r="D4" s="1751" t="s">
        <v>3411</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2"/>
      <c r="G5" s="1752"/>
      <c r="H5" s="1752"/>
      <c r="I5" s="1368"/>
    </row>
    <row r="6" spans="1:12" ht="12.75">
      <c r="A6" s="3556"/>
      <c r="B6" s="3611"/>
      <c r="C6" s="3616"/>
      <c r="D6" s="3602"/>
      <c r="E6" s="131" t="s">
        <v>1270</v>
      </c>
      <c r="F6" s="1752"/>
      <c r="G6" s="1752"/>
      <c r="H6" s="1752"/>
      <c r="I6" s="1368"/>
    </row>
    <row r="7" spans="1:12" ht="12.75">
      <c r="A7" s="3556"/>
      <c r="B7" s="3611"/>
      <c r="C7" s="3615"/>
      <c r="D7" s="3602"/>
      <c r="E7" s="131" t="s">
        <v>1271</v>
      </c>
      <c r="F7" s="1752"/>
      <c r="G7" s="1752"/>
      <c r="H7" s="1752"/>
      <c r="I7" s="1368"/>
    </row>
    <row r="8" spans="1:12" ht="12.75">
      <c r="A8" s="3556" t="s">
        <v>1272</v>
      </c>
      <c r="B8" s="3611">
        <v>15</v>
      </c>
      <c r="C8" s="3614"/>
      <c r="D8" s="3602"/>
      <c r="E8" s="131" t="s">
        <v>1273</v>
      </c>
      <c r="F8" s="1752"/>
      <c r="G8" s="1752"/>
      <c r="H8" s="1752"/>
      <c r="I8" s="1368"/>
    </row>
    <row r="9" spans="1:12" ht="12.75">
      <c r="A9" s="3556"/>
      <c r="B9" s="3611"/>
      <c r="C9" s="3615"/>
      <c r="D9" s="3602"/>
      <c r="E9" s="131" t="s">
        <v>1274</v>
      </c>
      <c r="F9" s="1752"/>
      <c r="G9" s="1752"/>
      <c r="H9" s="1752"/>
      <c r="I9" s="1368"/>
    </row>
    <row r="10" spans="1:12" ht="12.75">
      <c r="A10" s="3556" t="s">
        <v>1275</v>
      </c>
      <c r="B10" s="3611">
        <v>15</v>
      </c>
      <c r="C10" s="3614"/>
      <c r="D10" s="3602"/>
      <c r="E10" s="131" t="s">
        <v>1276</v>
      </c>
      <c r="F10" s="1752"/>
      <c r="G10" s="1752"/>
      <c r="H10" s="1752"/>
      <c r="I10" s="1368"/>
    </row>
    <row r="11" spans="1:12" ht="12.75">
      <c r="A11" s="3556"/>
      <c r="B11" s="3611"/>
      <c r="C11" s="3615"/>
      <c r="D11" s="3602"/>
      <c r="E11" s="131" t="s">
        <v>1277</v>
      </c>
      <c r="F11" s="1752"/>
      <c r="G11" s="1752"/>
      <c r="H11" s="1752"/>
      <c r="I11" s="1368"/>
    </row>
    <row r="12" spans="1:12" ht="12.75">
      <c r="A12" s="3556" t="s">
        <v>1278</v>
      </c>
      <c r="B12" s="3611">
        <v>15</v>
      </c>
      <c r="C12" s="3614"/>
      <c r="D12" s="3602"/>
      <c r="E12" s="131" t="s">
        <v>1279</v>
      </c>
      <c r="F12" s="1752"/>
      <c r="G12" s="1752"/>
      <c r="H12" s="1752"/>
      <c r="I12" s="1368"/>
    </row>
    <row r="13" spans="1:12" ht="12.75">
      <c r="A13" s="3556"/>
      <c r="B13" s="3611"/>
      <c r="C13" s="3615"/>
      <c r="D13" s="3602"/>
      <c r="E13" s="131" t="s">
        <v>1280</v>
      </c>
      <c r="F13" s="1752"/>
      <c r="G13" s="1752"/>
      <c r="H13" s="1752"/>
      <c r="I13" s="1368"/>
    </row>
    <row r="14" spans="1:12" ht="12.75">
      <c r="A14" s="3556" t="s">
        <v>1281</v>
      </c>
      <c r="B14" s="3611">
        <v>30</v>
      </c>
      <c r="C14" s="3614">
        <v>6</v>
      </c>
      <c r="D14" s="3602">
        <v>4</v>
      </c>
      <c r="E14" s="131" t="s">
        <v>1282</v>
      </c>
      <c r="F14" s="1752"/>
      <c r="G14" s="1752"/>
      <c r="H14" s="1752"/>
      <c r="I14" s="1368"/>
    </row>
    <row r="15" spans="1:12" ht="12.75">
      <c r="A15" s="3556"/>
      <c r="B15" s="3611"/>
      <c r="C15" s="3616"/>
      <c r="D15" s="3602"/>
      <c r="E15" s="131" t="s">
        <v>1283</v>
      </c>
      <c r="F15" s="1752"/>
      <c r="G15" s="1752"/>
      <c r="H15" s="1752"/>
      <c r="I15" s="1368"/>
    </row>
    <row r="16" spans="1:12" ht="12.75">
      <c r="A16" s="3556"/>
      <c r="B16" s="3611"/>
      <c r="C16" s="3615"/>
      <c r="D16" s="3602"/>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633" t="s">
        <v>2131</v>
      </c>
      <c r="F18" s="3634"/>
      <c r="G18" s="3634"/>
      <c r="H18" s="3634"/>
      <c r="I18" s="3634"/>
      <c r="K18" s="302" t="s">
        <v>1289</v>
      </c>
      <c r="L18" s="302">
        <f>IF(C1="",'数据-汇总表'!E3,SUMIF(项目类型,C1,'数据-汇总表'!E17:E26)+SUMIF(项目类型,C1,'数据-汇总表'!I17:I26))</f>
        <v>573.27</v>
      </c>
      <c r="M18" s="302">
        <f>IF(C1="",'数据-汇总表'!E3,SUMIF(项目类型,C1,'数据-汇总表'!E17:E26))</f>
        <v>573.27</v>
      </c>
    </row>
    <row r="19" spans="1:36" ht="15">
      <c r="A19" s="1756" t="s">
        <v>1290</v>
      </c>
      <c r="B19" s="1757" t="s">
        <v>1291</v>
      </c>
      <c r="C19" s="134">
        <f ca="1">SUMIF(INDIRECT("'"&amp;C4&amp;"'"&amp;"!A:A"),结果表!B19,INDIRECT("'"&amp;C4&amp;"'"&amp;"!B:B"))</f>
        <v>1139.6306999999999</v>
      </c>
      <c r="D19" s="135">
        <f ca="1">SUMIF(INDIRECT("'"&amp;D4&amp;"'"&amp;"!A:A"),结果表!B19,INDIRECT("'"&amp;D4&amp;"'"&amp;"!B:B"))</f>
        <v>794.28399999999999</v>
      </c>
      <c r="E19" s="1756" t="s">
        <v>1292</v>
      </c>
      <c r="F19" s="1757" t="s">
        <v>1291</v>
      </c>
      <c r="G19" s="136">
        <f ca="1">ROUND(C19*$C$18+D19*$D$18,0)</f>
        <v>1001</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2" t="s">
        <v>1295</v>
      </c>
      <c r="C20" s="137">
        <f ca="1">SUMIF(INDIRECT("'"&amp;C4&amp;"'"&amp;"!A:A"),结果表!B20,INDIRECT("'"&amp;C4&amp;"'"&amp;"!B:B"))</f>
        <v>19879</v>
      </c>
      <c r="D20" s="138">
        <f ca="1">SUMIF(INDIRECT("'"&amp;D4&amp;"'"&amp;"!A:A"),结果表!B20,INDIRECT("'"&amp;D4&amp;"'"&amp;"!B:B"))</f>
        <v>13855</v>
      </c>
      <c r="E20" s="1759"/>
      <c r="F20" s="1022" t="s">
        <v>1295</v>
      </c>
      <c r="G20" s="139">
        <f ca="1">ROUND(C20*$C$18+D20*$D$18,0)</f>
        <v>17469</v>
      </c>
      <c r="H20" s="804" t="s">
        <v>1296</v>
      </c>
      <c r="I20" s="129"/>
    </row>
    <row r="21" spans="1:36" ht="15" customHeight="1" thickBot="1">
      <c r="A21" s="824"/>
      <c r="B21" s="1760" t="s">
        <v>1297</v>
      </c>
      <c r="C21" s="719" t="e">
        <f ca="1">ROUND(C19*10000/L19,0)</f>
        <v>#DIV/0!</v>
      </c>
      <c r="D21" s="720" t="e">
        <f ca="1">ROUND(D19*10000/L19,0)</f>
        <v>#DIV/0!</v>
      </c>
      <c r="E21" s="824"/>
      <c r="F21" s="1760" t="s">
        <v>1297</v>
      </c>
      <c r="G21" s="140" t="e">
        <f ca="1">ROUND(G19*10000/L19,0)</f>
        <v>#DIV/0!</v>
      </c>
      <c r="H21" s="1761" t="s">
        <v>1296</v>
      </c>
      <c r="I21" s="129"/>
    </row>
    <row r="22" spans="1:36" ht="15" thickBot="1">
      <c r="A22" s="1683" t="s">
        <v>1298</v>
      </c>
      <c r="B22" s="1762"/>
      <c r="C22" s="1763"/>
      <c r="D22" s="721">
        <f ca="1">IF(C19&lt;D19,D19/C19-1,C19/D19-1)</f>
        <v>0.43478994918694069</v>
      </c>
      <c r="E22" s="129"/>
      <c r="F22" s="129"/>
      <c r="G22" s="129"/>
      <c r="H22" s="129"/>
      <c r="I22" s="129"/>
    </row>
    <row r="23" spans="1:36" ht="13.5" thickBot="1">
      <c r="A23" s="1742"/>
      <c r="B23" s="1742"/>
      <c r="C23" s="1742"/>
      <c r="D23" s="1742"/>
      <c r="E23" s="129"/>
      <c r="F23" s="129"/>
      <c r="G23" s="129"/>
      <c r="H23" s="129"/>
      <c r="I23" s="129"/>
    </row>
    <row r="24" spans="1:36" ht="14.25">
      <c r="A24" s="3626" t="s">
        <v>1299</v>
      </c>
      <c r="B24" s="1757" t="s">
        <v>1291</v>
      </c>
      <c r="C24" s="136">
        <f>IF(B30=0,0,D30)</f>
        <v>0</v>
      </c>
      <c r="D24" s="1764"/>
      <c r="E24" s="129"/>
      <c r="F24" s="129"/>
      <c r="G24" s="129"/>
      <c r="H24" s="129"/>
      <c r="I24" s="129"/>
    </row>
    <row r="25" spans="1:36" ht="14.25">
      <c r="A25" s="3627"/>
      <c r="B25" s="1022"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17469</v>
      </c>
      <c r="D32" s="1770" t="s">
        <v>3647</v>
      </c>
      <c r="E32" s="129"/>
      <c r="F32" s="129"/>
      <c r="G32" s="129"/>
      <c r="H32" s="129"/>
      <c r="I32" s="129"/>
    </row>
    <row r="33" spans="1:15" ht="15">
      <c r="A33" s="782" t="s">
        <v>1306</v>
      </c>
      <c r="B33" s="1771"/>
      <c r="C33" s="1772"/>
      <c r="D33" s="1773"/>
      <c r="E33" s="1774" t="s">
        <v>1307</v>
      </c>
      <c r="F33" s="1775" t="str">
        <f>IF(D32="楼面单价","取值（单价）","取值（总价）")</f>
        <v>取值（单价）</v>
      </c>
      <c r="G33" s="129"/>
      <c r="H33" s="129"/>
      <c r="I33" s="129"/>
    </row>
    <row r="34" spans="1:15" ht="15">
      <c r="A34" s="1776"/>
      <c r="B34" s="1777"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8" t="s">
        <v>1309</v>
      </c>
      <c r="F34" s="1325"/>
      <c r="G34" s="129"/>
      <c r="H34" s="129"/>
      <c r="I34" s="129"/>
    </row>
    <row r="35" spans="1:15" ht="15.75" thickBot="1">
      <c r="A35" s="1779"/>
      <c r="B35" s="1780"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1" t="s">
        <v>1311</v>
      </c>
      <c r="F35" s="154"/>
      <c r="G35" s="129"/>
      <c r="H35" s="129"/>
      <c r="I35" s="129"/>
    </row>
    <row r="36" spans="1:15" ht="15.75" thickBot="1">
      <c r="A36" s="3603" t="s">
        <v>1312</v>
      </c>
      <c r="B36" s="1782" t="s">
        <v>1313</v>
      </c>
      <c r="C36" s="145"/>
      <c r="D36" s="1783"/>
      <c r="E36" s="1784"/>
      <c r="F36" s="1785"/>
      <c r="G36" s="129"/>
      <c r="H36" s="129"/>
      <c r="I36" s="129"/>
    </row>
    <row r="37" spans="1:15" ht="15.75" thickBot="1">
      <c r="A37" s="3604"/>
      <c r="B37" s="1669" t="s">
        <v>1314</v>
      </c>
      <c r="C37" s="147"/>
      <c r="D37" s="1135"/>
      <c r="E37" s="1135"/>
      <c r="F37" s="1785"/>
      <c r="G37" s="129"/>
      <c r="H37" s="129"/>
      <c r="I37" s="129"/>
    </row>
    <row r="38" spans="1:15" ht="15.75" thickBot="1">
      <c r="A38" s="3605"/>
      <c r="B38" s="1786" t="s">
        <v>1315</v>
      </c>
      <c r="C38" s="674"/>
      <c r="D38" s="1787" t="s">
        <v>1316</v>
      </c>
      <c r="E38" s="1135"/>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23" t="s">
        <v>1326</v>
      </c>
      <c r="B45" s="3624"/>
      <c r="C45" s="3625"/>
      <c r="D45" s="155">
        <f ca="1">ROUND(H101*F45,0)</f>
        <v>1001</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1"/>
      <c r="I46" s="159"/>
      <c r="J46" s="2518">
        <v>1</v>
      </c>
      <c r="K46" s="3544" t="s">
        <v>1331</v>
      </c>
      <c r="L46" s="3544"/>
      <c r="M46" s="3545"/>
      <c r="N46" s="3545"/>
      <c r="O46" s="3545"/>
    </row>
    <row r="47" spans="1:15" ht="12" customHeight="1">
      <c r="A47" s="160" t="s">
        <v>1332</v>
      </c>
      <c r="B47" s="161"/>
      <c r="C47" s="162"/>
      <c r="D47" s="1083" t="s">
        <v>1333</v>
      </c>
      <c r="E47" s="302" t="s">
        <v>1334</v>
      </c>
      <c r="F47" s="163" t="s">
        <v>1335</v>
      </c>
      <c r="G47" s="2541" t="s">
        <v>1336</v>
      </c>
      <c r="H47" s="2542"/>
      <c r="I47" s="159"/>
      <c r="J47" s="2518">
        <v>2</v>
      </c>
      <c r="K47" s="3544" t="s">
        <v>1337</v>
      </c>
      <c r="L47" s="3544"/>
      <c r="M47" s="3546">
        <f>'数据-取费表'!B2</f>
        <v>45493</v>
      </c>
      <c r="N47" s="3546"/>
      <c r="O47" s="3546"/>
    </row>
    <row r="48" spans="1:15" ht="25.5">
      <c r="A48" s="3606" t="s">
        <v>1338</v>
      </c>
      <c r="B48" s="3607"/>
      <c r="C48" s="3607"/>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1"/>
      <c r="J48" s="2518">
        <v>3</v>
      </c>
      <c r="K48" s="3544" t="s">
        <v>1340</v>
      </c>
      <c r="L48" s="3544"/>
      <c r="M48" s="3547">
        <f ca="1">H101</f>
        <v>1001</v>
      </c>
      <c r="N48" s="3547"/>
      <c r="O48" s="3547"/>
    </row>
    <row r="49" spans="1:35" ht="25.5" customHeight="1">
      <c r="A49" s="2328" t="s">
        <v>1341</v>
      </c>
      <c r="B49" s="3592" t="s">
        <v>1342</v>
      </c>
      <c r="C49" s="3592"/>
      <c r="D49" s="1585">
        <v>0</v>
      </c>
      <c r="E49" s="324" t="s">
        <v>1343</v>
      </c>
      <c r="F49" s="2419" t="s">
        <v>28</v>
      </c>
      <c r="G49" s="3575"/>
      <c r="H49" s="2305" t="s">
        <v>2134</v>
      </c>
      <c r="I49" s="2306"/>
      <c r="J49" s="2518">
        <v>4</v>
      </c>
      <c r="K49" s="3544" t="str">
        <f>IF(项目基本情况!E8="房地产抵押价值","房地产抵押价值","抵押担保权已注销时的房地产抵押价值")</f>
        <v>房地产抵押价值</v>
      </c>
      <c r="L49" s="3544"/>
      <c r="M49" s="3547">
        <f ca="1">IF(项目基本情况!E8="房地产抵押价值",H107,H109)</f>
        <v>1001</v>
      </c>
      <c r="N49" s="3547"/>
      <c r="O49" s="3547"/>
    </row>
    <row r="50" spans="1:35" ht="25.5" customHeight="1">
      <c r="A50" s="2546"/>
      <c r="B50" s="3592" t="s">
        <v>1344</v>
      </c>
      <c r="C50" s="3592"/>
      <c r="D50" s="2547"/>
      <c r="E50" s="332"/>
      <c r="F50" s="2419"/>
      <c r="G50" s="3576"/>
      <c r="H50" s="2307" t="s">
        <v>2135</v>
      </c>
      <c r="I50" s="2306"/>
      <c r="J50" s="3543" t="s">
        <v>1345</v>
      </c>
      <c r="K50" s="3543"/>
      <c r="L50" s="3543"/>
      <c r="M50" s="3543"/>
      <c r="N50" s="3543"/>
      <c r="O50" s="3543"/>
    </row>
    <row r="51" spans="1:35" ht="20.45" customHeight="1">
      <c r="A51" s="2548"/>
      <c r="B51" s="3592" t="s">
        <v>1346</v>
      </c>
      <c r="C51" s="3592"/>
      <c r="D51" s="1083"/>
      <c r="E51" s="327"/>
      <c r="F51" s="2419"/>
      <c r="G51" s="3577"/>
      <c r="H51" s="2307" t="s">
        <v>2136</v>
      </c>
      <c r="I51" s="2306"/>
      <c r="J51" s="2519" t="s">
        <v>1347</v>
      </c>
      <c r="K51" s="3544" t="s">
        <v>1348</v>
      </c>
      <c r="L51" s="3544"/>
      <c r="M51" s="2519" t="s">
        <v>1349</v>
      </c>
      <c r="N51" s="2519" t="s">
        <v>1350</v>
      </c>
      <c r="O51" s="2519" t="s">
        <v>1351</v>
      </c>
    </row>
    <row r="52" spans="1:35" ht="24" customHeight="1">
      <c r="A52" s="2330" t="s">
        <v>1352</v>
      </c>
      <c r="B52" s="3592" t="s">
        <v>1353</v>
      </c>
      <c r="C52" s="3592"/>
      <c r="D52" s="1083">
        <f ca="1">ROUND(D45*'数据-取费表'!B41/(1+'数据-取费表'!C42),0)</f>
        <v>52</v>
      </c>
      <c r="E52" s="2329" t="s">
        <v>1354</v>
      </c>
      <c r="F52" s="2549">
        <f>'数据-取费表'!B41</f>
        <v>5.5000000000000007E-2</v>
      </c>
      <c r="G52" s="2550"/>
      <c r="H52" s="2539"/>
      <c r="I52" s="1802"/>
      <c r="J52" s="2518">
        <v>1</v>
      </c>
      <c r="K52" s="3569" t="s">
        <v>1355</v>
      </c>
      <c r="L52" s="3569"/>
      <c r="M52" s="2520" t="b">
        <f>D48</f>
        <v>0</v>
      </c>
      <c r="N52" s="2518" t="str">
        <f>E48</f>
        <v>销售额×税（费）率</v>
      </c>
      <c r="O52" s="2521">
        <f>F48</f>
        <v>5.5000000000000007E-2</v>
      </c>
    </row>
    <row r="53" spans="1:35" ht="12" customHeight="1">
      <c r="A53" s="2330" t="s">
        <v>1356</v>
      </c>
      <c r="B53" s="3593" t="s">
        <v>2291</v>
      </c>
      <c r="C53" s="3594"/>
      <c r="D53" s="1083">
        <f ca="1">ROUND(D45*'数据-取费表'!B41/(1+'数据-取费表'!C42),0)</f>
        <v>52</v>
      </c>
      <c r="E53" s="2329" t="s">
        <v>1354</v>
      </c>
      <c r="F53" s="2549">
        <f>'数据-取费表'!B41</f>
        <v>5.5000000000000007E-2</v>
      </c>
      <c r="G53" s="2550"/>
      <c r="H53" s="2539"/>
      <c r="I53" s="1802"/>
      <c r="J53" s="2518">
        <v>2</v>
      </c>
      <c r="K53" s="3569" t="s">
        <v>1357</v>
      </c>
      <c r="L53" s="3569"/>
      <c r="M53" s="2520">
        <f t="shared" ref="M53:O54" ca="1" si="0">D55</f>
        <v>1</v>
      </c>
      <c r="N53" s="2518" t="str">
        <f t="shared" si="0"/>
        <v>销售额×税（费）率</v>
      </c>
      <c r="O53" s="2521" t="str">
        <f t="shared" si="0"/>
        <v>免征</v>
      </c>
    </row>
    <row r="54" spans="1:35" ht="12" customHeight="1">
      <c r="A54" s="2330" t="s">
        <v>1358</v>
      </c>
      <c r="B54" s="3593" t="s">
        <v>2292</v>
      </c>
      <c r="C54" s="3594"/>
      <c r="D54" s="1083">
        <f ca="1">C68</f>
        <v>52</v>
      </c>
      <c r="E54" s="327" t="s">
        <v>1359</v>
      </c>
      <c r="F54" s="2549">
        <f>'数据-取费表'!B41</f>
        <v>5.5000000000000007E-2</v>
      </c>
      <c r="G54" s="2550"/>
      <c r="H54" s="2551"/>
      <c r="I54" s="1802"/>
      <c r="J54" s="2518">
        <v>3</v>
      </c>
      <c r="K54" s="3569" t="s">
        <v>1360</v>
      </c>
      <c r="L54" s="3569"/>
      <c r="M54" s="2520">
        <f t="shared" ca="1" si="0"/>
        <v>567</v>
      </c>
      <c r="N54" s="2518" t="str">
        <f t="shared" si="0"/>
        <v>增值额×税（费）率</v>
      </c>
      <c r="O54" s="2522" t="str">
        <f t="shared" si="0"/>
        <v>免征</v>
      </c>
    </row>
    <row r="55" spans="1:35" ht="24" customHeight="1">
      <c r="A55" s="3629" t="s">
        <v>1361</v>
      </c>
      <c r="B55" s="3607"/>
      <c r="C55" s="3607"/>
      <c r="D55" s="2319">
        <f ca="1">IF(H55="个人住宅",0,ROUND(D45*I55,0))</f>
        <v>1</v>
      </c>
      <c r="E55" s="2329" t="s">
        <v>1362</v>
      </c>
      <c r="F55" s="2549" t="str">
        <f>IF(H55="正常",I55,"免征")</f>
        <v>免征</v>
      </c>
      <c r="G55" s="2550"/>
      <c r="H55" s="2545"/>
      <c r="I55" s="165">
        <f>'数据-取费表'!B49</f>
        <v>5.0000000000000001E-4</v>
      </c>
      <c r="J55" s="2518">
        <f>IF(H59="非个人房产","",4)</f>
        <v>4</v>
      </c>
      <c r="K55" s="3569" t="str">
        <f>IF(H59="非个人房产","——","个人所得税")</f>
        <v>个人所得税</v>
      </c>
      <c r="L55" s="3569"/>
      <c r="M55" s="2523">
        <f ca="1">D59</f>
        <v>10</v>
      </c>
      <c r="N55" s="2035" t="str">
        <f>E59</f>
        <v>差额计税</v>
      </c>
      <c r="O55" s="2524">
        <f>F59</f>
        <v>0.01</v>
      </c>
    </row>
    <row r="56" spans="1:35" ht="24.75">
      <c r="A56" s="3629" t="s">
        <v>1363</v>
      </c>
      <c r="B56" s="3607"/>
      <c r="C56" s="3607"/>
      <c r="D56" s="2319">
        <f ca="1">IF(H56="个人住宅",D57,D58)</f>
        <v>567</v>
      </c>
      <c r="E56" s="2329" t="s">
        <v>1364</v>
      </c>
      <c r="F56" s="2549" t="str">
        <f>IF(H56="正常",F58,"免征")</f>
        <v>免征</v>
      </c>
      <c r="G56" s="2552" t="s">
        <v>1365</v>
      </c>
      <c r="H56" s="2553"/>
      <c r="I56" s="1803"/>
      <c r="J56" s="2518" t="str">
        <f>IF(项目基本情况!K6="上海银行",IF(J55="",4,J55+1),"")</f>
        <v/>
      </c>
      <c r="K56" s="3550" t="str">
        <f>IF(项目基本情况!K6="上海银行","其他处置费用","")</f>
        <v/>
      </c>
      <c r="L56" s="3551"/>
      <c r="M56" s="2520" t="str">
        <f>IF(项目基本情况!K6="上海银行",M69,"")</f>
        <v/>
      </c>
      <c r="N56" s="3550" t="str">
        <f>IF(项目基本情况!K6="上海银行","包含处置中涉及的律师、诉讼、拍卖、评估等费用","")</f>
        <v/>
      </c>
      <c r="O56" s="3553"/>
    </row>
    <row r="57" spans="1:35" ht="12.75">
      <c r="A57" s="2330" t="s">
        <v>1341</v>
      </c>
      <c r="B57" s="3593" t="s">
        <v>1366</v>
      </c>
      <c r="C57" s="3594"/>
      <c r="D57" s="1585">
        <v>0</v>
      </c>
      <c r="E57" s="324" t="s">
        <v>1343</v>
      </c>
      <c r="F57" s="302"/>
      <c r="G57" s="2550"/>
      <c r="H57" s="2554"/>
      <c r="I57" s="1803"/>
      <c r="J57" s="3569">
        <f>IF(AND(J55="",J56=""),4,IF(项目基本情况!K6="上海银行",结果表!J56+1,结果表!J55+1))</f>
        <v>5</v>
      </c>
      <c r="K57" s="3569" t="s">
        <v>1367</v>
      </c>
      <c r="L57" s="2525" t="s">
        <v>1368</v>
      </c>
      <c r="M57" s="2526"/>
      <c r="N57" s="2527">
        <f ca="1">SUMIF(M52:M56,"&lt;9e307")</f>
        <v>578</v>
      </c>
      <c r="O57" s="2528"/>
      <c r="P57" s="2685">
        <f ca="1">N57/M49</f>
        <v>0.57742257742257741</v>
      </c>
    </row>
    <row r="58" spans="1:35" ht="24.75">
      <c r="A58" s="2330" t="s">
        <v>1352</v>
      </c>
      <c r="B58" s="3593" t="s">
        <v>1369</v>
      </c>
      <c r="C58" s="3592"/>
      <c r="D58" s="2319">
        <f ca="1">IF(H58="转让取得",C81,C97)</f>
        <v>567</v>
      </c>
      <c r="E58" s="2329" t="s">
        <v>1364</v>
      </c>
      <c r="F58" s="302" t="s">
        <v>28</v>
      </c>
      <c r="G58" s="2550"/>
      <c r="H58" s="2553"/>
      <c r="I58" s="1803"/>
      <c r="J58" s="3569"/>
      <c r="K58" s="3569"/>
      <c r="L58" s="2525" t="s">
        <v>1370</v>
      </c>
      <c r="M58" s="2529"/>
      <c r="N58" s="2530" t="str">
        <f ca="1">NUMBERSTRING(INT(N57*10000),2)&amp;"元整"</f>
        <v>伍佰柒拾捌万元整</v>
      </c>
      <c r="O58" s="2531"/>
    </row>
    <row r="59" spans="1:35" ht="24.75" thickBot="1">
      <c r="A59" s="3573" t="s">
        <v>1371</v>
      </c>
      <c r="B59" s="3574"/>
      <c r="C59" s="3574"/>
      <c r="D59" s="2555">
        <f ca="1">IF(H59="非个人房产","——",IF(H59="个人住宅（满五唯一有凭证）",0,IF(H59="个人其他（无凭证）",ROUND(D45*F59,0),ROUND(C67*F59,0))))</f>
        <v>10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571">
        <f>J57+1</f>
        <v>6</v>
      </c>
      <c r="K59" s="3569" t="s">
        <v>1372</v>
      </c>
      <c r="L59" s="2518" t="s">
        <v>1368</v>
      </c>
      <c r="M59" s="2532"/>
      <c r="N59" s="2533">
        <f ca="1">M49-N57</f>
        <v>423</v>
      </c>
      <c r="O59" s="2534"/>
    </row>
    <row r="60" spans="1:35" ht="12" customHeight="1">
      <c r="A60" s="1804"/>
      <c r="B60" s="1742"/>
      <c r="C60" s="1742"/>
      <c r="D60" s="1742"/>
      <c r="E60" s="1573"/>
      <c r="F60" s="1803"/>
      <c r="G60" s="1803"/>
      <c r="H60" s="1805"/>
      <c r="I60" s="129"/>
      <c r="J60" s="3572"/>
      <c r="K60" s="3569"/>
      <c r="L60" s="2525" t="s">
        <v>1370</v>
      </c>
      <c r="M60" s="2529"/>
      <c r="N60" s="2530" t="str">
        <f ca="1">NUMBERSTRING(INT(N59*10000),2)&amp;"元整"</f>
        <v>肆佰贰拾叁万元整</v>
      </c>
      <c r="O60" s="2531"/>
    </row>
    <row r="61" spans="1:35" ht="13.5" thickBot="1">
      <c r="A61" s="3628" t="s">
        <v>1373</v>
      </c>
      <c r="B61" s="3628"/>
      <c r="C61" s="3628"/>
      <c r="D61" s="3628"/>
      <c r="E61" s="3628"/>
      <c r="F61" s="1803"/>
      <c r="G61" s="1803"/>
      <c r="H61" s="1805"/>
      <c r="I61" s="129"/>
      <c r="J61" s="2518">
        <f>J59+1</f>
        <v>7</v>
      </c>
      <c r="K61" s="3569" t="s">
        <v>1374</v>
      </c>
      <c r="L61" s="3569"/>
      <c r="M61" s="2535"/>
      <c r="N61" s="2536">
        <f ca="1">ROUND(N59*10000/'数据-汇总表'!E3,0)</f>
        <v>7379</v>
      </c>
      <c r="O61" s="2537"/>
    </row>
    <row r="62" spans="1:35" ht="12.75">
      <c r="A62" s="3588" t="s">
        <v>1375</v>
      </c>
      <c r="B62" s="3589"/>
      <c r="C62" s="2016"/>
      <c r="D62" s="2016" t="s">
        <v>1376</v>
      </c>
      <c r="E62" s="166" t="s">
        <v>1377</v>
      </c>
      <c r="F62" s="1803"/>
      <c r="G62" s="1803"/>
      <c r="H62" s="1805"/>
      <c r="I62" s="129"/>
    </row>
    <row r="63" spans="1:35" ht="12.75">
      <c r="A63" s="173" t="s">
        <v>330</v>
      </c>
      <c r="B63" s="167" t="s">
        <v>1378</v>
      </c>
      <c r="C63" s="2559">
        <f ca="1">ROUND((C64+C65)/(1+'数据-取费表'!C42),0)</f>
        <v>953</v>
      </c>
      <c r="D63" s="167"/>
      <c r="E63" s="168"/>
      <c r="F63" s="1803"/>
      <c r="G63" s="1803"/>
      <c r="H63" s="1805"/>
      <c r="I63" s="129"/>
      <c r="J63" s="3552" t="s">
        <v>1379</v>
      </c>
      <c r="K63" s="1327" t="s">
        <v>1380</v>
      </c>
      <c r="L63" s="1327">
        <f ca="1">IF(M49&gt;10000,M49*0.5%,IF(AND(M49&gt;1000,M49&lt;=10000),M49*1%,IF(AND(M49&gt;100,M49&lt;=1000),M49*3%,IF(AND(M49&gt;10,M49&lt;=100),M49*5%,M49*8%))))</f>
        <v>10.01</v>
      </c>
      <c r="M63" s="302">
        <f ca="1">ROUND(L63,1)</f>
        <v>10</v>
      </c>
      <c r="N63" s="2538"/>
      <c r="Z63" s="1747"/>
      <c r="AI63" s="1748"/>
    </row>
    <row r="64" spans="1:35" ht="14.25" customHeight="1">
      <c r="A64" s="169" t="s">
        <v>325</v>
      </c>
      <c r="B64" s="170" t="s">
        <v>1381</v>
      </c>
      <c r="C64" s="2560">
        <f ca="1">D45</f>
        <v>1001</v>
      </c>
      <c r="D64" s="170" t="s">
        <v>26</v>
      </c>
      <c r="E64" s="172"/>
      <c r="F64" s="1803"/>
      <c r="G64" s="1803"/>
      <c r="H64" s="1805"/>
      <c r="I64" s="129"/>
      <c r="J64" s="3552"/>
      <c r="K64" s="1327" t="s">
        <v>1382</v>
      </c>
      <c r="L64" s="1327">
        <f ca="1">IF(M49&gt;2000,M49*0.5%,IF(AND(M49&gt;1000,M49&lt;=2000),M49*0.6%,IF(AND(M49&gt;500,M49&lt;=1000),M49*0.7%,IF(AND(M49&gt;200,M49&lt;=500),M49*0.8%,IF(AND(M49&gt;100,M49&lt;=200),M49*0.9%,IF(AND(M49&gt;50,M49&lt;=100),M49*1%,IF(AND(M49&gt;20,M49&lt;=50),M49*1.5%,IF(AND(M49&gt;10,M49&lt;=20),M49*2%,IF(AND(M49&gt;1,M49&lt;=10),M49*2.5%)))))))))</f>
        <v>6.0060000000000002</v>
      </c>
      <c r="M64" s="302">
        <f t="shared" ref="M64:M65" ca="1" si="1">ROUND(L64,1)</f>
        <v>6</v>
      </c>
      <c r="N64" s="2539" t="s">
        <v>1383</v>
      </c>
      <c r="Z64" s="1747"/>
      <c r="AI64" s="1748"/>
    </row>
    <row r="65" spans="1:35" ht="14.25" customHeight="1">
      <c r="A65" s="169" t="s">
        <v>326</v>
      </c>
      <c r="B65" s="170" t="s">
        <v>1384</v>
      </c>
      <c r="C65" s="2561"/>
      <c r="D65" s="170"/>
      <c r="E65" s="172"/>
      <c r="F65" s="1803"/>
      <c r="G65" s="1803"/>
      <c r="H65" s="1805"/>
      <c r="I65" s="129"/>
      <c r="J65" s="3552"/>
      <c r="K65" s="1327" t="s">
        <v>1385</v>
      </c>
      <c r="L65" s="1327">
        <f ca="1">IF(M49&gt;1000,M49*0.1%,IF(AND(M49&gt;500,M49&lt;=1000),M49*0.5%,IF(AND(M49&gt;50,M49&lt;=500),M49*1%,IF(AND(M49&gt;1,M49&lt;=50),M49*1.5%))))</f>
        <v>1.0010000000000001</v>
      </c>
      <c r="M65" s="302">
        <f t="shared" ca="1" si="1"/>
        <v>1</v>
      </c>
      <c r="N65" s="2539" t="s">
        <v>1383</v>
      </c>
      <c r="Z65" s="1747"/>
      <c r="AI65" s="1748"/>
    </row>
    <row r="66" spans="1:35" ht="14.25" customHeight="1">
      <c r="A66" s="173" t="s">
        <v>327</v>
      </c>
      <c r="B66" s="174" t="s">
        <v>1386</v>
      </c>
      <c r="C66" s="2562"/>
      <c r="D66" s="174" t="s">
        <v>26</v>
      </c>
      <c r="E66" s="1333" t="s">
        <v>671</v>
      </c>
      <c r="F66" s="1803"/>
      <c r="G66" s="1803"/>
      <c r="H66" s="1805"/>
      <c r="I66" s="129"/>
      <c r="J66" s="3552"/>
      <c r="K66" s="1327" t="s">
        <v>1387</v>
      </c>
      <c r="L66" s="1327">
        <f ca="1">M49*0.5%</f>
        <v>5.0049999999999999</v>
      </c>
      <c r="M66" s="302">
        <f ca="1">IF(L66&gt;0.5,0.5,ROUND(L66,0))</f>
        <v>0.5</v>
      </c>
      <c r="N66" s="2539" t="s">
        <v>1388</v>
      </c>
      <c r="Z66" s="1747"/>
      <c r="AI66" s="1748"/>
    </row>
    <row r="67" spans="1:35" ht="14.25" customHeight="1">
      <c r="A67" s="173" t="s">
        <v>328</v>
      </c>
      <c r="B67" s="174" t="s">
        <v>1389</v>
      </c>
      <c r="C67" s="2563">
        <f ca="1">C63-C66</f>
        <v>953</v>
      </c>
      <c r="D67" s="170" t="s">
        <v>26</v>
      </c>
      <c r="E67" s="172"/>
      <c r="F67" s="1803"/>
      <c r="G67" s="1803"/>
      <c r="H67" s="1805"/>
      <c r="I67" s="129"/>
      <c r="J67" s="3552"/>
      <c r="K67" s="1327" t="s">
        <v>1390</v>
      </c>
      <c r="L67" s="1327">
        <f ca="1">IF(M49&gt;=10000,(8.25+(M49-10000)*0.01%),IF(AND(M49&gt;=8000,M49&lt;10000),(7.85+(M49-8000)*0.02%),IF(AND(M49&gt;=5000,M49&lt;8000),(6.65+(M49-5000)*0.04%),IF(AND(M49&gt;=2000,M49&lt;5000),(4.25+(PM49-2000)*0.08%),IF(AND(M49&gt;=1000,M49&lt;2000),(2.75+(M49-1000)*0.15%),IF(AND(M49&gt;=100,M49&lt;1000),(0.5+(M49-100)*0.25%),IF(AND(M49&gt;0,M49&lt;100),M49*0.5%)))))))</f>
        <v>2.7515000000000001</v>
      </c>
      <c r="M67" s="302">
        <f ca="1">ROUND(L67*0.9,1)</f>
        <v>2.5</v>
      </c>
      <c r="N67" s="2538"/>
      <c r="Z67" s="1747"/>
      <c r="AI67" s="1748"/>
    </row>
    <row r="68" spans="1:35" ht="14.25" customHeight="1" thickBot="1">
      <c r="A68" s="176" t="s">
        <v>329</v>
      </c>
      <c r="B68" s="177" t="s">
        <v>1391</v>
      </c>
      <c r="C68" s="2564">
        <f ca="1">IF(C67&lt;=0,0,ROUND(C67*D68,0))</f>
        <v>52</v>
      </c>
      <c r="D68" s="2565">
        <f>'数据-取费表'!B41</f>
        <v>5.5000000000000007E-2</v>
      </c>
      <c r="E68" s="178"/>
      <c r="F68" s="1803"/>
      <c r="G68" s="1803"/>
      <c r="H68" s="1805"/>
      <c r="I68" s="129"/>
      <c r="J68" s="3552"/>
      <c r="K68" s="1327" t="s">
        <v>1392</v>
      </c>
      <c r="L68" s="1327">
        <f ca="1">IF(M49&gt;10000,M49*0.5%,IF(AND(M49&gt;5000,M49&lt;=10000),M49*1%,IF(AND(M49&gt;1000,M49&lt;=5000),M49*2%,IF(AND(M49&gt;200,M49&lt;=1000),M49*3%,M49*5%))))</f>
        <v>20.02</v>
      </c>
      <c r="M68" s="302">
        <f ca="1">ROUND(L68,1)</f>
        <v>20</v>
      </c>
      <c r="N68" s="2538"/>
      <c r="Z68" s="1747"/>
      <c r="AI68" s="1748"/>
    </row>
    <row r="69" spans="1:35" s="1767" customFormat="1" ht="16.5" customHeight="1">
      <c r="A69" s="1806"/>
      <c r="B69" s="1807"/>
      <c r="C69" s="1808"/>
      <c r="D69" s="1809"/>
      <c r="E69" s="1810"/>
      <c r="F69" s="1573"/>
      <c r="G69" s="1573"/>
      <c r="H69" s="1572"/>
      <c r="I69" s="1742"/>
      <c r="J69" s="3552"/>
      <c r="K69" s="1327" t="s">
        <v>1393</v>
      </c>
      <c r="L69" s="1327"/>
      <c r="M69" s="302">
        <f ca="1">ROUND(SUM(M63:M68),0)</f>
        <v>40</v>
      </c>
      <c r="N69" s="2540">
        <f ca="1">M69/M49</f>
        <v>3.996003996003996E-2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596" t="s">
        <v>1394</v>
      </c>
      <c r="B70" s="3597"/>
      <c r="C70" s="3597"/>
      <c r="D70" s="3597"/>
      <c r="E70" s="3597"/>
      <c r="F70" s="3597"/>
      <c r="G70" s="3597"/>
      <c r="H70" s="3597"/>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588" t="s">
        <v>1375</v>
      </c>
      <c r="B71" s="3589"/>
      <c r="C71" s="2016"/>
      <c r="D71" s="2016" t="s">
        <v>1376</v>
      </c>
      <c r="E71" s="179" t="s">
        <v>1377</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953</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5</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593" t="s">
        <v>1402</v>
      </c>
      <c r="F76" s="3592"/>
      <c r="G76" s="3592"/>
      <c r="H76" s="359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5</v>
      </c>
      <c r="D78" s="2572">
        <f>'数据-取费表'!B43</f>
        <v>5.000000000000001E-3</v>
      </c>
      <c r="E78" s="3585" t="s">
        <v>1406</v>
      </c>
      <c r="F78" s="3586"/>
      <c r="G78" s="3586"/>
      <c r="H78" s="358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948</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189.6</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567</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596" t="s">
        <v>1410</v>
      </c>
      <c r="B83" s="3597"/>
      <c r="C83" s="3597"/>
      <c r="D83" s="3597"/>
      <c r="E83" s="3597"/>
      <c r="F83" s="3597"/>
      <c r="G83" s="3597"/>
      <c r="H83" s="359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588" t="s">
        <v>1375</v>
      </c>
      <c r="B84" s="3589"/>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953</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5</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2288</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554" t="s">
        <v>2129</v>
      </c>
      <c r="H90" s="3555"/>
      <c r="I90" s="1816"/>
      <c r="J90" s="2516" t="s">
        <v>2289</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585" t="s">
        <v>1419</v>
      </c>
      <c r="F91" s="3586"/>
      <c r="G91" s="358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585" t="s">
        <v>1422</v>
      </c>
      <c r="F92" s="3586"/>
      <c r="G92" s="3586"/>
      <c r="H92" s="3587"/>
      <c r="I92" s="1816"/>
      <c r="J92" s="2517" t="s">
        <v>2290</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5</v>
      </c>
      <c r="D93" s="2572">
        <f>'数据-取费表'!B43</f>
        <v>5.000000000000001E-3</v>
      </c>
      <c r="E93" s="3585" t="s">
        <v>1406</v>
      </c>
      <c r="F93" s="3586"/>
      <c r="G93" s="3586"/>
      <c r="H93" s="358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630" t="s">
        <v>1426</v>
      </c>
      <c r="F94" s="3631"/>
      <c r="G94" s="3631"/>
      <c r="H94" s="363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948</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189.6</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567</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0" t="str">
        <f>C4</f>
        <v>成本法 (元)</v>
      </c>
      <c r="D101" s="2581" t="str">
        <f>D4</f>
        <v>收益法 (元)</v>
      </c>
      <c r="E101" s="3548" t="s">
        <v>1431</v>
      </c>
      <c r="F101" s="3549"/>
      <c r="G101" s="1822" t="s">
        <v>1432</v>
      </c>
      <c r="H101" s="2590">
        <f ca="1">H118</f>
        <v>1001</v>
      </c>
      <c r="I101" s="129"/>
    </row>
    <row r="102" spans="1:35" ht="18.75" customHeight="1">
      <c r="A102" s="3580" t="s">
        <v>1433</v>
      </c>
      <c r="B102" s="2579" t="s">
        <v>1432</v>
      </c>
      <c r="C102" s="2580">
        <f ca="1">IF(D32="楼面单价",ROUND(C19,0),C19)</f>
        <v>1140</v>
      </c>
      <c r="D102" s="2581">
        <f ca="1">IF(D32="楼面单价",ROUND(D19,0),D19)</f>
        <v>794</v>
      </c>
      <c r="E102" s="3548"/>
      <c r="F102" s="3549"/>
      <c r="G102" s="1822" t="s">
        <v>1434</v>
      </c>
      <c r="H102" s="2550">
        <f ca="1">I118</f>
        <v>17469</v>
      </c>
      <c r="I102" s="129"/>
    </row>
    <row r="103" spans="1:35" ht="42.75" customHeight="1">
      <c r="A103" s="3580"/>
      <c r="B103" s="2579" t="s">
        <v>1434</v>
      </c>
      <c r="C103" s="2582">
        <f ca="1">C20</f>
        <v>19879</v>
      </c>
      <c r="D103" s="2583">
        <f ca="1">D20</f>
        <v>13855</v>
      </c>
      <c r="E103" s="3541" t="s">
        <v>1435</v>
      </c>
      <c r="F103" s="3542"/>
      <c r="G103" s="1823" t="s">
        <v>1436</v>
      </c>
      <c r="H103" s="2590">
        <f>IF(D36="正常操作",H104+H105+H106,H105+H106)</f>
        <v>0</v>
      </c>
      <c r="I103" s="129"/>
    </row>
    <row r="104" spans="1:35" ht="18.75" customHeight="1">
      <c r="A104" s="3580" t="s">
        <v>1437</v>
      </c>
      <c r="B104" s="2584" t="s">
        <v>1432</v>
      </c>
      <c r="C104" s="2585">
        <f ca="1">H118</f>
        <v>1001</v>
      </c>
      <c r="D104" s="2586"/>
      <c r="E104" s="1669" t="s">
        <v>1438</v>
      </c>
      <c r="F104" s="1661"/>
      <c r="G104" s="1823" t="s">
        <v>1436</v>
      </c>
      <c r="H104" s="2591">
        <f>IF(D36="同一抵押权人同一抵押物续贷",C36&amp;"（续贷，未扣减，详见特别提示）",C36)</f>
        <v>0</v>
      </c>
      <c r="I104" s="129"/>
    </row>
    <row r="105" spans="1:35" ht="18.75" customHeight="1" thickBot="1">
      <c r="A105" s="3590"/>
      <c r="B105" s="2587" t="s">
        <v>1434</v>
      </c>
      <c r="C105" s="2588">
        <f ca="1">I118</f>
        <v>17469</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581" t="str">
        <f>IF(项目基本情况!E8="已注销","——","3.房地产抵押价值")</f>
        <v>3.房地产抵押价值</v>
      </c>
      <c r="F107" s="3549"/>
      <c r="G107" s="1822" t="s">
        <v>1432</v>
      </c>
      <c r="H107" s="2590">
        <f ca="1">IF(E107="——","——",H101-H103)</f>
        <v>1001</v>
      </c>
      <c r="I107" s="129"/>
    </row>
    <row r="108" spans="1:35" ht="18.75" customHeight="1">
      <c r="A108" s="129"/>
      <c r="B108" s="129"/>
      <c r="C108" s="129"/>
      <c r="D108" s="129"/>
      <c r="E108" s="3581"/>
      <c r="F108" s="3549"/>
      <c r="G108" s="1822" t="s">
        <v>1434</v>
      </c>
      <c r="H108" s="2550">
        <f ca="1">IF(H107=H101,H102,ROUND(H107*10000/'数据-汇总表'!E3,0))</f>
        <v>17469</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2" t="s">
        <v>1432</v>
      </c>
      <c r="H109" s="2593" t="str">
        <f>IF(E109="——","——",H101-H105-H106)</f>
        <v>——</v>
      </c>
      <c r="I109" s="129"/>
    </row>
    <row r="110" spans="1:35" ht="18.75" customHeight="1">
      <c r="A110" s="129"/>
      <c r="B110" s="129"/>
      <c r="C110" s="129"/>
      <c r="D110" s="129"/>
      <c r="E110" s="3581"/>
      <c r="F110" s="3549"/>
      <c r="G110" s="1822" t="s">
        <v>1434</v>
      </c>
      <c r="H110" s="2550"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2" t="s">
        <v>1432</v>
      </c>
      <c r="H111" s="2590" t="str">
        <f>IF(E111="——","——",N59)</f>
        <v>——</v>
      </c>
      <c r="I111" s="129"/>
    </row>
    <row r="112" spans="1:35" ht="18.75" customHeight="1" thickBot="1">
      <c r="A112" s="129"/>
      <c r="B112" s="129"/>
      <c r="C112" s="129"/>
      <c r="D112" s="129"/>
      <c r="E112" s="3583"/>
      <c r="F112" s="3584"/>
      <c r="G112" s="1825" t="s">
        <v>1434</v>
      </c>
      <c r="H112" s="2594" t="str">
        <f>IF(E111="——","——",N61)</f>
        <v>——</v>
      </c>
      <c r="I112" s="129"/>
    </row>
    <row r="113" spans="1:27" ht="18.75" customHeight="1">
      <c r="A113" s="129"/>
      <c r="B113" s="129"/>
      <c r="C113" s="129"/>
      <c r="D113" s="129"/>
      <c r="E113" s="3591" t="s">
        <v>1440</v>
      </c>
      <c r="F113" s="3591"/>
      <c r="G113" s="3591"/>
      <c r="H113" s="3591"/>
      <c r="I113" s="129"/>
    </row>
    <row r="114" spans="1:27" ht="3.75" customHeight="1">
      <c r="A114" s="1742"/>
      <c r="B114" s="1742"/>
      <c r="C114" s="1742"/>
      <c r="D114" s="1742"/>
      <c r="E114" s="1804"/>
      <c r="F114" s="1804"/>
      <c r="G114" s="1804"/>
      <c r="H114" s="1804"/>
      <c r="I114" s="1742"/>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573.27</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f ca="1">ROUND(IF(D32="总价",C32,I118*B118/10000),0)</f>
        <v>1001</v>
      </c>
      <c r="I118" s="2324">
        <f ca="1">ROUND(IF(D32="楼面单价",C32,H118*10000/B118),0)</f>
        <v>17469</v>
      </c>
    </row>
    <row r="119" spans="1:27" ht="18.75" customHeight="1">
      <c r="A119" s="3556" t="s">
        <v>1452</v>
      </c>
      <c r="B119" s="3556"/>
      <c r="C119" s="3556"/>
      <c r="D119" s="3562" t="e">
        <f ca="1">NUMBERSTRING(INT(D118*10000),2)&amp;"元整"</f>
        <v>#REF!</v>
      </c>
      <c r="E119" s="3563"/>
      <c r="F119" s="3562" t="e">
        <f ca="1">NUMBERSTRING(INT(F118*10000),2)&amp;"元整"</f>
        <v>#REF!</v>
      </c>
      <c r="G119" s="3563"/>
      <c r="H119" s="3562" t="str">
        <f ca="1">NUMBERSTRING(INT(H118*10000),2)&amp;"元整"</f>
        <v>壹仟零壹万元整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1001</v>
      </c>
      <c r="E122" s="3558"/>
      <c r="F122" s="3558"/>
      <c r="G122" s="3558"/>
      <c r="H122" s="3558"/>
      <c r="I122" s="3559"/>
      <c r="AA122" s="725"/>
    </row>
    <row r="123" spans="1:27" ht="18.75" customHeight="1">
      <c r="A123" s="3556" t="s">
        <v>1452</v>
      </c>
      <c r="B123" s="3556"/>
      <c r="C123" s="3556"/>
      <c r="D123" s="3562" t="str">
        <f ca="1">NUMBERSTRING(INT(D122*10000),2)&amp;"元整"</f>
        <v>壹仟零壹万元整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2">
        <f>MATCH(B1,'数据-取费表'!A6:A16,0)+5</f>
        <v>7</v>
      </c>
    </row>
    <row r="2" spans="1:9" s="200" customFormat="1" ht="18" customHeight="1">
      <c r="A2" s="201" t="s">
        <v>1462</v>
      </c>
      <c r="B2" s="202">
        <f ca="1">IF(D2="——",C52,C52-E2)</f>
        <v>289</v>
      </c>
      <c r="C2" s="199" t="s">
        <v>1463</v>
      </c>
      <c r="D2" s="1848" t="s">
        <v>43</v>
      </c>
      <c r="E2" s="1165"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5041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4" t="s">
        <v>1472</v>
      </c>
      <c r="B6" s="215" t="s">
        <v>1473</v>
      </c>
      <c r="C6" s="216"/>
      <c r="D6" s="217"/>
      <c r="E6" s="218"/>
      <c r="F6" s="218"/>
      <c r="G6" s="219"/>
    </row>
    <row r="7" spans="1:9" s="214" customFormat="1" ht="13.5" customHeight="1">
      <c r="A7" s="774" t="s">
        <v>1474</v>
      </c>
      <c r="B7" s="215" t="s">
        <v>1475</v>
      </c>
      <c r="C7" s="220">
        <f>ROUND(C6*F7,0)</f>
        <v>0</v>
      </c>
      <c r="D7" s="220"/>
      <c r="E7" s="218"/>
      <c r="F7" s="221">
        <f>IF(项目基本情况!B8="出让",0,'数据-取费表'!B48+'数据-取费表'!B49)</f>
        <v>3.0499999999999999E-2</v>
      </c>
      <c r="G7" s="219"/>
    </row>
    <row r="8" spans="1:9" s="223" customFormat="1">
      <c r="A8" s="774" t="s">
        <v>1476</v>
      </c>
      <c r="B8" s="215" t="s">
        <v>1477</v>
      </c>
      <c r="C8" s="220">
        <f>IF(G8="已包含在土地购买价格中","0",IF(B1="",'数据-取费表'!B29,IF(G9="全部缴纳",C9+C10,H9)))</f>
        <v>0</v>
      </c>
      <c r="D8" s="222"/>
      <c r="E8" s="220"/>
      <c r="F8" s="221"/>
      <c r="G8" s="1851"/>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0</v>
      </c>
      <c r="F9" s="221"/>
      <c r="G9" s="1852"/>
      <c r="H9" s="1133"/>
      <c r="I9" s="1853" t="s">
        <v>1479</v>
      </c>
    </row>
    <row r="10" spans="1:9" s="214" customFormat="1" ht="13.5" customHeight="1">
      <c r="A10" s="775" t="s">
        <v>356</v>
      </c>
      <c r="B10" s="224" t="s">
        <v>1480</v>
      </c>
      <c r="C10" s="225">
        <f ca="1">ROUND(D10*E10/10000,0)</f>
        <v>11</v>
      </c>
      <c r="D10" s="841">
        <f ca="1">IF(B1="",'数据-汇总表'!E6,IF(INDIRECT("'数据-取费表'!c"&amp;$G$1)="住宅",INDIRECT("'数据-取费表'!s"&amp;$G$1),INDIRECT("'数据-取费表'!k"&amp;$G$1)+INDIRECT("'数据-取费表'!s"&amp;$G$1)))</f>
        <v>573.27</v>
      </c>
      <c r="E10" s="225">
        <f>'数据-取费表'!B28</f>
        <v>190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f ca="1">IF(G19="已包含在土地取得成本中","0",ROUND(D19*E19/10000,0))</f>
        <v>11</v>
      </c>
      <c r="D19" s="845">
        <f ca="1">D9+D10</f>
        <v>573.27</v>
      </c>
      <c r="E19" s="211">
        <f>'数据-取费表'!B31</f>
        <v>200</v>
      </c>
      <c r="F19" s="231"/>
      <c r="G19" s="1851"/>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6" t="s">
        <v>1502</v>
      </c>
      <c r="B23" s="215" t="s">
        <v>1503</v>
      </c>
      <c r="C23" s="1101">
        <f ca="1">ROUND(IF('数据-取费表'!B22&lt;=1,C5*F22*'数据-取费表'!B23,C5*(POWER((1+F22),'数据-取费表'!B23)-1)),0)</f>
        <v>0</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1</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ROUND((C5+C19+C20)*F27*'数据-取费表'!B21/'数据-取费表'!B20,0)</f>
        <v>2</v>
      </c>
      <c r="D28" s="235"/>
      <c r="E28" s="236"/>
      <c r="F28" s="246"/>
      <c r="G28" s="247"/>
    </row>
    <row r="29" spans="1:7" s="214" customFormat="1" ht="13.5" customHeight="1">
      <c r="A29" s="776"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254</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229</v>
      </c>
      <c r="D34" s="217"/>
      <c r="E34" s="220"/>
      <c r="F34" s="257">
        <f ca="1">IF('数据-取费表'!B24=0,1,IF(B1="",'数据-取费表'!N16,INDIRECT("'数据-取费表'!n"&amp;$G$1)))</f>
        <v>1</v>
      </c>
      <c r="G34" s="219" t="s">
        <v>1526</v>
      </c>
    </row>
    <row r="35" spans="1:7" ht="13.5" customHeight="1">
      <c r="A35" s="776" t="s">
        <v>351</v>
      </c>
      <c r="B35" s="215" t="s">
        <v>1527</v>
      </c>
      <c r="C35" s="220">
        <f ca="1">ROUND(C34*F35,0)</f>
        <v>9</v>
      </c>
      <c r="D35" s="220"/>
      <c r="E35" s="220"/>
      <c r="F35" s="259">
        <f>'数据-取费表'!B33</f>
        <v>0.04</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11</v>
      </c>
      <c r="D37" s="217">
        <f ca="1">D19</f>
        <v>573.27</v>
      </c>
      <c r="E37" s="249">
        <f>'数据-取费表'!B35</f>
        <v>200</v>
      </c>
      <c r="F37" s="259"/>
      <c r="G37" s="261" t="s">
        <v>1532</v>
      </c>
    </row>
    <row r="38" spans="1:7" ht="13.5" customHeight="1">
      <c r="A38" s="776" t="s">
        <v>354</v>
      </c>
      <c r="B38" s="215" t="s">
        <v>1533</v>
      </c>
      <c r="C38" s="220">
        <f ca="1">ROUND(C34*F38,0)</f>
        <v>5</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2">
        <f>F21</f>
        <v>0.02</v>
      </c>
      <c r="D40" s="236" t="s">
        <v>1539</v>
      </c>
      <c r="E40" s="232"/>
      <c r="F40" s="233">
        <f>F21</f>
        <v>0.02</v>
      </c>
      <c r="G40" s="234" t="s">
        <v>1540</v>
      </c>
    </row>
    <row r="41" spans="1:7" s="214" customFormat="1" ht="13.5" customHeight="1">
      <c r="A41" s="255" t="s">
        <v>1541</v>
      </c>
      <c r="B41" s="210" t="s">
        <v>1542</v>
      </c>
      <c r="C41" s="232">
        <f ca="1">ROUND(SUM(C42:C43),0)</f>
        <v>9</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f ca="1">ROUND(IF('数据-取费表'!B22&lt;=1,C33*F22*'数据-取费表'!B21/2,C33*(POWER((1+F22),'数据-取费表'!B21/2)-1)),0)</f>
        <v>9</v>
      </c>
      <c r="D42" s="238"/>
      <c r="E42" s="238"/>
      <c r="F42" s="239"/>
      <c r="G42" s="3635" t="s">
        <v>1544</v>
      </c>
    </row>
    <row r="43" spans="1:7" ht="13.5" customHeight="1">
      <c r="A43" s="776" t="s">
        <v>347</v>
      </c>
      <c r="B43" s="215" t="s">
        <v>1545</v>
      </c>
      <c r="C43" s="238">
        <f ca="1">ROUND(IF('数据-取费表'!B22&lt;=1,C39*F22*'数据-取费表'!B21/2,C39*(POWER((1+F22),'数据-取费表'!B21/2)-1)),0)</f>
        <v>0</v>
      </c>
      <c r="D43" s="238"/>
      <c r="E43" s="238"/>
      <c r="F43" s="239"/>
      <c r="G43" s="3636"/>
    </row>
    <row r="44" spans="1:7" ht="13.5" customHeight="1">
      <c r="A44" s="776"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52</v>
      </c>
      <c r="D45" s="235">
        <f ca="1">C47</f>
        <v>4.0000000000000001E-3</v>
      </c>
      <c r="E45" s="236" t="s">
        <v>1539</v>
      </c>
      <c r="F45" s="246">
        <f ca="1">F27</f>
        <v>0.2</v>
      </c>
      <c r="G45" s="247" t="s">
        <v>1548</v>
      </c>
    </row>
    <row r="46" spans="1:7" s="214" customFormat="1" ht="13.5" customHeight="1">
      <c r="A46" s="776" t="s">
        <v>346</v>
      </c>
      <c r="B46" s="248" t="s">
        <v>1549</v>
      </c>
      <c r="C46" s="249">
        <f ca="1">ROUND((C33+C39)*F27,0)</f>
        <v>52</v>
      </c>
      <c r="D46" s="263"/>
      <c r="E46" s="236"/>
      <c r="F46" s="246"/>
      <c r="G46" s="247"/>
    </row>
    <row r="47" spans="1:7" s="214" customFormat="1" ht="13.5" customHeight="1">
      <c r="A47" s="776" t="s">
        <v>347</v>
      </c>
      <c r="B47" s="248" t="s">
        <v>1550</v>
      </c>
      <c r="C47" s="238">
        <f ca="1">ROUND(C40*F27,4)</f>
        <v>4.0000000000000001E-3</v>
      </c>
      <c r="D47" s="263"/>
      <c r="E47" s="236"/>
      <c r="F47" s="246"/>
      <c r="G47" s="247"/>
    </row>
    <row r="48" spans="1:7" s="214" customFormat="1" ht="13.5" customHeight="1">
      <c r="A48" s="255" t="s">
        <v>1512</v>
      </c>
      <c r="B48" s="210" t="s">
        <v>1551</v>
      </c>
      <c r="C48" s="1322">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347</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274</v>
      </c>
      <c r="D51" s="232"/>
      <c r="E51" s="232"/>
      <c r="F51" s="264"/>
      <c r="G51" s="234" t="s">
        <v>1560</v>
      </c>
    </row>
    <row r="52" spans="1:7" s="208" customFormat="1" ht="16.5" thickBot="1">
      <c r="A52" s="265" t="s">
        <v>1561</v>
      </c>
      <c r="B52" s="266"/>
      <c r="C52" s="267">
        <f ca="1">C31+C51</f>
        <v>289</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2" t="str">
        <f>项目基本情况!B1</f>
        <v>北京市房地产抵押价值预评估</v>
      </c>
      <c r="C37" s="3452"/>
      <c r="D37" s="3452"/>
      <c r="E37" s="3452"/>
      <c r="F37" s="3452"/>
      <c r="G37" s="3452"/>
      <c r="H37" s="3452"/>
      <c r="I37" s="3452"/>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8" sqref="I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t="s">
        <v>673</v>
      </c>
      <c r="C1" s="1854" t="s">
        <v>1563</v>
      </c>
      <c r="D1" s="198"/>
      <c r="E1" s="198"/>
      <c r="F1" s="198"/>
      <c r="G1" s="1122">
        <f>MATCH(B1,'数据-取费表'!A6:A16,0)+5</f>
        <v>6</v>
      </c>
      <c r="H1" s="1057" t="str">
        <f>IF(ISERROR(FIND("住宅",B1)),"非住宅","住宅")</f>
        <v>非住宅</v>
      </c>
    </row>
    <row r="2" spans="1:8" s="200" customFormat="1" ht="18" customHeight="1">
      <c r="A2" s="201" t="s">
        <v>1462</v>
      </c>
      <c r="B2" s="3418">
        <f ca="1">ROUND(IF(D2="——",C52/10000,C52/10000-E2),4)</f>
        <v>1139.6306999999999</v>
      </c>
      <c r="C2" s="199" t="s">
        <v>1463</v>
      </c>
      <c r="D2" s="1848" t="s">
        <v>43</v>
      </c>
      <c r="E2" s="1165"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19879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6167111</v>
      </c>
      <c r="D5" s="211" t="s">
        <v>1469</v>
      </c>
      <c r="E5" s="212" t="s">
        <v>1470</v>
      </c>
      <c r="F5" s="212" t="s">
        <v>1471</v>
      </c>
      <c r="G5" s="213"/>
    </row>
    <row r="6" spans="1:8" s="214" customFormat="1" ht="13.5" customHeight="1">
      <c r="A6" s="774" t="s">
        <v>1472</v>
      </c>
      <c r="B6" s="215" t="s">
        <v>1473</v>
      </c>
      <c r="C6" s="3445">
        <f>ROUND('土地比较法-住宅、综合'!C47*基准地价修正!D33,0)</f>
        <v>5878884</v>
      </c>
      <c r="D6" s="217"/>
      <c r="E6" s="218"/>
      <c r="F6" s="218"/>
      <c r="G6" s="219"/>
    </row>
    <row r="7" spans="1:8" s="214" customFormat="1" ht="13.5" customHeight="1">
      <c r="A7" s="774" t="s">
        <v>1474</v>
      </c>
      <c r="B7" s="215" t="s">
        <v>1475</v>
      </c>
      <c r="C7" s="220">
        <f>ROUND(C6*F7,0)</f>
        <v>179306</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108921</v>
      </c>
      <c r="D8" s="222"/>
      <c r="E8" s="220"/>
      <c r="F8" s="221"/>
      <c r="G8" s="1851" t="s">
        <v>3408</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356</v>
      </c>
      <c r="B10" s="224" t="s">
        <v>1480</v>
      </c>
      <c r="C10" s="225">
        <f ca="1">ROUND(D10*E10,0)</f>
        <v>108921</v>
      </c>
      <c r="D10" s="841">
        <f ca="1">IF(B1="",'数据-汇总表'!E6,IF(INDIRECT("'数据-取费表'!c"&amp;$G$1)="住宅",INDIRECT("'数据-取费表'!s"&amp;$G$1),INDIRECT("'数据-取费表'!k"&amp;$G$1)+INDIRECT("'数据-取费表'!s"&amp;$G$1)))</f>
        <v>573.27</v>
      </c>
      <c r="E10" s="225">
        <f>'数据-取费表'!B28</f>
        <v>190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573.27</v>
      </c>
      <c r="E19" s="211">
        <f>'数据-取费表'!B31</f>
        <v>200</v>
      </c>
      <c r="F19" s="231"/>
      <c r="G19" s="1851" t="s">
        <v>3409</v>
      </c>
    </row>
    <row r="20" spans="1:7" s="214" customFormat="1" ht="13.5" customHeight="1">
      <c r="A20" s="255" t="s">
        <v>1574</v>
      </c>
      <c r="B20" s="210" t="s">
        <v>1575</v>
      </c>
      <c r="C20" s="232">
        <f ca="1">ROUND((C5+C19)*F20,0)</f>
        <v>123342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f ca="1">ROUND(SUM(C23:C25),0)</f>
        <v>437126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6" t="s">
        <v>1472</v>
      </c>
      <c r="B23" s="215" t="s">
        <v>1583</v>
      </c>
      <c r="C23" s="1124">
        <f ca="1">ROUND(IF('数据-取费表'!B22&lt;=1,C5*F22*'数据-取费表'!B22,C5*(POWER((1+F22),'数据-取费表'!B22)-1)),0)</f>
        <v>432871</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4255</v>
      </c>
      <c r="D25" s="238"/>
      <c r="E25" s="241"/>
      <c r="F25" s="239"/>
      <c r="G25" s="242" t="s">
        <v>1588</v>
      </c>
    </row>
    <row r="26" spans="1:7" s="214" customFormat="1">
      <c r="A26" s="776"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1258091</v>
      </c>
      <c r="D27" s="235">
        <f ca="1">C29</f>
        <v>4.0000000000000001E-3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ROUND((C5+C19+C20)*F27,0)</f>
        <v>1258091</v>
      </c>
      <c r="D28" s="235"/>
      <c r="E28" s="236"/>
      <c r="F28" s="246"/>
      <c r="G28" s="247"/>
    </row>
    <row r="29" spans="1:7" s="214" customFormat="1" ht="13.5" customHeight="1">
      <c r="A29" s="776"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8652801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2545319</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2293080</v>
      </c>
      <c r="D34" s="217"/>
      <c r="E34" s="220"/>
      <c r="F34" s="257"/>
      <c r="G34" s="219"/>
    </row>
    <row r="35" spans="1:7" ht="13.5" customHeight="1">
      <c r="A35" s="776" t="s">
        <v>351</v>
      </c>
      <c r="B35" s="215" t="s">
        <v>1527</v>
      </c>
      <c r="C35" s="220">
        <f ca="1">ROUND(C34*F35,0)</f>
        <v>91723</v>
      </c>
      <c r="D35" s="220"/>
      <c r="E35" s="220"/>
      <c r="F35" s="259">
        <f>'数据-取费表'!B33</f>
        <v>0.04</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114654</v>
      </c>
      <c r="D37" s="217">
        <f ca="1">D19</f>
        <v>573.27</v>
      </c>
      <c r="E37" s="249">
        <f>'数据-取费表'!B35</f>
        <v>200</v>
      </c>
      <c r="F37" s="259"/>
      <c r="G37" s="261"/>
    </row>
    <row r="38" spans="1:7" ht="13.5" customHeight="1">
      <c r="A38" s="776" t="s">
        <v>354</v>
      </c>
      <c r="B38" s="215" t="s">
        <v>1533</v>
      </c>
      <c r="C38" s="220">
        <f ca="1">ROUND(C34*F38,0)</f>
        <v>45862</v>
      </c>
      <c r="D38" s="220"/>
      <c r="E38" s="220"/>
      <c r="F38" s="259">
        <f>'数据-取费表'!B36</f>
        <v>0.02</v>
      </c>
      <c r="G38" s="219" t="s">
        <v>1528</v>
      </c>
    </row>
    <row r="39" spans="1:7" s="214" customFormat="1" ht="13.5" customHeight="1">
      <c r="A39" s="255" t="s">
        <v>1534</v>
      </c>
      <c r="B39" s="210" t="s">
        <v>1535</v>
      </c>
      <c r="C39" s="232">
        <f ca="1">ROUND(C33*F20,0)</f>
        <v>50906</v>
      </c>
      <c r="D39" s="232"/>
      <c r="E39" s="232"/>
      <c r="F39" s="233">
        <f>F20</f>
        <v>0.02</v>
      </c>
      <c r="G39" s="234" t="s">
        <v>1536</v>
      </c>
    </row>
    <row r="40" spans="1:7" s="214" customFormat="1" ht="13.5" customHeight="1">
      <c r="A40" s="255" t="s">
        <v>1537</v>
      </c>
      <c r="B40" s="210" t="s">
        <v>1538</v>
      </c>
      <c r="C40" s="1322">
        <f>F21</f>
        <v>0.02</v>
      </c>
      <c r="D40" s="236" t="s">
        <v>1539</v>
      </c>
      <c r="E40" s="232"/>
      <c r="F40" s="233">
        <f>F21</f>
        <v>0.02</v>
      </c>
      <c r="G40" s="234" t="s">
        <v>1540</v>
      </c>
    </row>
    <row r="41" spans="1:7" s="214" customFormat="1" ht="13.5" customHeight="1">
      <c r="A41" s="255" t="s">
        <v>1541</v>
      </c>
      <c r="B41" s="210" t="s">
        <v>1542</v>
      </c>
      <c r="C41" s="232">
        <f ca="1">ROUND(SUM(C42:C43),0)</f>
        <v>89570</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f ca="1">ROUND(IF('数据-取费表'!B22&lt;=1,C33*F22*'数据-取费表'!B20/2,C33*(POWER((1+F22),'数据-取费表'!B20/2)-1)),0)</f>
        <v>87814</v>
      </c>
      <c r="D42" s="238"/>
      <c r="E42" s="238"/>
      <c r="F42" s="239"/>
      <c r="G42" s="3635" t="s">
        <v>1591</v>
      </c>
    </row>
    <row r="43" spans="1:7" ht="13.5" customHeight="1">
      <c r="A43" s="776" t="s">
        <v>347</v>
      </c>
      <c r="B43" s="215" t="s">
        <v>1545</v>
      </c>
      <c r="C43" s="238">
        <f ca="1">ROUND(IF('数据-取费表'!B22&lt;=1,C39*F22*'数据-取费表'!B20/2,C39*(POWER((1+F22),'数据-取费表'!B20/2)-1)),0)</f>
        <v>1756</v>
      </c>
      <c r="D43" s="238"/>
      <c r="E43" s="238"/>
      <c r="F43" s="239"/>
      <c r="G43" s="3636"/>
    </row>
    <row r="44" spans="1:7" ht="13.5" customHeight="1">
      <c r="A44" s="776"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519245</v>
      </c>
      <c r="D45" s="235">
        <f ca="1">C47</f>
        <v>4.0000000000000001E-3</v>
      </c>
      <c r="E45" s="236" t="s">
        <v>1539</v>
      </c>
      <c r="F45" s="246">
        <f ca="1">F27</f>
        <v>0.2</v>
      </c>
      <c r="G45" s="247" t="s">
        <v>1548</v>
      </c>
    </row>
    <row r="46" spans="1:7" s="214" customFormat="1" ht="13.5" customHeight="1">
      <c r="A46" s="776" t="s">
        <v>346</v>
      </c>
      <c r="B46" s="248" t="s">
        <v>1549</v>
      </c>
      <c r="C46" s="249">
        <f ca="1">ROUND((C33+C39)*F27,0)</f>
        <v>519245</v>
      </c>
      <c r="D46" s="263"/>
      <c r="E46" s="236"/>
      <c r="F46" s="246"/>
      <c r="G46" s="247"/>
    </row>
    <row r="47" spans="1:7" s="214" customFormat="1" ht="13.5" customHeight="1">
      <c r="A47" s="776"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3472792</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2743506</v>
      </c>
      <c r="D51" s="232"/>
      <c r="E51" s="232"/>
      <c r="F51" s="264"/>
      <c r="G51" s="234" t="s">
        <v>1560</v>
      </c>
    </row>
    <row r="52" spans="1:7" s="208" customFormat="1" ht="16.5" thickBot="1">
      <c r="A52" s="265" t="s">
        <v>1561</v>
      </c>
      <c r="B52" s="266"/>
      <c r="C52" s="267">
        <f ca="1">C31+C51</f>
        <v>11396307</v>
      </c>
      <c r="D52" s="266"/>
      <c r="E52" s="266"/>
      <c r="F52" s="266"/>
      <c r="G52" s="268"/>
    </row>
    <row r="55" spans="1:7" ht="15">
      <c r="B55" s="270" t="s">
        <v>1562</v>
      </c>
      <c r="C55" s="271"/>
    </row>
    <row r="56" spans="1:7">
      <c r="B56" s="273" t="s">
        <v>802</v>
      </c>
      <c r="C56" s="275">
        <f ca="1">1-C57</f>
        <v>0.75900000000000001</v>
      </c>
    </row>
    <row r="57" spans="1:7">
      <c r="B57" s="273" t="s">
        <v>803</v>
      </c>
      <c r="C57" s="274">
        <f ca="1">ROUND(C51/C52,3)</f>
        <v>0.24099999999999999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8" sqref="K48:K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8">
        <f ca="1">J53</f>
        <v>21</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f ca="1">ROUND(D2/10000,4)</f>
        <v>794.28399999999999</v>
      </c>
      <c r="C2" s="1382" t="s">
        <v>879</v>
      </c>
      <c r="D2" s="1466">
        <f ca="1">C40+J29+L46</f>
        <v>7942840</v>
      </c>
      <c r="E2" s="1383" t="s">
        <v>880</v>
      </c>
      <c r="F2" s="1384"/>
      <c r="G2" s="2701"/>
      <c r="H2" s="2690"/>
      <c r="I2" s="2690"/>
      <c r="J2" s="2690"/>
      <c r="K2" s="2691"/>
      <c r="L2" s="2690"/>
      <c r="M2" s="2690"/>
    </row>
    <row r="3" spans="1:37" ht="18" customHeight="1" thickBot="1">
      <c r="A3" s="1385" t="s">
        <v>881</v>
      </c>
      <c r="B3" s="1386">
        <f ca="1">IF(ISERROR(D2/F43),0,ROUND(D2/F43,0))</f>
        <v>13855</v>
      </c>
      <c r="C3" s="1382" t="s">
        <v>882</v>
      </c>
      <c r="D3" s="1382"/>
      <c r="E3" s="1383"/>
      <c r="F3" s="1384"/>
      <c r="G3" s="2701"/>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659941</v>
      </c>
      <c r="D5" s="1359" t="s">
        <v>889</v>
      </c>
      <c r="E5" s="1067"/>
      <c r="F5" s="1068"/>
      <c r="G5" s="1379"/>
      <c r="H5" s="299">
        <v>1</v>
      </c>
      <c r="I5" s="300" t="s">
        <v>888</v>
      </c>
      <c r="J5" s="1066">
        <f ca="1">J6+J10+J12</f>
        <v>0</v>
      </c>
      <c r="K5" s="1359" t="s">
        <v>889</v>
      </c>
      <c r="L5" s="1067"/>
      <c r="M5" s="1068"/>
    </row>
    <row r="6" spans="1:37" ht="18" customHeight="1">
      <c r="A6" s="1065" t="s">
        <v>398</v>
      </c>
      <c r="B6" s="3638" t="s">
        <v>694</v>
      </c>
      <c r="C6" s="1070">
        <f ca="1">ROUND(F6*F8*F7*(1-F9),0)</f>
        <v>659117</v>
      </c>
      <c r="D6" s="155" t="s">
        <v>2106</v>
      </c>
      <c r="E6" s="302" t="s">
        <v>696</v>
      </c>
      <c r="F6" s="303">
        <f ca="1">INDIRECT("'数据-取费表'!u"&amp;$G$1)</f>
        <v>3.5</v>
      </c>
      <c r="G6" s="1379"/>
      <c r="H6" s="1065" t="s">
        <v>398</v>
      </c>
      <c r="I6" s="3638" t="s">
        <v>694</v>
      </c>
      <c r="J6" s="301">
        <f ca="1">ROUND(M6*M8*M7*(1-M9),0)</f>
        <v>0</v>
      </c>
      <c r="K6" s="1371" t="s">
        <v>2107</v>
      </c>
      <c r="L6" s="302" t="s">
        <v>696</v>
      </c>
      <c r="M6" s="303">
        <f ca="1">INDIRECT("'数据-取费表'!z"&amp;$G$1)</f>
        <v>0</v>
      </c>
    </row>
    <row r="7" spans="1:37" ht="18" customHeight="1">
      <c r="A7" s="1069"/>
      <c r="B7" s="3639"/>
      <c r="C7" s="1071"/>
      <c r="D7" s="307"/>
      <c r="E7" s="1072" t="s">
        <v>697</v>
      </c>
      <c r="F7" s="303">
        <f ca="1">IF(INDIRECT("'数据-取费表'!ah"&amp;$G$1)="",INDIRECT("'数据-取费表'!k"&amp;$G$1),INDIRECT("'数据-取费表'!ah"&amp;$G$1))</f>
        <v>573.27</v>
      </c>
      <c r="G7" s="1379"/>
      <c r="H7" s="304"/>
      <c r="I7" s="3639"/>
      <c r="J7" s="306"/>
      <c r="K7" s="307"/>
      <c r="L7" s="302" t="s">
        <v>697</v>
      </c>
      <c r="M7" s="303">
        <f ca="1">F7</f>
        <v>573.27</v>
      </c>
    </row>
    <row r="8" spans="1:37" ht="18" customHeight="1">
      <c r="A8" s="304"/>
      <c r="B8" s="3639"/>
      <c r="C8" s="306"/>
      <c r="D8" s="307"/>
      <c r="E8" s="302" t="s">
        <v>698</v>
      </c>
      <c r="F8" s="303">
        <f ca="1">INDIRECT("'数据-取费表'!ai"&amp;$G$1)</f>
        <v>365</v>
      </c>
      <c r="G8" s="1379"/>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79"/>
      <c r="H9" s="304"/>
      <c r="I9" s="3640"/>
      <c r="J9" s="306"/>
      <c r="K9" s="307"/>
      <c r="L9" s="313" t="s">
        <v>699</v>
      </c>
      <c r="M9" s="314">
        <f ca="1">INDIRECT("'数据-取费表'!ab"&amp;$G$1)</f>
        <v>0</v>
      </c>
    </row>
    <row r="10" spans="1:37" ht="18" customHeight="1">
      <c r="A10" s="1065" t="s">
        <v>402</v>
      </c>
      <c r="B10" s="1360" t="s">
        <v>700</v>
      </c>
      <c r="C10" s="316">
        <f ca="1">ROUND(IF(F10="押一",C6/12*F11,IF(F10="押二",C6/12*2*F11,IF(F10="押三",C6/12*3*F11,C11*F11))),0)</f>
        <v>824</v>
      </c>
      <c r="D10" s="1361" t="s">
        <v>2116</v>
      </c>
      <c r="E10" s="313" t="s">
        <v>701</v>
      </c>
      <c r="F10" s="1112" t="s">
        <v>3389</v>
      </c>
      <c r="G10" s="1379"/>
      <c r="H10" s="1065" t="s">
        <v>402</v>
      </c>
      <c r="I10" s="1360" t="s">
        <v>700</v>
      </c>
      <c r="J10" s="301">
        <f ca="1">ROUND(IF(M10="押一",J6/12*M11,IF(M10="押二",J6/12*2*M11,IF(M10="押三",J6/12*3*M11,J11*M11))),0)</f>
        <v>0</v>
      </c>
      <c r="K10" s="1372" t="s">
        <v>2118</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2743506</v>
      </c>
      <c r="D13" s="1077" t="s">
        <v>705</v>
      </c>
      <c r="E13" s="1077" t="s">
        <v>706</v>
      </c>
      <c r="F13" s="1078">
        <f ca="1">INDIRECT("'数据-取费表'!y"&amp;$G$1)</f>
        <v>0.79</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2293080</v>
      </c>
      <c r="D14" s="1340" t="s">
        <v>708</v>
      </c>
      <c r="E14" s="1337"/>
      <c r="F14" s="319"/>
      <c r="G14" s="1379"/>
      <c r="H14" s="978" t="s">
        <v>398</v>
      </c>
      <c r="I14" s="302" t="s">
        <v>709</v>
      </c>
      <c r="J14" s="21">
        <f ca="1">C29</f>
        <v>3472792</v>
      </c>
      <c r="K14" s="12"/>
      <c r="L14" s="803"/>
      <c r="M14" s="804"/>
    </row>
    <row r="15" spans="1:37" s="1392" customFormat="1" ht="18" customHeight="1" thickBot="1">
      <c r="A15" s="978" t="s">
        <v>399</v>
      </c>
      <c r="B15" s="302" t="s">
        <v>710</v>
      </c>
      <c r="C15" s="21">
        <f ca="1">ROUND(C14*F15,0)</f>
        <v>91723</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17364</v>
      </c>
      <c r="K16" s="1083" t="s">
        <v>715</v>
      </c>
      <c r="L16" s="1084"/>
      <c r="M16" s="1068"/>
    </row>
    <row r="17" spans="1:37" s="1392" customFormat="1" ht="18" customHeight="1">
      <c r="A17" s="978" t="s">
        <v>681</v>
      </c>
      <c r="B17" s="302" t="s">
        <v>716</v>
      </c>
      <c r="C17" s="21">
        <f ca="1">ROUND(F17*(F43+INDIRECT("'数据-取费表'!S"&amp;$G$1)),0)</f>
        <v>114654</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45862</v>
      </c>
      <c r="D18" s="302" t="s">
        <v>711</v>
      </c>
      <c r="E18" s="302" t="s">
        <v>712</v>
      </c>
      <c r="F18" s="322">
        <f>'数据-取费表'!B36</f>
        <v>0.02</v>
      </c>
      <c r="G18" s="1391"/>
      <c r="H18" s="978" t="s">
        <v>397</v>
      </c>
      <c r="I18" s="302" t="s">
        <v>723</v>
      </c>
      <c r="J18" s="21">
        <f ca="1">ROUND(J6*M18/(1+'数据-取费表'!C42),0)</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2545319</v>
      </c>
      <c r="D19" s="131" t="s">
        <v>726</v>
      </c>
      <c r="E19" s="1355"/>
      <c r="F19" s="23"/>
      <c r="G19" s="1379"/>
      <c r="H19" s="978" t="s">
        <v>399</v>
      </c>
      <c r="I19" s="302" t="s">
        <v>727</v>
      </c>
      <c r="J19" s="21">
        <f ca="1">IF(K19="按租金收入计税",ROUND(J6*M19/(1+'数据-取费表'!C42),0),ROUND(C29*M19*0.7,0))</f>
        <v>0</v>
      </c>
      <c r="K19" s="1365" t="s">
        <v>3338</v>
      </c>
      <c r="L19" s="302" t="s">
        <v>712</v>
      </c>
      <c r="M19" s="322">
        <f>IF(K19="按租金收入计税",'数据-取费表'!B51,'数据-取费表'!B50)</f>
        <v>0.12</v>
      </c>
    </row>
    <row r="20" spans="1:37" s="1392" customFormat="1" ht="18" customHeight="1">
      <c r="A20" s="978" t="s">
        <v>402</v>
      </c>
      <c r="B20" s="302" t="s">
        <v>728</v>
      </c>
      <c r="C20" s="21">
        <f ca="1">ROUND(C19*F20,0)</f>
        <v>50906</v>
      </c>
      <c r="D20" s="323" t="s">
        <v>729</v>
      </c>
      <c r="E20" s="302" t="s">
        <v>712</v>
      </c>
      <c r="F20" s="322">
        <f>'数据-取费表'!B37</f>
        <v>0.02</v>
      </c>
      <c r="G20" s="1391"/>
      <c r="H20" s="978"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17364</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89570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-17364</v>
      </c>
      <c r="K25" s="1091" t="s">
        <v>753</v>
      </c>
      <c r="L25" s="1092"/>
      <c r="M25" s="1093"/>
    </row>
    <row r="26" spans="1:37" ht="18" customHeight="1">
      <c r="A26" s="978" t="s">
        <v>397</v>
      </c>
      <c r="B26" s="302" t="s">
        <v>754</v>
      </c>
      <c r="C26" s="21">
        <f ca="1">ROUND((C19+C20)*F26,0)</f>
        <v>519245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3472792</v>
      </c>
      <c r="D29" s="1088"/>
      <c r="E29" s="1086"/>
      <c r="F29" s="1089"/>
      <c r="G29" s="1391"/>
      <c r="H29" s="334" t="s">
        <v>396</v>
      </c>
      <c r="I29" s="335" t="s">
        <v>768</v>
      </c>
      <c r="J29" s="336">
        <f ca="1">ROUND(J26/(1+F40)^F41,0)</f>
        <v>0</v>
      </c>
      <c r="K29" s="337" t="s">
        <v>769</v>
      </c>
      <c r="L29" s="338"/>
      <c r="M29" s="339">
        <f ca="1">INDIRECT("'数据-取费表'!k"&amp;$G$1)</f>
        <v>573.27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133261</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ROUND(IF(AND(项目基本情况!B11="自然人",项目基本情况!B10="北京市"),C6*F31/(1+'数据-取费表'!C42),C32+C33+C34),0)</f>
        <v>109853</v>
      </c>
      <c r="D31" s="1340" t="s">
        <v>720</v>
      </c>
      <c r="E31" s="1339" t="s">
        <v>770</v>
      </c>
      <c r="F31" s="2310" t="str">
        <f>IF(项目基本情况!B11="企业","——",IF(M47="住宅",IF(F6*F7*F8/12/(1+'数据-取费表'!F30)&gt;100000,4%,2.5%),IF(F6*F7*F8/12/(1+'数据-取费表'!F30)&gt;100000,12%,7%)))</f>
        <v>——</v>
      </c>
      <c r="G31" s="1379"/>
      <c r="H31" s="2803" t="s">
        <v>2310</v>
      </c>
      <c r="I31" s="1393"/>
      <c r="J31" s="1394"/>
      <c r="K31" s="2470"/>
      <c r="L31" s="2693"/>
      <c r="M31" s="2694"/>
    </row>
    <row r="32" spans="1:37" ht="18" customHeight="1">
      <c r="A32" s="978" t="s">
        <v>397</v>
      </c>
      <c r="B32" s="302" t="s">
        <v>723</v>
      </c>
      <c r="C32" s="21">
        <f ca="1">IF(项目基本情况!B11="自然人","——",ROUND(C6*F32/(1+'数据-取费表'!C42),0))</f>
        <v>34525</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f ca="1">IF(项目基本情况!B11="自然人","——",IF(D33="按租金收入计税",ROUND(C6*F33/(1+'数据-取费表'!C42),0),IF(D33="按房产原值计税",ROUND(C29*F33*0.7,0),INDIRECT("'数据-取费表'!Aj"&amp;$G$1))))</f>
        <v>75328</v>
      </c>
      <c r="D33" s="1365" t="s">
        <v>3338</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f ca="1">IF(项目基本情况!B11="自然人","——",ROUND(F34*F35,0))</f>
        <v>0</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ROUND(C29*F36,0)</f>
        <v>17364</v>
      </c>
      <c r="D36" s="1339" t="s">
        <v>771</v>
      </c>
      <c r="E36" s="302" t="s">
        <v>712</v>
      </c>
      <c r="F36" s="328">
        <f ca="1">INDIRECT("'数据-取费表'!Ak"&amp;$G$1)</f>
        <v>5.0000000000000001E-3</v>
      </c>
      <c r="G36" s="1379"/>
      <c r="H36" s="2695"/>
      <c r="I36" s="1393"/>
      <c r="J36" s="1394"/>
      <c r="K36" s="2539"/>
      <c r="L36" s="2695"/>
      <c r="M36" s="2695"/>
    </row>
    <row r="37" spans="1:18" ht="18" customHeight="1">
      <c r="A37" s="978" t="s">
        <v>437</v>
      </c>
      <c r="B37" s="302" t="s">
        <v>742</v>
      </c>
      <c r="C37" s="21">
        <f ca="1">ROUND(C13*F37,0)</f>
        <v>2744</v>
      </c>
      <c r="D37" s="1339" t="s">
        <v>743</v>
      </c>
      <c r="E37" s="302" t="s">
        <v>744</v>
      </c>
      <c r="F37" s="330">
        <f ca="1">INDIRECT("'数据-取费表'!Al"&amp;$G$1)</f>
        <v>1E-3</v>
      </c>
      <c r="G37" s="1379"/>
      <c r="H37" s="2695"/>
      <c r="I37" s="1393"/>
      <c r="J37" s="1394"/>
      <c r="K37" s="2539"/>
      <c r="L37" s="2695"/>
      <c r="M37" s="2695"/>
    </row>
    <row r="38" spans="1:18" ht="18" customHeight="1" thickBot="1">
      <c r="A38" s="1085" t="s">
        <v>684</v>
      </c>
      <c r="B38" s="1086" t="s">
        <v>728</v>
      </c>
      <c r="C38" s="1087">
        <f ca="1">ROUND(C5*F38,0)</f>
        <v>3300</v>
      </c>
      <c r="D38" s="1088" t="s">
        <v>748</v>
      </c>
      <c r="E38" s="1086" t="s">
        <v>744</v>
      </c>
      <c r="F38" s="1082">
        <f ca="1">INDIRECT("'数据-取费表'!Am"&amp;$G$1)</f>
        <v>5.0000000000000001E-3</v>
      </c>
      <c r="G38" s="1379"/>
      <c r="H38" s="2695"/>
      <c r="I38" s="1393"/>
      <c r="J38" s="1394"/>
      <c r="K38" s="2699"/>
      <c r="L38" s="2695"/>
      <c r="M38" s="2695"/>
    </row>
    <row r="39" spans="1:18" ht="24.6" customHeight="1" thickTop="1">
      <c r="A39" s="1075" t="s">
        <v>394</v>
      </c>
      <c r="B39" s="1090" t="s">
        <v>772</v>
      </c>
      <c r="C39" s="310">
        <f ca="1">C5-C30</f>
        <v>526680</v>
      </c>
      <c r="D39" s="1091" t="s">
        <v>773</v>
      </c>
      <c r="E39" s="1092"/>
      <c r="F39" s="1093"/>
      <c r="G39" s="1379"/>
      <c r="H39" s="2695"/>
      <c r="I39" s="1393"/>
      <c r="J39" s="1394"/>
      <c r="K39" s="2699"/>
      <c r="L39" s="2695"/>
      <c r="M39" s="2695"/>
    </row>
    <row r="40" spans="1:18" ht="18" customHeight="1">
      <c r="A40" s="299" t="s">
        <v>395</v>
      </c>
      <c r="B40" s="300" t="s">
        <v>774</v>
      </c>
      <c r="C40" s="301">
        <f ca="1">ROUND(C39*(1-((1+F42)/(1+F40))^F41)/(F40-F42),0)</f>
        <v>7638639</v>
      </c>
      <c r="D40" s="324" t="s">
        <v>758</v>
      </c>
      <c r="E40" s="302" t="s">
        <v>759</v>
      </c>
      <c r="F40" s="312">
        <f ca="1">INDIRECT("'数据-取费表'!I"&amp;$G$1)</f>
        <v>5.5E-2</v>
      </c>
      <c r="G40" s="1379"/>
      <c r="H40" s="1456"/>
      <c r="I40" s="1393">
        <f ca="1">C39/C6</f>
        <v>0.79906905754213586</v>
      </c>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21</v>
      </c>
      <c r="G41" s="1379"/>
      <c r="H41" s="1186"/>
      <c r="I41" s="1393"/>
      <c r="J41" s="1394"/>
      <c r="K41" s="2539"/>
      <c r="L41" s="1186"/>
      <c r="M41" s="1186"/>
    </row>
    <row r="42" spans="1:18" ht="18" customHeight="1">
      <c r="A42" s="308"/>
      <c r="B42" s="309"/>
      <c r="C42" s="310"/>
      <c r="D42" s="327"/>
      <c r="E42" s="302" t="s">
        <v>766</v>
      </c>
      <c r="F42" s="312">
        <f ca="1">INDIRECT("'数据-取费表'!v"&amp;$G$1)</f>
        <v>0.02</v>
      </c>
      <c r="G42" s="1379"/>
      <c r="H42" s="1186"/>
      <c r="I42" s="1393"/>
      <c r="J42" s="1394"/>
      <c r="K42" s="2539"/>
      <c r="L42" s="1186"/>
      <c r="M42" s="1186"/>
    </row>
    <row r="43" spans="1:18" ht="18" customHeight="1" thickBot="1">
      <c r="A43" s="334" t="s">
        <v>396</v>
      </c>
      <c r="B43" s="335" t="s">
        <v>776</v>
      </c>
      <c r="C43" s="336">
        <f ca="1">ROUND(C40/F43,0)</f>
        <v>13325</v>
      </c>
      <c r="D43" s="337" t="s">
        <v>777</v>
      </c>
      <c r="E43" s="338" t="s">
        <v>778</v>
      </c>
      <c r="F43" s="339">
        <f ca="1">INDIRECT("'数据-取费表'!k"&amp;$G$1)</f>
        <v>573.27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3354</v>
      </c>
      <c r="B45" s="1395"/>
      <c r="C45" s="1467">
        <f ca="1">ROUND((C68-C40)/10000,4)</f>
        <v>-788.54700000000003</v>
      </c>
      <c r="D45" s="3426" t="s">
        <v>3355</v>
      </c>
      <c r="E45" s="1395"/>
      <c r="F45" s="1395"/>
      <c r="O45" s="1398" t="s">
        <v>808</v>
      </c>
      <c r="P45" s="1456"/>
      <c r="Q45" s="1456"/>
      <c r="R45" s="1456"/>
    </row>
    <row r="46" spans="1:18" s="1379" customFormat="1" ht="13.5" thickBot="1">
      <c r="A46" s="1399" t="s">
        <v>809</v>
      </c>
      <c r="C46" s="1400">
        <f ca="1">ROUND(C45,0)</f>
        <v>-789</v>
      </c>
      <c r="D46" s="1401" t="str">
        <f>C2</f>
        <v>万元</v>
      </c>
      <c r="I46" s="1402" t="s">
        <v>810</v>
      </c>
      <c r="J46" s="1403"/>
      <c r="K46" s="1404"/>
      <c r="L46" s="1405">
        <f ca="1">IF(M47="住宅",0,IF(L48&gt;J51,L60,J60))</f>
        <v>304201</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2"/>
      <c r="I47" s="1409" t="s">
        <v>815</v>
      </c>
      <c r="J47" s="1410" t="s">
        <v>3390</v>
      </c>
      <c r="K47" s="1411" t="s">
        <v>816</v>
      </c>
      <c r="L47" s="1412">
        <f ca="1">INDIRECT("'数据-取费表'!d"&amp;$G$1)</f>
        <v>40</v>
      </c>
      <c r="M47" s="1375" t="str">
        <f>IF(ISNUMBER(FIND("住宅",C1)),"住宅","非住宅")</f>
        <v>非住宅</v>
      </c>
      <c r="O47" s="1413" t="s">
        <v>403</v>
      </c>
      <c r="P47" s="1414" t="s">
        <v>817</v>
      </c>
      <c r="Q47" s="1415">
        <f ca="1">C40+J29</f>
        <v>7638639</v>
      </c>
      <c r="R47" s="1415" t="s">
        <v>818</v>
      </c>
    </row>
    <row r="48" spans="1:18" s="1379" customFormat="1" ht="28.5" thickBot="1">
      <c r="A48" s="1106" t="s">
        <v>438</v>
      </c>
      <c r="B48" s="300" t="s">
        <v>692</v>
      </c>
      <c r="C48" s="1354">
        <f ca="1">C49+C53+C55</f>
        <v>0</v>
      </c>
      <c r="D48" s="1108"/>
      <c r="E48" s="1109"/>
      <c r="F48" s="958"/>
      <c r="G48" s="722"/>
      <c r="H48" s="723"/>
      <c r="I48" s="1416" t="s">
        <v>819</v>
      </c>
      <c r="J48" s="1417" t="s">
        <v>3391</v>
      </c>
      <c r="K48" s="1418" t="s">
        <v>820</v>
      </c>
      <c r="L48" s="1419">
        <f ca="1">INDIRECT("'数据-取费表'!f"&amp;$G$1)</f>
        <v>21</v>
      </c>
      <c r="O48" s="1413" t="s">
        <v>404</v>
      </c>
      <c r="P48" s="1414" t="s">
        <v>821</v>
      </c>
      <c r="Q48" s="1415">
        <f ca="1">J60</f>
        <v>304201</v>
      </c>
      <c r="R48" s="1415" t="s">
        <v>822</v>
      </c>
    </row>
    <row r="49" spans="1:18" s="1379" customFormat="1" ht="13.5" thickBot="1">
      <c r="A49" s="971" t="s">
        <v>439</v>
      </c>
      <c r="B49" s="1366" t="s">
        <v>779</v>
      </c>
      <c r="C49" s="1110">
        <f ca="1">ROUND(F49*F51*F50*(1-F52),0)</f>
        <v>0</v>
      </c>
      <c r="D49" s="1051" t="s">
        <v>695</v>
      </c>
      <c r="E49" s="1367" t="s">
        <v>780</v>
      </c>
      <c r="F49" s="1056"/>
      <c r="G49" s="1420"/>
      <c r="H49" s="723"/>
      <c r="I49" s="1416" t="s">
        <v>823</v>
      </c>
      <c r="J49" s="1421">
        <v>2007</v>
      </c>
      <c r="K49" s="1418" t="s">
        <v>824</v>
      </c>
      <c r="L49" s="1422"/>
      <c r="O49" s="1423" t="s">
        <v>405</v>
      </c>
      <c r="P49" s="1414" t="s">
        <v>825</v>
      </c>
      <c r="Q49" s="1415">
        <f ca="1">C29</f>
        <v>3472792</v>
      </c>
      <c r="R49" s="1415" t="s">
        <v>818</v>
      </c>
    </row>
    <row r="50" spans="1:18" s="1379" customFormat="1" ht="13.5" thickBot="1">
      <c r="A50" s="972"/>
      <c r="B50" s="975"/>
      <c r="C50" s="976"/>
      <c r="D50" s="949"/>
      <c r="E50" s="1052" t="s">
        <v>697</v>
      </c>
      <c r="F50" s="1053">
        <f ca="1">F7</f>
        <v>573.27</v>
      </c>
      <c r="H50" s="723"/>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43</v>
      </c>
      <c r="K51" s="1429" t="s">
        <v>830</v>
      </c>
      <c r="L51" s="1430">
        <f ca="1">ROUND(-PV(INDIRECT("'数据-取费表'!h"&amp;$G$1),J51,(C39-C13*C76),0),0)</f>
        <v>5871469</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1433">
        <v>7.4999999999999997E-2</v>
      </c>
      <c r="K52" s="1432" t="s">
        <v>833</v>
      </c>
      <c r="L52" s="1433"/>
      <c r="O52" s="1423" t="s">
        <v>408</v>
      </c>
      <c r="P52" s="1414" t="s">
        <v>834</v>
      </c>
      <c r="Q52" s="1415">
        <f ca="1">J53</f>
        <v>21</v>
      </c>
      <c r="R52" s="1415" t="s">
        <v>835</v>
      </c>
    </row>
    <row r="53" spans="1:18" s="1379" customFormat="1" ht="30.75" customHeight="1" thickBot="1">
      <c r="A53" s="1107" t="s">
        <v>440</v>
      </c>
      <c r="B53" s="323" t="s">
        <v>700</v>
      </c>
      <c r="C53" s="316">
        <f ca="1">ROUND(IF(F53="押一",C49/12*F11,IF(F53="押二",C49/12*2*F11,IF(F53="押三",C49/12*3*F11,C54*F11))),0)</f>
        <v>0</v>
      </c>
      <c r="D53" s="1361" t="s">
        <v>2119</v>
      </c>
      <c r="E53" s="313" t="s">
        <v>701</v>
      </c>
      <c r="F53" s="1112"/>
      <c r="I53" s="1434" t="s">
        <v>836</v>
      </c>
      <c r="J53" s="2163">
        <f ca="1">IF(M47="住宅",IF(D1="——",MAX(J51,L48),MAX(J51,L48-'数据-取费表'!B24)),IF(D1="——",MIN(J51,L48),MIN(J51,L48-'数据-取费表'!B24)))</f>
        <v>21</v>
      </c>
      <c r="K53" s="3641" t="s">
        <v>837</v>
      </c>
      <c r="L53" s="3642"/>
      <c r="O53" s="1413" t="s">
        <v>409</v>
      </c>
      <c r="P53" s="1414" t="s">
        <v>838</v>
      </c>
      <c r="Q53" s="1415">
        <f ca="1">Q47+Q48</f>
        <v>7942840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2743506</v>
      </c>
      <c r="D56" s="1442"/>
      <c r="E56" s="1443"/>
      <c r="F56" s="1435"/>
      <c r="I56" s="1444" t="s">
        <v>842</v>
      </c>
      <c r="J56" s="1445" t="s">
        <v>3392</v>
      </c>
      <c r="K56" s="1416" t="s">
        <v>843</v>
      </c>
      <c r="L56" s="1419" t="str">
        <f ca="1">IF(L48&lt;J51,"——",L48-J51)</f>
        <v>——</v>
      </c>
      <c r="O56" s="1413" t="s">
        <v>403</v>
      </c>
      <c r="P56" s="1414" t="s">
        <v>817</v>
      </c>
      <c r="Q56" s="1415">
        <f ca="1">C40+J29</f>
        <v>7638639</v>
      </c>
      <c r="R56" s="1415" t="s">
        <v>818</v>
      </c>
    </row>
    <row r="57" spans="1:18" s="1379" customFormat="1" ht="24.75" thickBot="1">
      <c r="A57" s="1446"/>
      <c r="B57" s="946" t="s">
        <v>767</v>
      </c>
      <c r="C57" s="238">
        <f ca="1">C29</f>
        <v>3472792</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20108</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1389117</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5.5000000000000007E-2</v>
      </c>
      <c r="I60" s="1453" t="s">
        <v>853</v>
      </c>
      <c r="J60" s="1454">
        <f ca="1">IF(OR(M47="住宅",J51&lt;L48,J56="是"),"0",ROUND(J59/(1+J52)^J53,0))</f>
        <v>304201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3338</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0</v>
      </c>
      <c r="I62" s="1457" t="s">
        <v>858</v>
      </c>
      <c r="J62" s="1458" t="s">
        <v>859</v>
      </c>
      <c r="K62" s="1458" t="s">
        <v>860</v>
      </c>
      <c r="L62" s="1458" t="s">
        <v>861</v>
      </c>
      <c r="M62" s="1459" t="s">
        <v>862</v>
      </c>
      <c r="O62" s="1413" t="s">
        <v>409</v>
      </c>
      <c r="P62" s="1414" t="s">
        <v>863</v>
      </c>
      <c r="Q62" s="1415">
        <f ca="1">Q56+Q57</f>
        <v>7638639</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17364</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2744</v>
      </c>
      <c r="D65" s="960" t="s">
        <v>743</v>
      </c>
      <c r="E65" s="946" t="s">
        <v>744</v>
      </c>
      <c r="F65" s="330">
        <f t="shared" ca="1" si="0"/>
        <v>1E-3</v>
      </c>
      <c r="I65" s="1457" t="s">
        <v>867</v>
      </c>
      <c r="J65" s="1458">
        <v>40</v>
      </c>
      <c r="K65" s="1458">
        <v>30</v>
      </c>
      <c r="L65" s="1458">
        <v>50</v>
      </c>
      <c r="M65" s="1460">
        <v>0.02</v>
      </c>
      <c r="O65" s="1413" t="s">
        <v>403</v>
      </c>
      <c r="P65" s="1414" t="s">
        <v>868</v>
      </c>
      <c r="Q65" s="1415">
        <f ca="1">C40+J29</f>
        <v>7638639</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-20108</v>
      </c>
      <c r="D67" s="959" t="s">
        <v>753</v>
      </c>
      <c r="E67" s="964"/>
      <c r="F67" s="965"/>
      <c r="O67" s="1423" t="s">
        <v>405</v>
      </c>
      <c r="P67" s="1414" t="s">
        <v>850</v>
      </c>
      <c r="Q67" s="1461">
        <f ca="1">L51</f>
        <v>5871469</v>
      </c>
      <c r="R67" s="1415" t="s">
        <v>870</v>
      </c>
    </row>
    <row r="68" spans="1:18" s="1379" customFormat="1" ht="16.5" thickBot="1">
      <c r="A68" s="943" t="s">
        <v>395</v>
      </c>
      <c r="B68" s="944" t="s">
        <v>774</v>
      </c>
      <c r="C68" s="301">
        <f ca="1">ROUND(C67*(1-((1+F70)/(1+F68))^F69)/(F68-F70),0)</f>
        <v>-246831</v>
      </c>
      <c r="D68" s="961" t="s">
        <v>758</v>
      </c>
      <c r="E68" s="946" t="s">
        <v>759</v>
      </c>
      <c r="F68" s="312">
        <f ca="1">F40</f>
        <v>5.5E-2</v>
      </c>
      <c r="O68" s="1423" t="s">
        <v>406</v>
      </c>
      <c r="P68" s="1462" t="s">
        <v>871</v>
      </c>
      <c r="Q68" s="1415">
        <f ca="1">ROUND(Q69-Q70*Q71,0)</f>
        <v>334635</v>
      </c>
      <c r="R68" s="1415" t="s">
        <v>414</v>
      </c>
    </row>
    <row r="69" spans="1:18" s="1379" customFormat="1" ht="13.5" thickBot="1">
      <c r="A69" s="947"/>
      <c r="B69" s="948"/>
      <c r="C69" s="306"/>
      <c r="D69" s="966" t="s">
        <v>762</v>
      </c>
      <c r="E69" s="946" t="s">
        <v>763</v>
      </c>
      <c r="F69" s="333">
        <f ca="1">F41</f>
        <v>21</v>
      </c>
      <c r="O69" s="1423" t="s">
        <v>411</v>
      </c>
      <c r="P69" s="1462" t="s">
        <v>872</v>
      </c>
      <c r="Q69" s="1415">
        <f ca="1">C39</f>
        <v>526680</v>
      </c>
      <c r="R69" s="1415" t="s">
        <v>818</v>
      </c>
    </row>
    <row r="70" spans="1:18" s="1379" customFormat="1" ht="13.5" thickBot="1">
      <c r="A70" s="950"/>
      <c r="B70" s="951"/>
      <c r="C70" s="310"/>
      <c r="D70" s="962"/>
      <c r="E70" s="946" t="s">
        <v>766</v>
      </c>
      <c r="F70" s="1050"/>
      <c r="O70" s="1423" t="s">
        <v>412</v>
      </c>
      <c r="P70" s="1462" t="s">
        <v>873</v>
      </c>
      <c r="Q70" s="1415">
        <f ca="1">C13</f>
        <v>2743506</v>
      </c>
      <c r="R70" s="1415" t="s">
        <v>818</v>
      </c>
    </row>
    <row r="71" spans="1:18" s="1379" customFormat="1" ht="13.5" thickBot="1">
      <c r="A71" s="967" t="s">
        <v>396</v>
      </c>
      <c r="B71" s="968" t="s">
        <v>776</v>
      </c>
      <c r="C71" s="336">
        <f ca="1">ROUND(C68/F71,0)</f>
        <v>-431</v>
      </c>
      <c r="D71" s="969" t="s">
        <v>777</v>
      </c>
      <c r="E71" s="970" t="s">
        <v>778</v>
      </c>
      <c r="F71" s="339">
        <f ca="1">F43</f>
        <v>573.27</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192045</v>
      </c>
      <c r="D75" s="1379"/>
      <c r="E75" s="1379"/>
      <c r="F75" s="1379"/>
      <c r="K75" s="1397"/>
      <c r="L75" s="1379"/>
      <c r="O75" s="1413" t="s">
        <v>409</v>
      </c>
      <c r="P75" s="1414" t="s">
        <v>838</v>
      </c>
      <c r="Q75" s="1415">
        <f ca="1">Q65+Q66</f>
        <v>7638639</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0.64100000000000001</v>
      </c>
    </row>
    <row r="83" spans="2:3">
      <c r="B83" s="273" t="s">
        <v>803</v>
      </c>
      <c r="C83" s="274">
        <f ca="1">ROUND(C13/C40,3)</f>
        <v>0.35899999999999999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6"/>
      <c r="C1" s="1187"/>
      <c r="D1" s="1185"/>
      <c r="E1" s="2801"/>
      <c r="F1" s="2801"/>
      <c r="G1" s="2666"/>
      <c r="H1" s="2801"/>
      <c r="I1" s="2801"/>
      <c r="J1" s="2801"/>
      <c r="K1" s="2802">
        <f>MATCH(C1,'数据-取费表'!A6:A16,0)+5</f>
        <v>7</v>
      </c>
    </row>
    <row r="2" spans="1:33" ht="18" customHeight="1">
      <c r="A2" s="201" t="s">
        <v>1462</v>
      </c>
      <c r="B2" s="204">
        <f ca="1">C32</f>
        <v>-13</v>
      </c>
      <c r="C2" s="276" t="s">
        <v>1595</v>
      </c>
      <c r="D2" s="276"/>
      <c r="E2" s="2801"/>
      <c r="F2" s="2801"/>
      <c r="G2" s="2801"/>
      <c r="H2" s="2801"/>
      <c r="I2" s="2801"/>
      <c r="J2" s="2801"/>
      <c r="K2" s="2801"/>
    </row>
    <row r="3" spans="1:33" ht="18" customHeight="1" thickBot="1">
      <c r="A3" s="203" t="s">
        <v>1464</v>
      </c>
      <c r="B3" s="204">
        <f ca="1">ROUND(B2*10000/IF(C1="",'数据-汇总表'!E3,INDIRECT("'数据-取费表'!K"&amp;$K$1)),0)</f>
        <v>-227</v>
      </c>
      <c r="C3" s="276" t="s">
        <v>1596</v>
      </c>
      <c r="D3" s="276"/>
      <c r="E3" s="2801"/>
      <c r="F3" s="2801"/>
      <c r="G3" s="2801"/>
      <c r="H3" s="2801"/>
      <c r="I3" s="2801"/>
      <c r="J3" s="2801"/>
      <c r="K3" s="2801"/>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0.04</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573.27</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573.27</v>
      </c>
      <c r="E17" s="21">
        <f>'数据-取费表'!B32</f>
        <v>0</v>
      </c>
      <c r="F17" s="802"/>
      <c r="G17" s="131"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11</v>
      </c>
      <c r="D18" s="842"/>
      <c r="E18" s="21"/>
      <c r="F18" s="800"/>
      <c r="G18" s="1857"/>
      <c r="H18" s="1182"/>
      <c r="I18" s="1858"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0</v>
      </c>
      <c r="F19" s="800"/>
      <c r="G19" s="12"/>
      <c r="H19" s="1184"/>
      <c r="I19" s="805"/>
      <c r="J19" s="805"/>
      <c r="K19" s="806"/>
    </row>
    <row r="20" spans="1:33" s="799" customFormat="1" ht="13.5" customHeight="1">
      <c r="A20" s="796" t="s">
        <v>361</v>
      </c>
      <c r="B20" s="797" t="s">
        <v>1627</v>
      </c>
      <c r="C20" s="21">
        <f ca="1">ROUND(D20*E20/10000,0)</f>
        <v>11</v>
      </c>
      <c r="D20" s="842">
        <f ca="1">IF(C1="",'数据-汇总表'!E6,IF(INDIRECT("'数据-取费表'!c"&amp;$K$1)="住宅",INDIRECT("'数据-取费表'!s"&amp;$K$1),INDIRECT("'数据-取费表'!k"&amp;$K$1)+INDIRECT("'数据-取费表'!s"&amp;$K$1)))</f>
        <v>573.27</v>
      </c>
      <c r="E20" s="21">
        <f>'数据-取费表'!B28</f>
        <v>190</v>
      </c>
      <c r="F20" s="800"/>
      <c r="G20" s="12"/>
      <c r="H20" s="805"/>
      <c r="I20" s="805"/>
      <c r="J20" s="805"/>
      <c r="K20" s="806"/>
    </row>
    <row r="21" spans="1:33" s="799" customFormat="1" ht="13.5" customHeight="1">
      <c r="A21" s="786" t="s">
        <v>357</v>
      </c>
      <c r="B21" s="809" t="s">
        <v>1628</v>
      </c>
      <c r="C21" s="810">
        <f ca="1">C16+C17+C18</f>
        <v>11</v>
      </c>
      <c r="D21" s="811"/>
      <c r="E21" s="281"/>
      <c r="F21" s="281"/>
      <c r="G21" s="131" t="s">
        <v>1629</v>
      </c>
      <c r="H21" s="803"/>
      <c r="I21" s="803"/>
      <c r="J21" s="803"/>
      <c r="K21" s="804"/>
    </row>
    <row r="22" spans="1:33" s="799" customFormat="1" ht="13.5" customHeight="1">
      <c r="A22" s="786" t="s">
        <v>1601</v>
      </c>
      <c r="B22" s="809" t="s">
        <v>1630</v>
      </c>
      <c r="C22" s="810">
        <f ca="1">ROUND(C21*F22,0)</f>
        <v>0</v>
      </c>
      <c r="D22" s="281"/>
      <c r="E22" s="281"/>
      <c r="F22" s="812">
        <f>'数据-取费表'!B37</f>
        <v>0.02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0.02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1641</v>
      </c>
      <c r="B28" s="1860" t="s">
        <v>1642</v>
      </c>
      <c r="C28" s="287">
        <f ca="1">C30</f>
        <v>2</v>
      </c>
      <c r="D28" s="280">
        <f ca="1">C29</f>
        <v>0</v>
      </c>
      <c r="E28" s="282" t="s">
        <v>12</v>
      </c>
      <c r="F28" s="288">
        <f ca="1">IF(C1="",'数据-取费表'!Q16,INDIRECT("'数据-取费表'!q"&amp;$K$1))</f>
        <v>0.2</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2</v>
      </c>
      <c r="D30" s="284"/>
      <c r="E30" s="285"/>
      <c r="F30" s="290"/>
      <c r="G30" s="131"/>
      <c r="H30" s="803"/>
      <c r="I30" s="803"/>
      <c r="J30" s="803"/>
      <c r="K30" s="804"/>
    </row>
    <row r="31" spans="1:33" s="799" customFormat="1" ht="13.5" customHeight="1" thickBot="1">
      <c r="A31" s="1861"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-13</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8">
        <f ca="1">J53</f>
        <v>0</v>
      </c>
      <c r="G1" s="1373">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0</v>
      </c>
      <c r="D5" s="1359" t="s">
        <v>693</v>
      </c>
      <c r="E5" s="1067"/>
      <c r="F5" s="1068"/>
      <c r="G5" s="1379"/>
      <c r="H5" s="299">
        <v>1</v>
      </c>
      <c r="I5" s="300" t="s">
        <v>692</v>
      </c>
      <c r="J5" s="1066">
        <f ca="1">J6+J10+J12</f>
        <v>0</v>
      </c>
      <c r="K5" s="1359" t="s">
        <v>693</v>
      </c>
      <c r="L5" s="1067"/>
      <c r="M5" s="1068"/>
    </row>
    <row r="6" spans="1:37" ht="18" customHeight="1">
      <c r="A6" s="1065" t="s">
        <v>398</v>
      </c>
      <c r="B6" s="3638" t="s">
        <v>694</v>
      </c>
      <c r="C6" s="1070">
        <f ca="1">ROUND(F6*F8*F7*(1-F9)/10000,0)</f>
        <v>0</v>
      </c>
      <c r="D6" s="155" t="s">
        <v>2109</v>
      </c>
      <c r="E6" s="302" t="s">
        <v>696</v>
      </c>
      <c r="F6" s="303">
        <f ca="1">INDIRECT("'数据-取费表'!u"&amp;$G$1)</f>
        <v>0</v>
      </c>
      <c r="G6" s="1379"/>
      <c r="H6" s="1065" t="s">
        <v>398</v>
      </c>
      <c r="I6" s="3638" t="s">
        <v>694</v>
      </c>
      <c r="J6" s="301">
        <f ca="1">ROUND(M6*M8*M7*(1-M9)/10000,0)</f>
        <v>0</v>
      </c>
      <c r="K6" s="155" t="s">
        <v>2108</v>
      </c>
      <c r="L6" s="302" t="s">
        <v>696</v>
      </c>
      <c r="M6" s="303">
        <f ca="1">INDIRECT("'数据-取费表'!z"&amp;$G$1)</f>
        <v>0</v>
      </c>
    </row>
    <row r="7" spans="1:37" ht="18" customHeight="1">
      <c r="A7" s="1069"/>
      <c r="B7" s="3639"/>
      <c r="C7" s="1071"/>
      <c r="D7" s="307"/>
      <c r="E7" s="1072" t="s">
        <v>697</v>
      </c>
      <c r="F7" s="303">
        <f ca="1">IF(INDIRECT("'数据-取费表'!ah"&amp;$G$1)="",INDIRECT("'数据-取费表'!k"&amp;$G$1),INDIRECT("'数据-取费表'!ah"&amp;$G$1))</f>
        <v>0</v>
      </c>
      <c r="G7" s="1379"/>
      <c r="H7" s="304"/>
      <c r="I7" s="3639"/>
      <c r="J7" s="306"/>
      <c r="K7" s="307"/>
      <c r="L7" s="302" t="s">
        <v>697</v>
      </c>
      <c r="M7" s="303">
        <f ca="1">F7</f>
        <v>0</v>
      </c>
    </row>
    <row r="8" spans="1:37" ht="18" customHeight="1">
      <c r="A8" s="304"/>
      <c r="B8" s="3639"/>
      <c r="C8" s="306"/>
      <c r="D8" s="307"/>
      <c r="E8" s="302" t="s">
        <v>698</v>
      </c>
      <c r="F8" s="303">
        <f ca="1">INDIRECT("'数据-取费表'!ai"&amp;$G$1)</f>
        <v>0</v>
      </c>
      <c r="G8" s="1379"/>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79"/>
      <c r="H9" s="304"/>
      <c r="I9" s="3640"/>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2117</v>
      </c>
      <c r="E10" s="313" t="s">
        <v>701</v>
      </c>
      <c r="F10" s="1112"/>
      <c r="G10" s="1379"/>
      <c r="H10" s="1065" t="s">
        <v>402</v>
      </c>
      <c r="I10" s="1360" t="s">
        <v>700</v>
      </c>
      <c r="J10" s="301">
        <f ca="1">ROUND(IF(M10="押一",J6/12*M11,IF(M10="押二",J6/12*2*M11,IF(M10="押三",J6/12*3*M11,J11*M11))),0)</f>
        <v>0</v>
      </c>
      <c r="K10" s="1361" t="s">
        <v>2116</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ROUND(F17*(F43+INDIRECT("'数据-取费表'!S"&amp;$G$1))/10000,0)</f>
        <v>0</v>
      </c>
      <c r="D17" s="302" t="s">
        <v>717</v>
      </c>
      <c r="E17" s="302" t="s">
        <v>718</v>
      </c>
      <c r="F17" s="23">
        <f>'数据-取费表'!B35</f>
        <v>200</v>
      </c>
      <c r="G17" s="1391"/>
      <c r="H17" s="978" t="s">
        <v>398</v>
      </c>
      <c r="I17" s="302" t="s">
        <v>719</v>
      </c>
      <c r="J17" s="2311">
        <f ca="1">ROUND(IF(AND(项目基本情况!B11="自然人",项目基本情况!B10="北京市"),J6*M17/(1+'数据-取费表'!C42),J18+J19+J20),2)</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0.02</v>
      </c>
      <c r="G18" s="1391"/>
      <c r="H18" s="978" t="s">
        <v>397</v>
      </c>
      <c r="I18" s="302" t="s">
        <v>723</v>
      </c>
      <c r="J18" s="21">
        <f ca="1">ROUND(J6*M18/(1+'数据-取费表'!C42),2)</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IF(K19="按租金收入计税",ROUND(J6*M19/(1+'数据-取费表'!C42),2),ROUND(C29*M19*0.7,2))</f>
        <v>0</v>
      </c>
      <c r="K19" s="1365" t="s">
        <v>3338</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0.02</v>
      </c>
      <c r="G20" s="1391"/>
      <c r="H20" s="978"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ROUND(IF(AND(项目基本情况!B11="自然人",项目基本情况!B10="北京市"),C6*F31/(1+'数据-取费表'!C42),C32+C33+C34),2)</f>
        <v>0</v>
      </c>
      <c r="D31" s="1340" t="s">
        <v>720</v>
      </c>
      <c r="E31" s="1339" t="s">
        <v>770</v>
      </c>
      <c r="F31" s="2310" t="str">
        <f>IF(项目基本情况!B11="企业","——",IF(M47="住宅",IF(F6*F7*F8/12/(1+'数据-取费表'!F30)&gt;100000,4%,2.5%),IF(F6*F7*F8/12/(1+'数据-取费表'!F30)&gt;100000,12%,7%)))</f>
        <v>——</v>
      </c>
      <c r="G31" s="1379"/>
      <c r="H31" s="2803" t="s">
        <v>2310</v>
      </c>
      <c r="I31" s="1393"/>
      <c r="J31" s="1394"/>
      <c r="K31" s="2470"/>
      <c r="L31" s="2693"/>
      <c r="M31" s="2694"/>
    </row>
    <row r="32" spans="1:37" ht="18" customHeight="1">
      <c r="A32" s="978" t="s">
        <v>397</v>
      </c>
      <c r="B32" s="302" t="s">
        <v>723</v>
      </c>
      <c r="C32" s="21">
        <f ca="1">IF(项目基本情况!B11="自然人","——",ROUND(C6*F32/(1+'数据-取费表'!C42),2))</f>
        <v>0</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5" t="s">
        <v>3338</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f ca="1">IF(项目基本情况!B11="自然人","——",ROUND(F34*F35/10000,2))</f>
        <v>0</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ROUND(C29*F36,2)</f>
        <v>0</v>
      </c>
      <c r="D36" s="1339" t="s">
        <v>771</v>
      </c>
      <c r="E36" s="302" t="s">
        <v>712</v>
      </c>
      <c r="F36" s="328">
        <f ca="1">INDIRECT("'数据-取费表'!Ak"&amp;$G$1)</f>
        <v>0</v>
      </c>
      <c r="G36" s="1379"/>
      <c r="H36" s="2695"/>
      <c r="I36" s="1393"/>
      <c r="J36" s="1394"/>
      <c r="K36" s="2539"/>
      <c r="L36" s="2695"/>
      <c r="M36" s="2695"/>
    </row>
    <row r="37" spans="1:18" ht="18" customHeight="1">
      <c r="A37" s="978" t="s">
        <v>437</v>
      </c>
      <c r="B37" s="302" t="s">
        <v>742</v>
      </c>
      <c r="C37" s="21">
        <f ca="1">ROUND(C13*F37,2)</f>
        <v>0</v>
      </c>
      <c r="D37" s="1339" t="s">
        <v>743</v>
      </c>
      <c r="E37" s="302" t="s">
        <v>744</v>
      </c>
      <c r="F37" s="330">
        <f ca="1">INDIRECT("'数据-取费表'!Al"&amp;$G$1)</f>
        <v>0</v>
      </c>
      <c r="G37" s="1379"/>
      <c r="H37" s="2695"/>
      <c r="I37" s="1393"/>
      <c r="J37" s="1394"/>
      <c r="K37" s="2539"/>
      <c r="L37" s="2695"/>
      <c r="M37" s="2695"/>
    </row>
    <row r="38" spans="1:18" ht="18" customHeight="1" thickBot="1">
      <c r="A38" s="1085" t="s">
        <v>684</v>
      </c>
      <c r="B38" s="1086" t="s">
        <v>728</v>
      </c>
      <c r="C38" s="1087">
        <f ca="1">ROUND(C5*F38,2)</f>
        <v>0</v>
      </c>
      <c r="D38" s="1088" t="s">
        <v>748</v>
      </c>
      <c r="E38" s="1086" t="s">
        <v>744</v>
      </c>
      <c r="F38" s="1082">
        <f ca="1">INDIRECT("'数据-取费表'!Am"&amp;$G$1)</f>
        <v>0</v>
      </c>
      <c r="G38" s="1379"/>
      <c r="H38" s="2695"/>
      <c r="I38" s="1393"/>
      <c r="J38" s="1394"/>
      <c r="K38" s="2699"/>
      <c r="L38" s="2695"/>
      <c r="M38" s="2695"/>
    </row>
    <row r="39" spans="1:18" ht="24.6" customHeight="1" thickTop="1">
      <c r="A39" s="1075" t="s">
        <v>394</v>
      </c>
      <c r="B39" s="1090" t="s">
        <v>772</v>
      </c>
      <c r="C39" s="310">
        <f ca="1">C5-C30</f>
        <v>0</v>
      </c>
      <c r="D39" s="1091" t="s">
        <v>773</v>
      </c>
      <c r="E39" s="1092"/>
      <c r="F39" s="1093"/>
      <c r="G39" s="1379"/>
      <c r="H39" s="2695"/>
      <c r="I39" s="1393"/>
      <c r="J39" s="1394"/>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ROUND(C40*10000/F43,0)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ROUND(F49*F51*F50*(1-F52)/10000,0)</f>
        <v>0</v>
      </c>
      <c r="D49" s="1051" t="s">
        <v>2110</v>
      </c>
      <c r="E49" s="1367" t="s">
        <v>780</v>
      </c>
      <c r="F49" s="1056"/>
      <c r="G49" s="1420"/>
      <c r="H49" s="723"/>
      <c r="I49" s="1416" t="s">
        <v>823</v>
      </c>
      <c r="J49" s="1421"/>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6">
        <f ca="1">ROUND(IF(F53="押一",C49/12*F11,IF(F53="押二",C49/12*2*F11,IF(F53="押三",C49/12*3*F11,C54*F11))),0)</f>
        <v>0</v>
      </c>
      <c r="D53" s="1361" t="s">
        <v>2116</v>
      </c>
      <c r="E53" s="313" t="s">
        <v>701</v>
      </c>
      <c r="F53" s="1112"/>
      <c r="I53" s="1434" t="s">
        <v>836</v>
      </c>
      <c r="J53" s="2163">
        <f ca="1">IF(M47="住宅",IF(D1="——",MAX(J51,L48),MAX(J51,L48-'数据-取费表'!B24)),IF(D1="——",MIN(J51,L48),MIN(J51,L48-'数据-取费表'!B24)))</f>
        <v>0</v>
      </c>
      <c r="K53" s="3641" t="s">
        <v>837</v>
      </c>
      <c r="L53" s="3642"/>
      <c r="O53" s="1413" t="s">
        <v>409</v>
      </c>
      <c r="P53" s="1414" t="s">
        <v>838</v>
      </c>
      <c r="Q53" s="1415" t="e">
        <f ca="1">Q47+Q48</f>
        <v>#DIV/0!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32">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3338</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ROUND(C48*F66,2)</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ROUND(C68*10000/F71,0)</f>
        <v>#DIV/0!</v>
      </c>
      <c r="D71" s="969" t="s">
        <v>777</v>
      </c>
      <c r="E71" s="970"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2439</v>
      </c>
      <c r="B1" s="2827"/>
      <c r="C1" s="2839"/>
      <c r="D1" s="2839"/>
      <c r="E1" s="2828"/>
      <c r="F1" s="2829"/>
      <c r="G1" s="2830"/>
      <c r="J1" s="2833" t="s">
        <v>2318</v>
      </c>
      <c r="K1" s="2834"/>
      <c r="L1" s="2834"/>
      <c r="M1" s="2834"/>
      <c r="N1" s="2834"/>
      <c r="O1" s="2834"/>
      <c r="P1" s="2834"/>
      <c r="Q1" s="2834"/>
      <c r="R1" s="2835"/>
      <c r="S1" s="2836"/>
      <c r="T1" s="2836"/>
      <c r="U1" s="2836"/>
    </row>
    <row r="2" spans="1:22" s="2848" customFormat="1" ht="13.15" customHeight="1">
      <c r="A2" s="1380" t="s">
        <v>2319</v>
      </c>
      <c r="B2" s="2838" t="e">
        <f>IF(D2="——",C40,C40+E2)</f>
        <v>#DIV/0!</v>
      </c>
      <c r="C2" s="2839" t="s">
        <v>2320</v>
      </c>
      <c r="D2" s="3437" t="s">
        <v>3361</v>
      </c>
      <c r="E2" s="3438"/>
      <c r="F2" s="2841"/>
      <c r="G2" s="2842"/>
      <c r="H2" s="2843"/>
      <c r="I2" s="2844"/>
      <c r="J2" s="3643" t="s">
        <v>2321</v>
      </c>
      <c r="K2" s="3644"/>
      <c r="L2" s="2845" t="s">
        <v>2322</v>
      </c>
      <c r="M2" s="2845" t="s">
        <v>2323</v>
      </c>
      <c r="N2" s="2845" t="s">
        <v>2324</v>
      </c>
      <c r="O2" s="2845" t="s">
        <v>2325</v>
      </c>
      <c r="P2" s="2845" t="s">
        <v>2326</v>
      </c>
      <c r="Q2" s="2846" t="s">
        <v>2327</v>
      </c>
      <c r="R2" s="2847" t="s">
        <v>2328</v>
      </c>
      <c r="S2" s="2836"/>
      <c r="T2" s="2836"/>
      <c r="U2" s="2836"/>
      <c r="V2" s="2844"/>
    </row>
    <row r="3" spans="1:22" s="2848" customFormat="1" ht="13.15" customHeight="1">
      <c r="A3" s="2849" t="s">
        <v>2329</v>
      </c>
      <c r="B3" s="2850" t="e">
        <f>ROUND(B2*10000/B4,0)</f>
        <v>#DIV/0!</v>
      </c>
      <c r="C3" s="2839" t="s">
        <v>2330</v>
      </c>
      <c r="D3" s="2839"/>
      <c r="E3" s="2840"/>
      <c r="F3" s="2841"/>
      <c r="G3" s="2842"/>
      <c r="H3" s="2843"/>
      <c r="I3" s="2844"/>
      <c r="J3" s="3645" t="s">
        <v>2331</v>
      </c>
      <c r="K3" s="3646"/>
      <c r="L3" s="2851"/>
      <c r="M3" s="2851"/>
      <c r="N3" s="2851"/>
      <c r="O3" s="2851"/>
      <c r="P3" s="2851"/>
      <c r="Q3" s="2852"/>
      <c r="R3" s="2853">
        <f>SUM(L3:Q3)</f>
        <v>0</v>
      </c>
      <c r="S3" s="2836"/>
      <c r="T3" s="2836"/>
      <c r="U3" s="2836"/>
      <c r="V3" s="2844"/>
    </row>
    <row r="4" spans="1:22" s="2848" customFormat="1" ht="13.15" customHeight="1">
      <c r="A4" s="2854" t="s">
        <v>2332</v>
      </c>
      <c r="B4" s="2855"/>
      <c r="C4" s="2839"/>
      <c r="D4" s="2839"/>
      <c r="E4" s="2840"/>
      <c r="F4" s="2841"/>
      <c r="G4" s="2842"/>
      <c r="H4" s="2843"/>
      <c r="I4" s="2844"/>
      <c r="J4" s="3645" t="s">
        <v>2333</v>
      </c>
      <c r="K4" s="3646"/>
      <c r="L4" s="2856"/>
      <c r="M4" s="2856"/>
      <c r="N4" s="2856"/>
      <c r="O4" s="2856"/>
      <c r="P4" s="2856"/>
      <c r="Q4" s="2857"/>
      <c r="R4" s="2858">
        <f>SUM(L4:Q4)</f>
        <v>0</v>
      </c>
      <c r="S4" s="2836"/>
      <c r="T4" s="2836"/>
      <c r="U4" s="2836"/>
      <c r="V4" s="2844"/>
    </row>
    <row r="5" spans="1:22" s="2848" customFormat="1" ht="13.15" customHeight="1" thickBot="1">
      <c r="A5" s="2859" t="s">
        <v>2334</v>
      </c>
      <c r="B5" s="2860"/>
      <c r="C5" s="2839"/>
      <c r="D5" s="2861"/>
      <c r="E5" s="2841"/>
      <c r="F5" s="2841"/>
      <c r="G5" s="2842"/>
      <c r="H5" s="2843"/>
      <c r="I5" s="2844"/>
      <c r="J5" s="2862" t="s">
        <v>2335</v>
      </c>
      <c r="K5" s="2863"/>
      <c r="L5" s="2863"/>
      <c r="M5" s="2864"/>
      <c r="N5" s="2864"/>
      <c r="O5" s="2864"/>
      <c r="P5" s="2864"/>
      <c r="Q5" s="2864"/>
      <c r="R5" s="2847">
        <f>SUM(R14,R19,R24,R25,R27,R28)</f>
        <v>0</v>
      </c>
      <c r="S5" s="2836"/>
      <c r="T5" s="2836" t="s">
        <v>2336</v>
      </c>
      <c r="U5" s="2836" t="e">
        <f>ROUND(R5*10000/365/R3,1)</f>
        <v>#DIV/0!</v>
      </c>
      <c r="V5" s="2844"/>
    </row>
    <row r="6" spans="1:22" s="2848" customFormat="1" ht="13.15" customHeight="1" thickBot="1">
      <c r="A6" s="3647" t="s">
        <v>2337</v>
      </c>
      <c r="B6" s="3648"/>
      <c r="C6" s="3649"/>
      <c r="D6" s="2865"/>
      <c r="E6" s="2866"/>
      <c r="F6" s="2867"/>
      <c r="G6" s="2868"/>
      <c r="H6" s="2843"/>
      <c r="I6" s="2844"/>
      <c r="J6" s="3650">
        <v>1</v>
      </c>
      <c r="K6" s="3651" t="s">
        <v>2338</v>
      </c>
      <c r="L6" s="2869" t="s">
        <v>2339</v>
      </c>
      <c r="M6" s="2870" t="s">
        <v>2340</v>
      </c>
      <c r="N6" s="2870" t="s">
        <v>2341</v>
      </c>
      <c r="O6" s="2870" t="s">
        <v>2342</v>
      </c>
      <c r="P6" s="2870" t="s">
        <v>2343</v>
      </c>
      <c r="Q6" s="2870" t="s">
        <v>2344</v>
      </c>
      <c r="R6" s="2853" t="s">
        <v>2345</v>
      </c>
      <c r="S6" s="2836"/>
      <c r="T6" s="2836" t="s">
        <v>2346</v>
      </c>
      <c r="U6" s="2836"/>
      <c r="V6" s="2844"/>
    </row>
    <row r="7" spans="1:22" s="2848" customFormat="1" ht="13.15" customHeight="1">
      <c r="A7" s="2871" t="s">
        <v>2347</v>
      </c>
      <c r="B7" s="2872"/>
      <c r="C7" s="2873"/>
      <c r="D7" s="2874">
        <f>SUM(D9,D10,D11,D17,0)</f>
        <v>0</v>
      </c>
      <c r="E7" s="2875" t="e">
        <f>E9+E10+E11+E17</f>
        <v>#DIV/0!</v>
      </c>
      <c r="F7" s="2876"/>
      <c r="G7" s="2877"/>
      <c r="H7" s="2843"/>
      <c r="I7" s="2844"/>
      <c r="J7" s="3650"/>
      <c r="K7" s="3652"/>
      <c r="L7" s="2878" t="s">
        <v>2348</v>
      </c>
      <c r="M7" s="2879"/>
      <c r="N7" s="2855"/>
      <c r="O7" s="2880"/>
      <c r="P7" s="2880"/>
      <c r="Q7" s="2881">
        <v>365</v>
      </c>
      <c r="R7" s="2882">
        <f>ROUND(M7*N7*O7*P7*Q7/10000,0)</f>
        <v>0</v>
      </c>
      <c r="S7" s="2836"/>
      <c r="T7" s="2836" t="s">
        <v>2349</v>
      </c>
      <c r="U7" s="2836"/>
      <c r="V7" s="2844"/>
    </row>
    <row r="8" spans="1:22" s="2848" customFormat="1" ht="13.15" customHeight="1">
      <c r="A8" s="2883" t="s">
        <v>2350</v>
      </c>
      <c r="B8" s="3654" t="s">
        <v>2351</v>
      </c>
      <c r="C8" s="3655"/>
      <c r="D8" s="2884" t="s">
        <v>2352</v>
      </c>
      <c r="E8" s="2885" t="s">
        <v>2353</v>
      </c>
      <c r="F8" s="2886" t="s">
        <v>2354</v>
      </c>
      <c r="G8" s="2887"/>
      <c r="H8" s="2843"/>
      <c r="I8" s="2844"/>
      <c r="J8" s="3650"/>
      <c r="K8" s="3652"/>
      <c r="L8" s="2878" t="s">
        <v>2355</v>
      </c>
      <c r="M8" s="2879"/>
      <c r="N8" s="2855"/>
      <c r="O8" s="2880"/>
      <c r="P8" s="2880"/>
      <c r="Q8" s="2881">
        <v>365</v>
      </c>
      <c r="R8" s="2882">
        <f t="shared" ref="R8:R13" si="0">ROUND(M8*N8*O8*P8*Q8/10000,0)</f>
        <v>0</v>
      </c>
      <c r="S8" s="2836"/>
      <c r="T8" s="2836" t="s">
        <v>2356</v>
      </c>
      <c r="U8" s="2836"/>
      <c r="V8" s="2844"/>
    </row>
    <row r="9" spans="1:22" s="2848" customFormat="1" ht="13.15" customHeight="1">
      <c r="A9" s="2883">
        <v>1</v>
      </c>
      <c r="B9" s="3654" t="s">
        <v>2357</v>
      </c>
      <c r="C9" s="3655"/>
      <c r="D9" s="2884">
        <f>ROUND(D6*E9,0)</f>
        <v>0</v>
      </c>
      <c r="E9" s="2888"/>
      <c r="F9" s="2889" t="s">
        <v>2358</v>
      </c>
      <c r="G9" s="2868"/>
      <c r="H9" s="2843"/>
      <c r="I9" s="2844"/>
      <c r="J9" s="3650"/>
      <c r="K9" s="3652"/>
      <c r="L9" s="2878" t="s">
        <v>2359</v>
      </c>
      <c r="M9" s="2879"/>
      <c r="N9" s="2855"/>
      <c r="O9" s="2880"/>
      <c r="P9" s="2880"/>
      <c r="Q9" s="2881">
        <v>365</v>
      </c>
      <c r="R9" s="2882">
        <f t="shared" si="0"/>
        <v>0</v>
      </c>
      <c r="S9" s="2836"/>
      <c r="T9" s="2836"/>
      <c r="U9" s="2836"/>
      <c r="V9" s="2844"/>
    </row>
    <row r="10" spans="1:22" s="2848" customFormat="1" ht="13.15" customHeight="1">
      <c r="A10" s="2883">
        <v>2</v>
      </c>
      <c r="B10" s="3654" t="s">
        <v>2360</v>
      </c>
      <c r="C10" s="3655"/>
      <c r="D10" s="2884">
        <f>ROUND(D6*E10,0)</f>
        <v>0</v>
      </c>
      <c r="E10" s="2888"/>
      <c r="F10" s="2889" t="s">
        <v>2361</v>
      </c>
      <c r="G10" s="2868"/>
      <c r="H10" s="2843"/>
      <c r="I10" s="2844"/>
      <c r="J10" s="3650"/>
      <c r="K10" s="3652"/>
      <c r="L10" s="2878" t="s">
        <v>2362</v>
      </c>
      <c r="M10" s="2879"/>
      <c r="N10" s="2855"/>
      <c r="O10" s="2880"/>
      <c r="P10" s="2880"/>
      <c r="Q10" s="2881">
        <v>365</v>
      </c>
      <c r="R10" s="2882">
        <f t="shared" si="0"/>
        <v>0</v>
      </c>
      <c r="S10" s="2836"/>
      <c r="T10" s="2836"/>
      <c r="U10" s="2836"/>
      <c r="V10" s="2844"/>
    </row>
    <row r="11" spans="1:22" s="2848" customFormat="1" ht="13.15" customHeight="1">
      <c r="A11" s="2883">
        <v>3</v>
      </c>
      <c r="B11" s="3654" t="s">
        <v>2363</v>
      </c>
      <c r="C11" s="3655"/>
      <c r="D11" s="2884">
        <f>D12+D14+D15+D16</f>
        <v>0</v>
      </c>
      <c r="E11" s="2890" t="e">
        <f>D11/D6</f>
        <v>#DIV/0!</v>
      </c>
      <c r="F11" s="2886"/>
      <c r="G11" s="2887"/>
      <c r="H11" s="2843"/>
      <c r="I11" s="2844"/>
      <c r="J11" s="3650"/>
      <c r="K11" s="3652"/>
      <c r="L11" s="2878" t="s">
        <v>2364</v>
      </c>
      <c r="M11" s="2879"/>
      <c r="N11" s="2855"/>
      <c r="O11" s="2880"/>
      <c r="P11" s="2880"/>
      <c r="Q11" s="2881">
        <v>365</v>
      </c>
      <c r="R11" s="2882">
        <f t="shared" si="0"/>
        <v>0</v>
      </c>
      <c r="S11" s="2836"/>
      <c r="T11" s="2836"/>
      <c r="U11" s="2836"/>
      <c r="V11" s="2844"/>
    </row>
    <row r="12" spans="1:22" s="2848" customFormat="1" ht="13.15" customHeight="1">
      <c r="A12" s="2891" t="s">
        <v>2365</v>
      </c>
      <c r="B12" s="3656" t="s">
        <v>2366</v>
      </c>
      <c r="C12" s="3657"/>
      <c r="D12" s="2892">
        <f>ROUND(D13*1.2%*(1-30%),0)</f>
        <v>0</v>
      </c>
      <c r="E12" s="2893">
        <v>1.2E-2</v>
      </c>
      <c r="F12" s="2886" t="s">
        <v>2367</v>
      </c>
      <c r="G12" s="2887"/>
      <c r="H12" s="2843"/>
      <c r="I12" s="2844"/>
      <c r="J12" s="3650"/>
      <c r="K12" s="3652"/>
      <c r="L12" s="2878" t="s">
        <v>2368</v>
      </c>
      <c r="M12" s="2879"/>
      <c r="N12" s="2855"/>
      <c r="O12" s="2880"/>
      <c r="P12" s="2880"/>
      <c r="Q12" s="2881">
        <v>365</v>
      </c>
      <c r="R12" s="2882">
        <f t="shared" si="0"/>
        <v>0</v>
      </c>
      <c r="S12" s="2836"/>
      <c r="T12" s="2836"/>
      <c r="U12" s="2836"/>
      <c r="V12" s="2844"/>
    </row>
    <row r="13" spans="1:22" s="2848" customFormat="1" ht="13.15" customHeight="1">
      <c r="A13" s="2891"/>
      <c r="B13" s="2894"/>
      <c r="C13" s="2895" t="s">
        <v>2369</v>
      </c>
      <c r="D13" s="2896"/>
      <c r="E13" s="2897"/>
      <c r="F13" s="2886"/>
      <c r="G13" s="2887"/>
      <c r="H13" s="2843"/>
      <c r="I13" s="2844"/>
      <c r="J13" s="3650"/>
      <c r="K13" s="3652"/>
      <c r="L13" s="2878" t="s">
        <v>2370</v>
      </c>
      <c r="M13" s="2879"/>
      <c r="N13" s="2855"/>
      <c r="O13" s="2880"/>
      <c r="P13" s="2880"/>
      <c r="Q13" s="2881">
        <v>365</v>
      </c>
      <c r="R13" s="2882">
        <f t="shared" si="0"/>
        <v>0</v>
      </c>
      <c r="S13" s="2836"/>
      <c r="T13" s="2836"/>
      <c r="U13" s="2836"/>
      <c r="V13" s="2844"/>
    </row>
    <row r="14" spans="1:22" s="2848" customFormat="1" ht="13.15" customHeight="1">
      <c r="A14" s="2891" t="s">
        <v>2371</v>
      </c>
      <c r="B14" s="3656" t="s">
        <v>2372</v>
      </c>
      <c r="C14" s="3657"/>
      <c r="D14" s="2892">
        <f>ROUND(E14*B5/10000,0)</f>
        <v>0</v>
      </c>
      <c r="E14" s="2881"/>
      <c r="F14" s="2886" t="s">
        <v>2373</v>
      </c>
      <c r="G14" s="2887"/>
      <c r="H14" s="2843"/>
      <c r="I14" s="2844"/>
      <c r="J14" s="3650"/>
      <c r="K14" s="3653"/>
      <c r="L14" s="2898" t="s">
        <v>2374</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2375</v>
      </c>
      <c r="B15" s="3656" t="s">
        <v>2376</v>
      </c>
      <c r="C15" s="3657"/>
      <c r="D15" s="2892">
        <f>ROUND(D6*E15,0)</f>
        <v>0</v>
      </c>
      <c r="E15" s="2893">
        <v>5.5E-2</v>
      </c>
      <c r="F15" s="2886" t="s">
        <v>2377</v>
      </c>
      <c r="G15" s="2868"/>
      <c r="H15" s="2843"/>
      <c r="I15" s="2844"/>
      <c r="J15" s="3650">
        <v>2</v>
      </c>
      <c r="K15" s="3651" t="s">
        <v>2378</v>
      </c>
      <c r="L15" s="2878" t="s">
        <v>2379</v>
      </c>
      <c r="M15" s="2879" t="s">
        <v>2380</v>
      </c>
      <c r="N15" s="2879" t="s">
        <v>2381</v>
      </c>
      <c r="O15" s="2880" t="s">
        <v>2382</v>
      </c>
      <c r="P15" s="2880" t="s">
        <v>2344</v>
      </c>
      <c r="Q15" s="2855" t="s">
        <v>2383</v>
      </c>
      <c r="R15" s="2902" t="s">
        <v>2345</v>
      </c>
      <c r="S15" s="2836"/>
      <c r="T15" s="2836"/>
      <c r="U15" s="2836"/>
      <c r="V15" s="2844"/>
    </row>
    <row r="16" spans="1:22" s="2848" customFormat="1" ht="13.15" customHeight="1">
      <c r="A16" s="2891" t="s">
        <v>2384</v>
      </c>
      <c r="B16" s="3656" t="s">
        <v>2385</v>
      </c>
      <c r="C16" s="3657"/>
      <c r="D16" s="2903">
        <f>D6*E16</f>
        <v>0</v>
      </c>
      <c r="E16" s="2904"/>
      <c r="F16" s="2889" t="s">
        <v>2386</v>
      </c>
      <c r="G16" s="2868"/>
      <c r="H16" s="2843"/>
      <c r="I16" s="2844"/>
      <c r="J16" s="3650"/>
      <c r="K16" s="3652"/>
      <c r="L16" s="2878" t="s">
        <v>2387</v>
      </c>
      <c r="M16" s="2879"/>
      <c r="N16" s="2879"/>
      <c r="O16" s="2880"/>
      <c r="P16" s="2881">
        <v>365</v>
      </c>
      <c r="Q16" s="2855"/>
      <c r="R16" s="2902">
        <f>ROUND(M16*N16*O16*P16/10000,0)</f>
        <v>0</v>
      </c>
      <c r="S16" s="2836"/>
      <c r="T16" s="2836"/>
      <c r="U16" s="2836"/>
      <c r="V16" s="2844"/>
    </row>
    <row r="17" spans="1:22" s="2848" customFormat="1" ht="13.15" customHeight="1" thickBot="1">
      <c r="A17" s="2905">
        <v>4</v>
      </c>
      <c r="B17" s="3658" t="s">
        <v>2388</v>
      </c>
      <c r="C17" s="3659"/>
      <c r="D17" s="2906">
        <f>ROUND(D6*E17,0)</f>
        <v>0</v>
      </c>
      <c r="E17" s="2907"/>
      <c r="F17" s="2908" t="s">
        <v>2389</v>
      </c>
      <c r="G17" s="2868"/>
      <c r="H17" s="2843"/>
      <c r="I17" s="2844"/>
      <c r="J17" s="3650"/>
      <c r="K17" s="3652"/>
      <c r="L17" s="2878" t="s">
        <v>2390</v>
      </c>
      <c r="M17" s="2879"/>
      <c r="N17" s="2879"/>
      <c r="O17" s="2880"/>
      <c r="P17" s="2881">
        <v>365</v>
      </c>
      <c r="Q17" s="2855"/>
      <c r="R17" s="2902">
        <f>ROUND(M17*N17*O17*P17/10000,0)</f>
        <v>0</v>
      </c>
      <c r="S17" s="2836"/>
      <c r="T17" s="2836"/>
      <c r="U17" s="2836"/>
      <c r="V17" s="2844"/>
    </row>
    <row r="18" spans="1:22" s="2848" customFormat="1" ht="13.15" customHeight="1" thickBot="1">
      <c r="A18" s="2871" t="s">
        <v>2391</v>
      </c>
      <c r="B18" s="2872"/>
      <c r="C18" s="2872"/>
      <c r="D18" s="2909">
        <f>ROUND(D6*E18,0)</f>
        <v>0</v>
      </c>
      <c r="E18" s="2910"/>
      <c r="F18" s="2911" t="s">
        <v>2392</v>
      </c>
      <c r="G18" s="2868"/>
      <c r="H18" s="2843"/>
      <c r="I18" s="2844"/>
      <c r="J18" s="3650"/>
      <c r="K18" s="3652"/>
      <c r="L18" s="2878" t="s">
        <v>2393</v>
      </c>
      <c r="M18" s="2879"/>
      <c r="N18" s="2879"/>
      <c r="O18" s="2880"/>
      <c r="P18" s="2881">
        <v>365</v>
      </c>
      <c r="Q18" s="2855"/>
      <c r="R18" s="2902">
        <f>ROUND(M18*N18*O18*P18/10000,0)</f>
        <v>0</v>
      </c>
      <c r="S18" s="2836"/>
      <c r="T18" s="2836"/>
      <c r="U18" s="2836"/>
      <c r="V18" s="2844"/>
    </row>
    <row r="19" spans="1:22" s="2848" customFormat="1" ht="13.15" customHeight="1" thickBot="1">
      <c r="A19" s="2912" t="s">
        <v>2394</v>
      </c>
      <c r="B19" s="2866"/>
      <c r="C19" s="2866"/>
      <c r="D19" s="2866"/>
      <c r="E19" s="2866"/>
      <c r="F19" s="2867"/>
      <c r="G19" s="2887"/>
      <c r="H19" s="2843"/>
      <c r="I19" s="2844"/>
      <c r="J19" s="3650"/>
      <c r="K19" s="3653"/>
      <c r="L19" s="2898" t="s">
        <v>2374</v>
      </c>
      <c r="M19" s="2899"/>
      <c r="N19" s="2899">
        <f>SUM(N16:N18)</f>
        <v>0</v>
      </c>
      <c r="O19" s="2900"/>
      <c r="P19" s="2913" t="s">
        <v>2438</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50">
        <v>3</v>
      </c>
      <c r="K20" s="3651" t="s">
        <v>2395</v>
      </c>
      <c r="L20" s="2878" t="s">
        <v>2396</v>
      </c>
      <c r="M20" s="2879" t="s">
        <v>2397</v>
      </c>
      <c r="N20" s="2916" t="s">
        <v>2398</v>
      </c>
      <c r="O20" s="2880" t="s">
        <v>2399</v>
      </c>
      <c r="P20" s="2881" t="s">
        <v>2400</v>
      </c>
      <c r="Q20" s="2855" t="s">
        <v>2401</v>
      </c>
      <c r="R20" s="2902" t="s">
        <v>2402</v>
      </c>
      <c r="S20" s="2917"/>
      <c r="T20" s="2917"/>
      <c r="U20" s="2917"/>
      <c r="V20" s="2844"/>
    </row>
    <row r="21" spans="1:22" s="2848" customFormat="1" ht="13.15" customHeight="1">
      <c r="A21" s="2871"/>
      <c r="B21" s="2872"/>
      <c r="C21" s="2918" t="s">
        <v>2403</v>
      </c>
      <c r="D21" s="2919" t="s">
        <v>2404</v>
      </c>
      <c r="E21" s="2920" t="s">
        <v>2405</v>
      </c>
      <c r="F21" s="2915"/>
      <c r="G21" s="2887"/>
      <c r="H21" s="2843"/>
      <c r="I21" s="2844"/>
      <c r="J21" s="3650"/>
      <c r="K21" s="3652"/>
      <c r="L21" s="2878" t="s">
        <v>2406</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2407</v>
      </c>
      <c r="D22" s="2923" t="s">
        <v>2408</v>
      </c>
      <c r="E22" s="2924" t="s">
        <v>2409</v>
      </c>
      <c r="F22" s="2915"/>
      <c r="G22" s="2925"/>
      <c r="H22" s="2843"/>
      <c r="I22" s="2844"/>
      <c r="J22" s="3650"/>
      <c r="K22" s="3652"/>
      <c r="L22" s="2878" t="s">
        <v>2410</v>
      </c>
      <c r="M22" s="2879"/>
      <c r="N22" s="2879"/>
      <c r="O22" s="2880"/>
      <c r="P22" s="2881">
        <v>365</v>
      </c>
      <c r="Q22" s="2855"/>
      <c r="R22" s="2921">
        <f>ROUND(M22*N22*O22*P22/10000,0)</f>
        <v>0</v>
      </c>
      <c r="S22" s="2917"/>
      <c r="T22" s="2917"/>
      <c r="U22" s="2917"/>
      <c r="V22" s="2844"/>
    </row>
    <row r="23" spans="1:22" s="2848" customFormat="1" ht="13.15" customHeight="1">
      <c r="A23" s="2926">
        <v>1</v>
      </c>
      <c r="B23" s="2927" t="s">
        <v>2411</v>
      </c>
      <c r="C23" s="2928">
        <f>D6</f>
        <v>0</v>
      </c>
      <c r="D23" s="2929">
        <f>C23*(1+D24)</f>
        <v>0</v>
      </c>
      <c r="E23" s="2930">
        <f>D23*(1+E24)</f>
        <v>0</v>
      </c>
      <c r="F23" s="2931"/>
      <c r="G23" s="2932"/>
      <c r="H23" s="2843"/>
      <c r="I23" s="2844"/>
      <c r="J23" s="3650"/>
      <c r="K23" s="3652"/>
      <c r="L23" s="2878" t="s">
        <v>2412</v>
      </c>
      <c r="M23" s="2879"/>
      <c r="N23" s="2879"/>
      <c r="O23" s="2880"/>
      <c r="P23" s="2881">
        <v>365</v>
      </c>
      <c r="Q23" s="2855"/>
      <c r="R23" s="2921">
        <f>ROUND(M23*N23*O23*P23/10000,0)</f>
        <v>0</v>
      </c>
      <c r="S23" s="2836"/>
      <c r="T23" s="2836"/>
      <c r="U23" s="2836"/>
      <c r="V23" s="2844"/>
    </row>
    <row r="24" spans="1:22" s="2848" customFormat="1" ht="13.15" customHeight="1">
      <c r="A24" s="2933"/>
      <c r="B24" s="2934" t="s">
        <v>2413</v>
      </c>
      <c r="C24" s="2935"/>
      <c r="D24" s="2936"/>
      <c r="E24" s="2937"/>
      <c r="F24" s="2938"/>
      <c r="G24" s="2932"/>
      <c r="H24" s="2843"/>
      <c r="I24" s="2844"/>
      <c r="J24" s="3650"/>
      <c r="K24" s="3653"/>
      <c r="L24" s="2898" t="s">
        <v>2374</v>
      </c>
      <c r="M24" s="2899">
        <f>SUM(M21:M23)</f>
        <v>0</v>
      </c>
      <c r="N24" s="2899"/>
      <c r="O24" s="2900"/>
      <c r="P24" s="2913" t="s">
        <v>2438</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2414</v>
      </c>
      <c r="L25" s="2941"/>
      <c r="M25" s="2941"/>
      <c r="N25" s="2941"/>
      <c r="O25" s="2941"/>
      <c r="P25" s="2942"/>
      <c r="Q25" s="2943">
        <v>0</v>
      </c>
      <c r="R25" s="2914">
        <f>ROUND(R14*Q25,0)</f>
        <v>0</v>
      </c>
      <c r="S25" s="2836"/>
      <c r="T25" s="2836"/>
      <c r="U25" s="2836"/>
      <c r="V25" s="2944"/>
    </row>
    <row r="26" spans="1:22" s="2945" customFormat="1" ht="13.15" customHeight="1">
      <c r="A26" s="2926">
        <v>2</v>
      </c>
      <c r="B26" s="2927" t="s">
        <v>2415</v>
      </c>
      <c r="C26" s="2928">
        <f>D7</f>
        <v>0</v>
      </c>
      <c r="D26" s="2929">
        <f>D23*D27</f>
        <v>0</v>
      </c>
      <c r="E26" s="2930">
        <f>E23*E27</f>
        <v>0</v>
      </c>
      <c r="F26" s="2931"/>
      <c r="G26" s="2932"/>
      <c r="H26" s="2843"/>
      <c r="I26" s="2844"/>
      <c r="J26" s="3660">
        <v>5</v>
      </c>
      <c r="K26" s="2946" t="s">
        <v>2416</v>
      </c>
      <c r="L26" s="2947"/>
      <c r="M26" s="2948"/>
      <c r="N26" s="2949" t="s">
        <v>2417</v>
      </c>
      <c r="O26" s="2949" t="s">
        <v>2418</v>
      </c>
      <c r="P26" s="2950" t="s">
        <v>2419</v>
      </c>
      <c r="Q26" s="2950" t="s">
        <v>2420</v>
      </c>
      <c r="R26" s="2853" t="s">
        <v>2345</v>
      </c>
      <c r="S26" s="2951"/>
      <c r="T26" s="2951"/>
      <c r="U26" s="2951"/>
      <c r="V26" s="2944"/>
    </row>
    <row r="27" spans="1:22" s="2848" customFormat="1" ht="13.15" customHeight="1">
      <c r="A27" s="2933"/>
      <c r="B27" s="2934" t="s">
        <v>2421</v>
      </c>
      <c r="C27" s="2952" t="e">
        <f>E7</f>
        <v>#DIV/0!</v>
      </c>
      <c r="D27" s="2936"/>
      <c r="E27" s="2937"/>
      <c r="F27" s="2938"/>
      <c r="G27" s="2932"/>
      <c r="H27" s="2953"/>
      <c r="I27" s="2944"/>
      <c r="J27" s="366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2422</v>
      </c>
      <c r="F28" s="2938"/>
      <c r="G28" s="2925"/>
      <c r="H28" s="2953"/>
      <c r="I28" s="2944"/>
      <c r="J28" s="2959">
        <v>6</v>
      </c>
      <c r="K28" s="2960" t="s">
        <v>2423</v>
      </c>
      <c r="L28" s="2961" t="s">
        <v>2424</v>
      </c>
      <c r="M28" s="2962"/>
      <c r="N28" s="2961" t="s">
        <v>2425</v>
      </c>
      <c r="O28" s="2963"/>
      <c r="P28" s="2961" t="s">
        <v>2426</v>
      </c>
      <c r="Q28" s="2964">
        <v>1.4999999999999999E-2</v>
      </c>
      <c r="R28" s="2965"/>
      <c r="S28" s="2917"/>
      <c r="T28" s="2917"/>
      <c r="U28" s="2917"/>
      <c r="V28" s="2944"/>
    </row>
    <row r="29" spans="1:22" s="2945" customFormat="1" ht="13.15" customHeight="1">
      <c r="A29" s="2926">
        <v>3</v>
      </c>
      <c r="B29" s="2927" t="s">
        <v>2427</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2421</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2428</v>
      </c>
      <c r="K31" s="2834"/>
      <c r="L31" s="2834"/>
      <c r="M31" s="2834"/>
      <c r="N31" s="2834"/>
      <c r="O31" s="2834"/>
      <c r="P31" s="2834"/>
      <c r="Q31" s="2834"/>
      <c r="R31" s="2835"/>
      <c r="S31" s="2917"/>
      <c r="T31" s="2836"/>
      <c r="U31" s="2836"/>
      <c r="V31" s="2944"/>
    </row>
    <row r="32" spans="1:22" s="2945" customFormat="1" ht="13.15" customHeight="1">
      <c r="A32" s="2926">
        <v>4</v>
      </c>
      <c r="B32" s="2927" t="s">
        <v>2429</v>
      </c>
      <c r="C32" s="2928">
        <f>C23-C26-C29</f>
        <v>0</v>
      </c>
      <c r="D32" s="2929">
        <f>D23-D26-D29</f>
        <v>0</v>
      </c>
      <c r="E32" s="2930">
        <f>E23-E26-E29</f>
        <v>0</v>
      </c>
      <c r="F32" s="2931"/>
      <c r="G32" s="2925"/>
      <c r="H32" s="2843"/>
      <c r="I32" s="2844"/>
      <c r="J32" s="3643" t="s">
        <v>2321</v>
      </c>
      <c r="K32" s="3644"/>
      <c r="L32" s="2845" t="s">
        <v>2322</v>
      </c>
      <c r="M32" s="2845" t="s">
        <v>2323</v>
      </c>
      <c r="N32" s="2845" t="s">
        <v>2324</v>
      </c>
      <c r="O32" s="2845" t="s">
        <v>2325</v>
      </c>
      <c r="P32" s="2845" t="s">
        <v>2326</v>
      </c>
      <c r="Q32" s="2846" t="s">
        <v>2327</v>
      </c>
      <c r="R32" s="2968" t="s">
        <v>2328</v>
      </c>
      <c r="S32" s="2917"/>
      <c r="T32" s="2836"/>
      <c r="U32" s="2836"/>
      <c r="V32" s="2944"/>
    </row>
    <row r="33" spans="1:23" s="2848" customFormat="1" ht="13.15" customHeight="1">
      <c r="A33" s="2926"/>
      <c r="B33" s="2927"/>
      <c r="C33" s="2928"/>
      <c r="D33" s="2969"/>
      <c r="E33" s="2970"/>
      <c r="F33" s="2931"/>
      <c r="G33" s="2925"/>
      <c r="H33" s="2953"/>
      <c r="I33" s="2944"/>
      <c r="J33" s="3645" t="s">
        <v>2331</v>
      </c>
      <c r="K33" s="3646"/>
      <c r="L33" s="2851"/>
      <c r="M33" s="2851"/>
      <c r="N33" s="2851"/>
      <c r="O33" s="2851"/>
      <c r="P33" s="2851"/>
      <c r="Q33" s="2852"/>
      <c r="R33" s="2971">
        <f>SUM(L33:Q33)</f>
        <v>0</v>
      </c>
      <c r="S33" s="2917"/>
      <c r="T33" s="2836"/>
      <c r="U33" s="2836"/>
      <c r="V33" s="2844"/>
    </row>
    <row r="34" spans="1:23" s="2848" customFormat="1" ht="13.15" customHeight="1">
      <c r="A34" s="2926">
        <v>5</v>
      </c>
      <c r="B34" s="2927" t="s">
        <v>2430</v>
      </c>
      <c r="C34" s="2972"/>
      <c r="D34" s="2973"/>
      <c r="E34" s="2974"/>
      <c r="F34" s="2931"/>
      <c r="G34" s="2925"/>
      <c r="H34" s="2953"/>
      <c r="I34" s="2944"/>
      <c r="J34" s="3645" t="s">
        <v>2333</v>
      </c>
      <c r="K34" s="364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2431</v>
      </c>
      <c r="C35" s="2976"/>
      <c r="D35" s="2977"/>
      <c r="E35" s="2978"/>
      <c r="F35" s="2931"/>
      <c r="G35" s="2979"/>
      <c r="H35" s="2843"/>
      <c r="I35" s="2944"/>
      <c r="J35" s="2862" t="s">
        <v>2335</v>
      </c>
      <c r="K35" s="2863"/>
      <c r="L35" s="2863"/>
      <c r="M35" s="2864"/>
      <c r="N35" s="2864"/>
      <c r="O35" s="2864"/>
      <c r="P35" s="2864"/>
      <c r="Q35" s="2864"/>
      <c r="R35" s="2980">
        <f>R40+R41+R43</f>
        <v>0</v>
      </c>
      <c r="S35" s="2917"/>
      <c r="T35" s="2836" t="s">
        <v>2336</v>
      </c>
      <c r="U35" s="2836"/>
      <c r="V35" s="2844"/>
    </row>
    <row r="36" spans="1:23" s="2848" customFormat="1" ht="13.15" customHeight="1" thickBot="1">
      <c r="A36" s="2926">
        <v>7</v>
      </c>
      <c r="B36" s="2981" t="s">
        <v>2432</v>
      </c>
      <c r="C36" s="2982"/>
      <c r="D36" s="2983"/>
      <c r="E36" s="2984"/>
      <c r="F36" s="2985">
        <f>C36+D36+E36</f>
        <v>0</v>
      </c>
      <c r="G36" s="2925"/>
      <c r="H36" s="2843"/>
      <c r="I36" s="2844"/>
      <c r="J36" s="3650">
        <v>1</v>
      </c>
      <c r="K36" s="3651" t="s">
        <v>2433</v>
      </c>
      <c r="L36" s="2869"/>
      <c r="M36" s="2870"/>
      <c r="N36" s="2870"/>
      <c r="O36" s="2870"/>
      <c r="P36" s="2870"/>
      <c r="Q36" s="2870"/>
      <c r="R36" s="2853" t="s">
        <v>2345</v>
      </c>
      <c r="S36" s="2917"/>
      <c r="T36" s="2836" t="s">
        <v>2346</v>
      </c>
      <c r="U36" s="2836"/>
      <c r="V36" s="2844"/>
    </row>
    <row r="37" spans="1:23" s="2848" customFormat="1" ht="13.15" customHeight="1">
      <c r="A37" s="2926"/>
      <c r="B37" s="2927"/>
      <c r="C37" s="2927"/>
      <c r="D37" s="2927"/>
      <c r="E37" s="2927"/>
      <c r="F37" s="2931"/>
      <c r="G37" s="2925"/>
      <c r="H37" s="2843"/>
      <c r="I37" s="2844"/>
      <c r="J37" s="3650"/>
      <c r="K37" s="3652"/>
      <c r="L37" s="2878"/>
      <c r="M37" s="2879"/>
      <c r="N37" s="2855"/>
      <c r="O37" s="2880"/>
      <c r="P37" s="2880"/>
      <c r="Q37" s="2881"/>
      <c r="R37" s="2882"/>
      <c r="S37" s="2917"/>
      <c r="T37" s="2836" t="s">
        <v>2349</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50"/>
      <c r="K38" s="3652"/>
      <c r="L38" s="2878"/>
      <c r="M38" s="2879"/>
      <c r="N38" s="2855"/>
      <c r="O38" s="2880"/>
      <c r="P38" s="2880"/>
      <c r="Q38" s="2881"/>
      <c r="R38" s="2882"/>
      <c r="S38" s="2917"/>
      <c r="T38" s="2836" t="s">
        <v>2356</v>
      </c>
      <c r="U38" s="2836"/>
      <c r="V38" s="2844"/>
    </row>
    <row r="39" spans="1:23" s="2848" customFormat="1" ht="13.15" customHeight="1">
      <c r="A39" s="2926">
        <v>9</v>
      </c>
      <c r="B39" s="2927" t="s">
        <v>2434</v>
      </c>
      <c r="C39" s="2892" t="e">
        <f>C38</f>
        <v>#DIV/0!</v>
      </c>
      <c r="D39" s="2927">
        <f>D38/(1+D34)^C36</f>
        <v>0</v>
      </c>
      <c r="E39" s="2927">
        <f>E38/(1+E34)^(C36+D36)</f>
        <v>0</v>
      </c>
      <c r="F39" s="2931"/>
      <c r="G39" s="2986"/>
      <c r="H39" s="2843"/>
      <c r="I39" s="2844"/>
      <c r="J39" s="3650"/>
      <c r="K39" s="3652"/>
      <c r="L39" s="2878"/>
      <c r="M39" s="2879"/>
      <c r="N39" s="2855"/>
      <c r="O39" s="2880"/>
      <c r="P39" s="2880"/>
      <c r="Q39" s="2881"/>
      <c r="R39" s="2882"/>
      <c r="S39" s="2917"/>
      <c r="T39" s="2836"/>
      <c r="U39" s="2836"/>
      <c r="V39" s="2844"/>
    </row>
    <row r="40" spans="1:23" s="2848" customFormat="1" ht="13.15" customHeight="1">
      <c r="A40" s="2987">
        <v>10</v>
      </c>
      <c r="B40" s="2927" t="s">
        <v>2435</v>
      </c>
      <c r="C40" s="2988" t="e">
        <f>C39+D39+E39</f>
        <v>#DIV/0!</v>
      </c>
      <c r="D40" s="2989"/>
      <c r="E40" s="2989"/>
      <c r="F40" s="2990"/>
      <c r="G40" s="2925"/>
      <c r="H40" s="2843"/>
      <c r="I40" s="2844"/>
      <c r="J40" s="3650"/>
      <c r="K40" s="3653"/>
      <c r="L40" s="2898" t="s">
        <v>2374</v>
      </c>
      <c r="M40" s="2899"/>
      <c r="N40" s="2899"/>
      <c r="O40" s="2900"/>
      <c r="P40" s="2900"/>
      <c r="Q40" s="2901"/>
      <c r="R40" s="2847">
        <f>SUM(R37:R39)</f>
        <v>0</v>
      </c>
      <c r="S40" s="2917"/>
      <c r="T40" s="2836"/>
      <c r="U40" s="2836"/>
      <c r="V40" s="2844"/>
    </row>
    <row r="41" spans="1:23" s="2848" customFormat="1" ht="13.15" customHeight="1" thickBot="1">
      <c r="A41" s="2991">
        <v>11</v>
      </c>
      <c r="B41" s="2992" t="s">
        <v>2436</v>
      </c>
      <c r="C41" s="2992" t="e">
        <f>ROUND(C40*10000/B4,0)</f>
        <v>#DIV/0!</v>
      </c>
      <c r="D41" s="2993"/>
      <c r="E41" s="2993"/>
      <c r="F41" s="2994"/>
      <c r="G41" s="2995"/>
      <c r="H41" s="2843"/>
      <c r="I41" s="2844"/>
      <c r="J41" s="2939">
        <v>2</v>
      </c>
      <c r="K41" s="2940" t="s">
        <v>2414</v>
      </c>
      <c r="L41" s="2941"/>
      <c r="M41" s="2941"/>
      <c r="N41" s="2941"/>
      <c r="O41" s="2941"/>
      <c r="P41" s="2942"/>
      <c r="Q41" s="2943"/>
      <c r="R41" s="2914">
        <f>ROUND(R40*Q41,0)</f>
        <v>0</v>
      </c>
      <c r="S41" s="2917"/>
      <c r="T41" s="2836"/>
      <c r="U41" s="2951"/>
      <c r="V41" s="2844"/>
    </row>
    <row r="42" spans="1:23" s="2848" customFormat="1" ht="13.15" customHeight="1">
      <c r="G42" s="2995"/>
      <c r="H42" s="2843"/>
      <c r="I42" s="2844"/>
      <c r="J42" s="3660">
        <v>3</v>
      </c>
      <c r="K42" s="2946" t="s">
        <v>2416</v>
      </c>
      <c r="L42" s="2947"/>
      <c r="M42" s="2948"/>
      <c r="N42" s="2949" t="s">
        <v>2417</v>
      </c>
      <c r="O42" s="2949" t="s">
        <v>2418</v>
      </c>
      <c r="P42" s="2950" t="s">
        <v>2419</v>
      </c>
      <c r="Q42" s="2950" t="s">
        <v>2420</v>
      </c>
      <c r="R42" s="2853" t="s">
        <v>2345</v>
      </c>
      <c r="S42" s="2951"/>
      <c r="T42" s="2951"/>
      <c r="U42" s="2836"/>
      <c r="V42" s="2844"/>
    </row>
    <row r="43" spans="1:23" ht="13.15" customHeight="1">
      <c r="A43" s="2848"/>
      <c r="B43" s="2848"/>
      <c r="C43" s="2848"/>
      <c r="D43" s="2848"/>
      <c r="E43" s="2848"/>
      <c r="F43" s="2848"/>
      <c r="I43" s="2831"/>
      <c r="J43" s="366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2423</v>
      </c>
      <c r="L44" s="2999" t="s">
        <v>2424</v>
      </c>
      <c r="M44" s="2962"/>
      <c r="N44" s="2999" t="s">
        <v>2425</v>
      </c>
      <c r="O44" s="2962"/>
      <c r="P44" s="2999" t="s">
        <v>2426</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794.28399999999999</v>
      </c>
      <c r="C2" s="1867" t="s">
        <v>1651</v>
      </c>
      <c r="D2" s="1868" t="s">
        <v>1652</v>
      </c>
      <c r="E2" s="2602">
        <f>SUM(E6:E13)</f>
        <v>573.27</v>
      </c>
      <c r="F2" s="2702"/>
      <c r="G2" s="1484"/>
      <c r="H2" s="1484"/>
      <c r="I2" s="1484"/>
      <c r="J2" s="1484"/>
      <c r="K2" s="1484"/>
      <c r="L2" s="1484"/>
      <c r="M2" s="1484"/>
      <c r="N2" s="1484"/>
      <c r="O2" s="1484"/>
      <c r="P2" s="1484"/>
      <c r="Q2" s="1484"/>
      <c r="R2" s="1484"/>
      <c r="S2" s="1484"/>
    </row>
    <row r="3" spans="1:22" ht="15.75">
      <c r="A3" s="1865" t="s">
        <v>686</v>
      </c>
      <c r="B3" s="2596">
        <f ca="1">ROUND(B2*10000/E2,0)</f>
        <v>13855</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662" t="s">
        <v>1654</v>
      </c>
      <c r="C5" s="3663"/>
      <c r="D5" s="2703"/>
      <c r="E5" s="1869" t="s">
        <v>1655</v>
      </c>
      <c r="F5" s="1870" t="s">
        <v>1656</v>
      </c>
      <c r="G5" s="1484"/>
      <c r="H5" s="1484"/>
      <c r="I5" s="1484"/>
      <c r="J5" s="1484"/>
      <c r="K5" s="1484"/>
      <c r="L5" s="1484"/>
      <c r="M5" s="1484"/>
      <c r="N5" s="1484"/>
      <c r="O5" s="1484"/>
      <c r="P5" s="1484"/>
      <c r="Q5" s="1484"/>
      <c r="R5" s="1484"/>
      <c r="S5" s="1484"/>
    </row>
    <row r="6" spans="1:22">
      <c r="A6" s="2599" t="str">
        <f>'数据-取费表'!AN6</f>
        <v>收益法 (元)</v>
      </c>
      <c r="B6" s="2597">
        <f ca="1">IF(F6="是",'数据-取费表'!AO6,0)</f>
        <v>794.28399999999999</v>
      </c>
      <c r="C6" s="1867" t="s">
        <v>1651</v>
      </c>
      <c r="D6" s="2704"/>
      <c r="E6" s="2601">
        <f>IF(OR(A6=0,F6="否"),0,'数据-取费表'!K6+'数据-取费表'!S6)</f>
        <v>573.27</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4"/>
      <c r="E7" s="2601">
        <f>IF(OR(A7=0,F7="否"),0,'数据-取费表'!K7+'数据-取费表'!S7)</f>
        <v>0</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573.27</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7"/>
    </row>
    <row r="4" spans="1:29" ht="15">
      <c r="A4" s="355" t="s">
        <v>1666</v>
      </c>
      <c r="B4" s="356"/>
      <c r="C4" s="3682" t="s">
        <v>1667</v>
      </c>
      <c r="D4" s="3683"/>
      <c r="E4" s="3684" t="s">
        <v>1668</v>
      </c>
      <c r="F4" s="3685"/>
      <c r="G4" s="3682" t="s">
        <v>1669</v>
      </c>
      <c r="H4" s="3683"/>
      <c r="I4" s="3682" t="s">
        <v>1670</v>
      </c>
      <c r="J4" s="3683"/>
      <c r="K4" s="1884" t="s">
        <v>1671</v>
      </c>
      <c r="L4" s="2710"/>
      <c r="M4" s="2711"/>
      <c r="N4" s="2711"/>
      <c r="O4" s="2711"/>
      <c r="P4" s="3686" t="s">
        <v>1672</v>
      </c>
      <c r="Q4" s="3687"/>
      <c r="R4" s="3669" t="s">
        <v>1668</v>
      </c>
      <c r="S4" s="3670"/>
      <c r="T4" s="3669" t="s">
        <v>1669</v>
      </c>
      <c r="U4" s="3670"/>
      <c r="V4" s="3694" t="s">
        <v>1670</v>
      </c>
      <c r="W4" s="3694"/>
      <c r="X4" s="1350"/>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85"/>
      <c r="L5" s="2710"/>
      <c r="M5" s="2711"/>
      <c r="N5" s="2711"/>
      <c r="O5" s="2711"/>
      <c r="P5" s="3688"/>
      <c r="Q5" s="3689"/>
      <c r="R5" s="3671"/>
      <c r="S5" s="3672"/>
      <c r="T5" s="3671"/>
      <c r="U5" s="3672"/>
      <c r="V5" s="3694"/>
      <c r="W5" s="3694"/>
      <c r="X5" s="1350"/>
      <c r="Y5" s="3671"/>
      <c r="Z5" s="3672"/>
      <c r="AA5" s="3665"/>
      <c r="AB5" s="3665"/>
      <c r="AC5" s="3665"/>
    </row>
    <row r="6" spans="1:29" ht="15.75" thickBot="1">
      <c r="A6" s="360"/>
      <c r="B6" s="361"/>
      <c r="C6" s="3677" t="s">
        <v>1677</v>
      </c>
      <c r="D6" s="3678"/>
      <c r="E6" s="3679" t="s">
        <v>1677</v>
      </c>
      <c r="F6" s="3680"/>
      <c r="G6" s="3677" t="s">
        <v>1677</v>
      </c>
      <c r="H6" s="3678"/>
      <c r="I6" s="3677" t="s">
        <v>1677</v>
      </c>
      <c r="J6" s="3678"/>
      <c r="K6" s="1885" t="s">
        <v>1678</v>
      </c>
      <c r="L6" s="2710"/>
      <c r="M6" s="2711"/>
      <c r="N6" s="2711"/>
      <c r="O6" s="2711"/>
      <c r="P6" s="3690"/>
      <c r="Q6" s="3691"/>
      <c r="R6" s="3671"/>
      <c r="S6" s="3672"/>
      <c r="T6" s="3692"/>
      <c r="U6" s="3693"/>
      <c r="V6" s="3694"/>
      <c r="W6" s="3694"/>
      <c r="X6" s="1350"/>
      <c r="Y6" s="3692"/>
      <c r="Z6" s="3693"/>
      <c r="AA6" s="3666"/>
      <c r="AB6" s="3666"/>
      <c r="AC6" s="3666"/>
    </row>
    <row r="7" spans="1:29" s="108" customFormat="1" ht="15.75" thickBot="1">
      <c r="A7" s="362" t="s">
        <v>1679</v>
      </c>
      <c r="B7" s="363"/>
      <c r="C7" s="364">
        <f>'数据-取费表'!B2</f>
        <v>45493</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667" t="s">
        <v>1680</v>
      </c>
      <c r="Q7" s="3695"/>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681" t="s">
        <v>1686</v>
      </c>
      <c r="Q9" s="1338"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681"/>
      <c r="Q10" s="1338"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1"/>
      <c r="Q11" s="1338"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681"/>
      <c r="Q12" s="1338">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681"/>
      <c r="Q13" s="1338">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681"/>
      <c r="Q14" s="1338">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8" t="s">
        <v>1691</v>
      </c>
      <c r="Q15" s="1347" t="str">
        <f t="shared" si="6"/>
        <v>居住社区成熟度</v>
      </c>
      <c r="R15" s="705" t="s">
        <v>18</v>
      </c>
      <c r="S15" s="706">
        <f t="shared" si="0"/>
        <v>100</v>
      </c>
      <c r="T15" s="705" t="s">
        <v>18</v>
      </c>
      <c r="U15" s="706">
        <f t="shared" si="1"/>
        <v>100</v>
      </c>
      <c r="V15" s="705" t="s">
        <v>18</v>
      </c>
      <c r="W15" s="706">
        <f t="shared" si="2"/>
        <v>100</v>
      </c>
      <c r="X15" s="1350"/>
      <c r="Y15" s="3701"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709"/>
      <c r="Q16" s="1347"/>
      <c r="R16" s="705"/>
      <c r="S16" s="706"/>
      <c r="T16" s="705"/>
      <c r="U16" s="706"/>
      <c r="V16" s="705"/>
      <c r="W16" s="706"/>
      <c r="X16" s="1350"/>
      <c r="Y16" s="3702"/>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9"/>
      <c r="Q17" s="1347" t="str">
        <f>B17</f>
        <v>交通便捷度</v>
      </c>
      <c r="R17" s="705" t="s">
        <v>18</v>
      </c>
      <c r="S17" s="706">
        <f>F17</f>
        <v>100</v>
      </c>
      <c r="T17" s="705" t="s">
        <v>18</v>
      </c>
      <c r="U17" s="706">
        <f>H17</f>
        <v>100</v>
      </c>
      <c r="V17" s="705" t="s">
        <v>18</v>
      </c>
      <c r="W17" s="706">
        <f>J17</f>
        <v>100</v>
      </c>
      <c r="X17" s="1350"/>
      <c r="Y17" s="3702"/>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709"/>
      <c r="Q18" s="1347"/>
      <c r="R18" s="705"/>
      <c r="S18" s="706"/>
      <c r="T18" s="705"/>
      <c r="U18" s="706"/>
      <c r="V18" s="705"/>
      <c r="W18" s="706"/>
      <c r="X18" s="1350"/>
      <c r="Y18" s="3702"/>
      <c r="Z18" s="1351"/>
      <c r="AA18" s="1348">
        <v>1</v>
      </c>
      <c r="AB18" s="1348">
        <v>1</v>
      </c>
      <c r="AC18" s="1348">
        <v>1</v>
      </c>
    </row>
    <row r="19" spans="1:29" ht="42.75">
      <c r="A19" s="379"/>
      <c r="B19" s="402" t="s">
        <v>1258</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9"/>
      <c r="Q19" s="1347" t="str">
        <f>B19</f>
        <v>公共配套设施</v>
      </c>
      <c r="R19" s="705" t="s">
        <v>18</v>
      </c>
      <c r="S19" s="706">
        <f>F19</f>
        <v>100</v>
      </c>
      <c r="T19" s="705" t="s">
        <v>18</v>
      </c>
      <c r="U19" s="706">
        <f>H19</f>
        <v>100</v>
      </c>
      <c r="V19" s="705" t="s">
        <v>18</v>
      </c>
      <c r="W19" s="706">
        <f>J19</f>
        <v>100</v>
      </c>
      <c r="X19" s="1350"/>
      <c r="Y19" s="3702"/>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709"/>
      <c r="Q20" s="1347"/>
      <c r="R20" s="705"/>
      <c r="S20" s="706"/>
      <c r="T20" s="705"/>
      <c r="U20" s="706"/>
      <c r="V20" s="705"/>
      <c r="W20" s="706"/>
      <c r="X20" s="1350"/>
      <c r="Y20" s="3702"/>
      <c r="Z20" s="1351"/>
      <c r="AA20" s="1348">
        <v>1</v>
      </c>
      <c r="AB20" s="1348">
        <v>1</v>
      </c>
      <c r="AC20" s="1348">
        <v>1</v>
      </c>
    </row>
    <row r="21" spans="1:29" ht="28.5">
      <c r="A21" s="379"/>
      <c r="B21" s="1127"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9"/>
      <c r="Q21" s="1347" t="str">
        <f>B21</f>
        <v>基础设施水平</v>
      </c>
      <c r="R21" s="705" t="s">
        <v>14</v>
      </c>
      <c r="S21" s="706">
        <f>F21</f>
        <v>100</v>
      </c>
      <c r="T21" s="705" t="s">
        <v>14</v>
      </c>
      <c r="U21" s="706">
        <f>H21</f>
        <v>100</v>
      </c>
      <c r="V21" s="705" t="s">
        <v>14</v>
      </c>
      <c r="W21" s="706">
        <f>J21</f>
        <v>100</v>
      </c>
      <c r="X21" s="1350"/>
      <c r="Y21" s="370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17"/>
      <c r="M22" s="2711"/>
      <c r="N22" s="2711"/>
      <c r="O22" s="2711"/>
      <c r="P22" s="3709"/>
      <c r="Q22" s="1347"/>
      <c r="R22" s="705"/>
      <c r="S22" s="706"/>
      <c r="T22" s="705"/>
      <c r="U22" s="706"/>
      <c r="V22" s="705"/>
      <c r="W22" s="706"/>
      <c r="X22" s="1350"/>
      <c r="Y22" s="3702"/>
      <c r="Z22" s="1351"/>
      <c r="AA22" s="1348">
        <v>1</v>
      </c>
      <c r="AB22" s="1348">
        <v>1</v>
      </c>
      <c r="AC22" s="1348">
        <v>1</v>
      </c>
    </row>
    <row r="23" spans="1:29" ht="42.75">
      <c r="A23" s="379"/>
      <c r="B23" s="402" t="s">
        <v>1261</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9"/>
      <c r="Q23" s="1347" t="str">
        <f>B23</f>
        <v>自然及人文环境</v>
      </c>
      <c r="R23" s="705" t="s">
        <v>18</v>
      </c>
      <c r="S23" s="706">
        <f>F23</f>
        <v>100</v>
      </c>
      <c r="T23" s="705" t="s">
        <v>18</v>
      </c>
      <c r="U23" s="706">
        <f>H23</f>
        <v>100</v>
      </c>
      <c r="V23" s="705" t="s">
        <v>18</v>
      </c>
      <c r="W23" s="706">
        <f>J23</f>
        <v>100</v>
      </c>
      <c r="X23" s="1350"/>
      <c r="Y23" s="3702"/>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709"/>
      <c r="Q24" s="1347"/>
      <c r="R24" s="705"/>
      <c r="S24" s="706"/>
      <c r="T24" s="705"/>
      <c r="U24" s="706"/>
      <c r="V24" s="705"/>
      <c r="W24" s="706"/>
      <c r="X24" s="1350"/>
      <c r="Y24" s="3702"/>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709"/>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702"/>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709"/>
      <c r="Q26" s="1347" t="str">
        <f t="shared" si="11"/>
        <v>朝向</v>
      </c>
      <c r="R26" s="705" t="s">
        <v>18</v>
      </c>
      <c r="S26" s="706">
        <f t="shared" si="12"/>
        <v>100</v>
      </c>
      <c r="T26" s="705" t="s">
        <v>18</v>
      </c>
      <c r="U26" s="706">
        <f t="shared" si="13"/>
        <v>100</v>
      </c>
      <c r="V26" s="705" t="s">
        <v>18</v>
      </c>
      <c r="W26" s="706">
        <f t="shared" si="14"/>
        <v>100</v>
      </c>
      <c r="X26" s="1350"/>
      <c r="Y26" s="3702"/>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709"/>
      <c r="Q27" s="1338">
        <f t="shared" si="11"/>
        <v>111</v>
      </c>
      <c r="R27" s="701" t="s">
        <v>18</v>
      </c>
      <c r="S27" s="702">
        <f t="shared" si="12"/>
        <v>100</v>
      </c>
      <c r="T27" s="701" t="s">
        <v>18</v>
      </c>
      <c r="U27" s="702">
        <f t="shared" si="13"/>
        <v>100</v>
      </c>
      <c r="V27" s="701" t="s">
        <v>18</v>
      </c>
      <c r="W27" s="702">
        <f t="shared" si="14"/>
        <v>100</v>
      </c>
      <c r="X27" s="703"/>
      <c r="Y27" s="3702"/>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709"/>
      <c r="Q28" s="1347">
        <f t="shared" si="11"/>
        <v>111</v>
      </c>
      <c r="R28" s="705" t="s">
        <v>18</v>
      </c>
      <c r="S28" s="706">
        <f t="shared" si="12"/>
        <v>100</v>
      </c>
      <c r="T28" s="705" t="s">
        <v>18</v>
      </c>
      <c r="U28" s="706">
        <f t="shared" si="13"/>
        <v>100</v>
      </c>
      <c r="V28" s="705" t="s">
        <v>18</v>
      </c>
      <c r="W28" s="706">
        <f t="shared" si="14"/>
        <v>100</v>
      </c>
      <c r="X28" s="1350"/>
      <c r="Y28" s="3702"/>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709"/>
      <c r="Q29" s="1347">
        <f t="shared" si="11"/>
        <v>111</v>
      </c>
      <c r="R29" s="705" t="s">
        <v>18</v>
      </c>
      <c r="S29" s="706">
        <f t="shared" si="12"/>
        <v>100</v>
      </c>
      <c r="T29" s="705" t="s">
        <v>18</v>
      </c>
      <c r="U29" s="706">
        <f t="shared" si="13"/>
        <v>100</v>
      </c>
      <c r="V29" s="705" t="s">
        <v>18</v>
      </c>
      <c r="W29" s="706">
        <f t="shared" si="14"/>
        <v>100</v>
      </c>
      <c r="X29" s="1350"/>
      <c r="Y29" s="3702"/>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709"/>
      <c r="Q30" s="1347">
        <f t="shared" si="11"/>
        <v>111</v>
      </c>
      <c r="R30" s="705" t="s">
        <v>18</v>
      </c>
      <c r="S30" s="706">
        <f t="shared" si="12"/>
        <v>100</v>
      </c>
      <c r="T30" s="705" t="s">
        <v>18</v>
      </c>
      <c r="U30" s="706">
        <f t="shared" si="13"/>
        <v>100</v>
      </c>
      <c r="V30" s="705" t="s">
        <v>18</v>
      </c>
      <c r="W30" s="706">
        <f t="shared" si="14"/>
        <v>100</v>
      </c>
      <c r="X30" s="1350"/>
      <c r="Y30" s="3702"/>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709"/>
      <c r="Q31" s="1347">
        <f t="shared" si="11"/>
        <v>111</v>
      </c>
      <c r="R31" s="705" t="s">
        <v>18</v>
      </c>
      <c r="S31" s="706">
        <f t="shared" si="12"/>
        <v>100</v>
      </c>
      <c r="T31" s="705" t="s">
        <v>18</v>
      </c>
      <c r="U31" s="706">
        <f t="shared" si="13"/>
        <v>100</v>
      </c>
      <c r="V31" s="705" t="s">
        <v>18</v>
      </c>
      <c r="W31" s="706">
        <f t="shared" si="14"/>
        <v>100</v>
      </c>
      <c r="X31" s="1350"/>
      <c r="Y31" s="3702"/>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703" t="s">
        <v>1696</v>
      </c>
      <c r="Q32" s="1347" t="str">
        <f t="shared" si="11"/>
        <v>建筑类型</v>
      </c>
      <c r="R32" s="705" t="s">
        <v>18</v>
      </c>
      <c r="S32" s="706">
        <f t="shared" si="12"/>
        <v>100</v>
      </c>
      <c r="T32" s="705" t="s">
        <v>18</v>
      </c>
      <c r="U32" s="706">
        <f t="shared" si="13"/>
        <v>100</v>
      </c>
      <c r="V32" s="705" t="s">
        <v>18</v>
      </c>
      <c r="W32" s="706">
        <f t="shared" si="14"/>
        <v>100</v>
      </c>
      <c r="X32" s="1350"/>
      <c r="Y32" s="3706"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704"/>
      <c r="Q34" s="1347" t="str">
        <f t="shared" si="11"/>
        <v>建筑结构</v>
      </c>
      <c r="R34" s="705" t="s">
        <v>18</v>
      </c>
      <c r="S34" s="706">
        <f t="shared" si="12"/>
        <v>100</v>
      </c>
      <c r="T34" s="705" t="s">
        <v>18</v>
      </c>
      <c r="U34" s="706">
        <f t="shared" si="13"/>
        <v>100</v>
      </c>
      <c r="V34" s="705" t="s">
        <v>18</v>
      </c>
      <c r="W34" s="706">
        <f t="shared" si="14"/>
        <v>100</v>
      </c>
      <c r="X34" s="1350"/>
      <c r="Y34" s="3706"/>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704"/>
      <c r="Q35" s="1347" t="str">
        <f t="shared" si="11"/>
        <v>建筑品质</v>
      </c>
      <c r="R35" s="705" t="s">
        <v>18</v>
      </c>
      <c r="S35" s="706">
        <f t="shared" si="12"/>
        <v>100</v>
      </c>
      <c r="T35" s="705" t="s">
        <v>18</v>
      </c>
      <c r="U35" s="706">
        <f t="shared" si="13"/>
        <v>100</v>
      </c>
      <c r="V35" s="705" t="s">
        <v>18</v>
      </c>
      <c r="W35" s="706">
        <f t="shared" si="14"/>
        <v>100</v>
      </c>
      <c r="X35" s="1350"/>
      <c r="Y35" s="3706"/>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704"/>
      <c r="Q36" s="1347" t="str">
        <f t="shared" si="11"/>
        <v>公共部分装修</v>
      </c>
      <c r="R36" s="705" t="s">
        <v>18</v>
      </c>
      <c r="S36" s="706">
        <f t="shared" si="12"/>
        <v>100</v>
      </c>
      <c r="T36" s="705" t="s">
        <v>18</v>
      </c>
      <c r="U36" s="706">
        <f t="shared" si="13"/>
        <v>100</v>
      </c>
      <c r="V36" s="705" t="s">
        <v>18</v>
      </c>
      <c r="W36" s="706">
        <f t="shared" si="14"/>
        <v>100</v>
      </c>
      <c r="X36" s="1350"/>
      <c r="Y36" s="3706"/>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4"/>
      <c r="Q37" s="1338"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704" t="s">
        <v>1696</v>
      </c>
      <c r="Q38" s="1347" t="str">
        <f t="shared" si="11"/>
        <v>物业管理</v>
      </c>
      <c r="R38" s="705" t="s">
        <v>18</v>
      </c>
      <c r="S38" s="706">
        <f t="shared" si="12"/>
        <v>100</v>
      </c>
      <c r="T38" s="705" t="s">
        <v>18</v>
      </c>
      <c r="U38" s="706">
        <f t="shared" si="13"/>
        <v>100</v>
      </c>
      <c r="V38" s="705" t="s">
        <v>18</v>
      </c>
      <c r="W38" s="706">
        <f t="shared" si="14"/>
        <v>100</v>
      </c>
      <c r="X38" s="1350"/>
      <c r="Y38" s="3706"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704"/>
      <c r="Q39" s="1347" t="str">
        <f t="shared" si="11"/>
        <v>市政基础设施</v>
      </c>
      <c r="R39" s="705" t="s">
        <v>18</v>
      </c>
      <c r="S39" s="706">
        <f t="shared" si="12"/>
        <v>100</v>
      </c>
      <c r="T39" s="705" t="s">
        <v>18</v>
      </c>
      <c r="U39" s="706">
        <f t="shared" si="13"/>
        <v>100</v>
      </c>
      <c r="V39" s="705" t="s">
        <v>18</v>
      </c>
      <c r="W39" s="706">
        <f t="shared" si="14"/>
        <v>100</v>
      </c>
      <c r="X39" s="1350"/>
      <c r="Y39" s="3706"/>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704"/>
      <c r="Q40" s="1347" t="str">
        <f t="shared" si="11"/>
        <v>房型</v>
      </c>
      <c r="R40" s="705" t="s">
        <v>18</v>
      </c>
      <c r="S40" s="706">
        <f t="shared" si="12"/>
        <v>100</v>
      </c>
      <c r="T40" s="705" t="s">
        <v>18</v>
      </c>
      <c r="U40" s="706">
        <f t="shared" si="13"/>
        <v>100</v>
      </c>
      <c r="V40" s="705" t="s">
        <v>18</v>
      </c>
      <c r="W40" s="706">
        <f t="shared" si="14"/>
        <v>100</v>
      </c>
      <c r="X40" s="1350"/>
      <c r="Y40" s="3706"/>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704"/>
      <c r="Q42" s="1347" t="str">
        <f t="shared" si="11"/>
        <v>内部装修</v>
      </c>
      <c r="R42" s="705" t="s">
        <v>18</v>
      </c>
      <c r="S42" s="706">
        <f t="shared" si="12"/>
        <v>100</v>
      </c>
      <c r="T42" s="705" t="s">
        <v>18</v>
      </c>
      <c r="U42" s="706">
        <f t="shared" si="13"/>
        <v>100</v>
      </c>
      <c r="V42" s="705" t="s">
        <v>18</v>
      </c>
      <c r="W42" s="706">
        <f t="shared" si="14"/>
        <v>100</v>
      </c>
      <c r="X42" s="1350"/>
      <c r="Y42" s="3706"/>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704"/>
      <c r="Q43" s="1347" t="str">
        <f t="shared" si="11"/>
        <v>内部装修维护情况</v>
      </c>
      <c r="R43" s="705" t="s">
        <v>18</v>
      </c>
      <c r="S43" s="706">
        <f t="shared" si="12"/>
        <v>100</v>
      </c>
      <c r="T43" s="705" t="s">
        <v>18</v>
      </c>
      <c r="U43" s="706">
        <f t="shared" si="13"/>
        <v>100</v>
      </c>
      <c r="V43" s="705" t="s">
        <v>18</v>
      </c>
      <c r="W43" s="706">
        <f t="shared" si="14"/>
        <v>100</v>
      </c>
      <c r="X43" s="1350"/>
      <c r="Y43" s="3706"/>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704"/>
      <c r="Q44" s="1338">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704"/>
      <c r="Q45" s="1347">
        <f t="shared" si="11"/>
        <v>111</v>
      </c>
      <c r="R45" s="705" t="s">
        <v>18</v>
      </c>
      <c r="S45" s="706">
        <f t="shared" si="12"/>
        <v>100</v>
      </c>
      <c r="T45" s="705" t="s">
        <v>18</v>
      </c>
      <c r="U45" s="706">
        <f t="shared" si="13"/>
        <v>100</v>
      </c>
      <c r="V45" s="705" t="s">
        <v>18</v>
      </c>
      <c r="W45" s="706">
        <f t="shared" si="14"/>
        <v>100</v>
      </c>
      <c r="X45" s="1350"/>
      <c r="Y45" s="3706"/>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705"/>
      <c r="Q46" s="1347">
        <f t="shared" si="11"/>
        <v>111</v>
      </c>
      <c r="R46" s="705" t="s">
        <v>17</v>
      </c>
      <c r="S46" s="706">
        <f t="shared" si="12"/>
        <v>100</v>
      </c>
      <c r="T46" s="705" t="s">
        <v>17</v>
      </c>
      <c r="U46" s="706">
        <f t="shared" si="13"/>
        <v>100</v>
      </c>
      <c r="V46" s="705" t="s">
        <v>17</v>
      </c>
      <c r="W46" s="706">
        <f t="shared" si="14"/>
        <v>100</v>
      </c>
      <c r="X46" s="1350"/>
      <c r="Y46" s="3707"/>
      <c r="Z46" s="1351">
        <f t="shared" si="18"/>
        <v>111</v>
      </c>
      <c r="AA46" s="1348">
        <f t="shared" si="15"/>
        <v>1</v>
      </c>
      <c r="AB46" s="1348">
        <f t="shared" si="16"/>
        <v>1</v>
      </c>
      <c r="AC46" s="1348">
        <f t="shared" si="17"/>
        <v>1</v>
      </c>
    </row>
    <row r="47" spans="1:29" ht="15">
      <c r="A47" s="430" t="s">
        <v>1708</v>
      </c>
      <c r="B47" s="431"/>
      <c r="C47" s="1150" t="s">
        <v>16</v>
      </c>
      <c r="D47" s="1151"/>
      <c r="E47" s="1152"/>
      <c r="F47" s="1153"/>
      <c r="G47" s="1154"/>
      <c r="H47" s="1155"/>
      <c r="I47" s="1152"/>
      <c r="J47" s="1155"/>
      <c r="K47" s="1909"/>
      <c r="L47" s="2719"/>
      <c r="M47" s="2720"/>
      <c r="N47" s="2711"/>
      <c r="O47" s="2720"/>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9"/>
      <c r="M48" s="2720"/>
      <c r="N48" s="2720"/>
      <c r="O48" s="2720"/>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0"/>
      <c r="L49" s="2719"/>
      <c r="M49" s="2720"/>
      <c r="N49" s="2720"/>
      <c r="O49" s="2720"/>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37"/>
      <c r="L57" s="938"/>
      <c r="M57" s="936"/>
      <c r="N57" s="936"/>
      <c r="O57" s="936"/>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1719</v>
      </c>
      <c r="B63" s="477" t="s">
        <v>1685</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1688</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1734</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1735</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1694</v>
      </c>
      <c r="B100" s="477" t="s">
        <v>1736</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1738</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1739</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1740</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1741</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1742</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1743</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1744</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3">
        <v>6</v>
      </c>
      <c r="C139" s="864">
        <v>96</v>
      </c>
      <c r="D139" s="1935" t="s">
        <v>1755</v>
      </c>
      <c r="E139" s="865">
        <v>100</v>
      </c>
      <c r="F139" s="866">
        <v>102.5</v>
      </c>
      <c r="G139" s="1935" t="s">
        <v>1755</v>
      </c>
      <c r="H139" s="867">
        <v>105</v>
      </c>
      <c r="I139" s="1936" t="s">
        <v>1756</v>
      </c>
      <c r="J139" s="864">
        <v>20</v>
      </c>
      <c r="K139" s="868">
        <f>C145/(J139-2)</f>
        <v>4.0555555555555553E-3</v>
      </c>
    </row>
    <row r="140" spans="1:17" ht="15">
      <c r="B140" s="869">
        <v>5</v>
      </c>
      <c r="C140" s="870">
        <v>100</v>
      </c>
      <c r="D140" s="870"/>
      <c r="E140" s="871"/>
      <c r="F140" s="872">
        <v>102</v>
      </c>
      <c r="G140" s="870"/>
      <c r="H140" s="873"/>
      <c r="I140" s="1937" t="s">
        <v>1757</v>
      </c>
      <c r="J140" s="271">
        <f>ROUNDUP((J139-1)/2,0)</f>
        <v>10</v>
      </c>
      <c r="K140" s="874">
        <v>100</v>
      </c>
    </row>
    <row r="141" spans="1:17" ht="15">
      <c r="B141" s="869">
        <v>4</v>
      </c>
      <c r="C141" s="870">
        <v>102</v>
      </c>
      <c r="D141" s="870"/>
      <c r="E141" s="871"/>
      <c r="F141" s="872">
        <v>101.5</v>
      </c>
      <c r="G141" s="870"/>
      <c r="H141" s="873"/>
      <c r="I141" s="1937" t="s">
        <v>1758</v>
      </c>
      <c r="J141" s="271">
        <v>1</v>
      </c>
      <c r="K141" s="875">
        <f>ROUND(100+(J141-J140)*K139*100,1)</f>
        <v>96.4</v>
      </c>
    </row>
    <row r="142" spans="1:17" ht="15">
      <c r="B142" s="869">
        <v>3</v>
      </c>
      <c r="C142" s="870">
        <v>103</v>
      </c>
      <c r="D142" s="870"/>
      <c r="E142" s="871"/>
      <c r="F142" s="872">
        <v>101</v>
      </c>
      <c r="G142" s="870"/>
      <c r="H142" s="873"/>
      <c r="I142" s="1937" t="s">
        <v>1759</v>
      </c>
      <c r="J142" s="271">
        <f>J139</f>
        <v>20</v>
      </c>
      <c r="K142" s="876">
        <v>95</v>
      </c>
    </row>
    <row r="143" spans="1:17" ht="15">
      <c r="B143" s="869">
        <v>2</v>
      </c>
      <c r="C143" s="870">
        <v>100</v>
      </c>
      <c r="D143" s="870"/>
      <c r="E143" s="871"/>
      <c r="F143" s="872">
        <v>100.5</v>
      </c>
      <c r="G143" s="870"/>
      <c r="H143" s="873"/>
      <c r="I143" s="1937" t="s">
        <v>1760</v>
      </c>
      <c r="J143" s="870">
        <v>15</v>
      </c>
      <c r="K143" s="875">
        <f>ROUND(100+(J143-J140)*K139*100,1)</f>
        <v>102</v>
      </c>
    </row>
    <row r="144" spans="1:17" ht="15">
      <c r="B144" s="869">
        <v>1</v>
      </c>
      <c r="C144" s="870">
        <v>98</v>
      </c>
      <c r="D144" s="1938" t="s">
        <v>1761</v>
      </c>
      <c r="E144" s="871">
        <v>102</v>
      </c>
      <c r="F144" s="877">
        <v>100</v>
      </c>
      <c r="G144" s="1938" t="s">
        <v>1761</v>
      </c>
      <c r="H144" s="873">
        <v>105</v>
      </c>
      <c r="I144" s="1937" t="s">
        <v>1760</v>
      </c>
      <c r="J144" s="870">
        <v>18</v>
      </c>
      <c r="K144" s="875">
        <f>ROUND(100+(J144-J140)*K139*100,1)</f>
        <v>103.2</v>
      </c>
    </row>
    <row r="145" spans="2:11" ht="15.75" thickBot="1">
      <c r="B145" s="1939" t="s">
        <v>1762</v>
      </c>
      <c r="C145" s="878">
        <f>ROUND(MAX(C139:C144)/MIN(C139:C144)-1,3)</f>
        <v>7.2999999999999995E-2</v>
      </c>
      <c r="D145" s="879"/>
      <c r="E145" s="879"/>
      <c r="F145" s="1940" t="s">
        <v>1763</v>
      </c>
      <c r="G145" s="1941"/>
      <c r="H145" s="1942"/>
      <c r="I145" s="1943" t="s">
        <v>1760</v>
      </c>
      <c r="J145" s="880">
        <v>8</v>
      </c>
      <c r="K145" s="881">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1464</v>
      </c>
      <c r="B3" s="558">
        <f>IF(C2="——",C49,ROUND(B2*10000/D3,0))</f>
        <v>0</v>
      </c>
      <c r="C3" s="354" t="s">
        <v>1768</v>
      </c>
      <c r="D3" s="353">
        <f>IF(D1="",'数据-汇总表'!E3,SUMIF('数据-汇总表'!$C19:$C33,D1,'数据-汇总表'!$E19:$E33))</f>
        <v>573.27</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69" t="s">
        <v>1771</v>
      </c>
      <c r="S4" s="3670"/>
      <c r="T4" s="3669" t="s">
        <v>1772</v>
      </c>
      <c r="U4" s="3670"/>
      <c r="V4" s="3694" t="s">
        <v>1773</v>
      </c>
      <c r="W4" s="3694"/>
      <c r="X4" s="1350"/>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0"/>
      <c r="M5" s="2711"/>
      <c r="N5" s="2711"/>
      <c r="O5" s="2711"/>
      <c r="P5" s="3688"/>
      <c r="Q5" s="3689"/>
      <c r="R5" s="3671"/>
      <c r="S5" s="3672"/>
      <c r="T5" s="3671"/>
      <c r="U5" s="3672"/>
      <c r="V5" s="3694"/>
      <c r="W5" s="3694"/>
      <c r="X5" s="1350"/>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0"/>
      <c r="M6" s="2711"/>
      <c r="N6" s="2711"/>
      <c r="O6" s="2711"/>
      <c r="P6" s="3690"/>
      <c r="Q6" s="3691"/>
      <c r="R6" s="3671"/>
      <c r="S6" s="3672"/>
      <c r="T6" s="3692"/>
      <c r="U6" s="3693"/>
      <c r="V6" s="3694"/>
      <c r="W6" s="3694"/>
      <c r="X6" s="1350"/>
      <c r="Y6" s="3692"/>
      <c r="Z6" s="3693"/>
      <c r="AA6" s="3666"/>
      <c r="AB6" s="3694"/>
      <c r="AC6" s="3666"/>
    </row>
    <row r="7" spans="1:29" s="108" customFormat="1" ht="15.75" thickBot="1">
      <c r="A7" s="362" t="s">
        <v>1679</v>
      </c>
      <c r="B7" s="363"/>
      <c r="C7" s="364">
        <f>'数据-取费表'!B2</f>
        <v>45493</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67" t="s">
        <v>1683</v>
      </c>
      <c r="Q8" s="3668"/>
      <c r="R8" s="701" t="s">
        <v>14</v>
      </c>
      <c r="S8" s="702">
        <f t="shared" si="0"/>
        <v>100</v>
      </c>
      <c r="T8" s="701" t="s">
        <v>14</v>
      </c>
      <c r="U8" s="702">
        <f t="shared" si="1"/>
        <v>100</v>
      </c>
      <c r="V8" s="701" t="s">
        <v>14</v>
      </c>
      <c r="W8" s="702">
        <f t="shared" si="2"/>
        <v>100</v>
      </c>
      <c r="X8" s="703"/>
      <c r="Y8" s="3667" t="s">
        <v>1683</v>
      </c>
      <c r="Z8" s="36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81" t="s">
        <v>1686</v>
      </c>
      <c r="Q9" s="1338"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681"/>
      <c r="Q10" s="1338"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81"/>
      <c r="Q11" s="1338"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1"/>
      <c r="Q12" s="1338">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1"/>
      <c r="Q13" s="1338">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1"/>
      <c r="Q14" s="1338">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08" t="s">
        <v>1691</v>
      </c>
      <c r="Q15" s="1347" t="str">
        <f t="shared" si="6"/>
        <v>商业繁华度</v>
      </c>
      <c r="R15" s="705" t="s">
        <v>14</v>
      </c>
      <c r="S15" s="706">
        <f t="shared" si="0"/>
        <v>100</v>
      </c>
      <c r="T15" s="705" t="s">
        <v>14</v>
      </c>
      <c r="U15" s="706">
        <f t="shared" si="1"/>
        <v>100</v>
      </c>
      <c r="V15" s="705" t="s">
        <v>14</v>
      </c>
      <c r="W15" s="706">
        <f t="shared" si="2"/>
        <v>100</v>
      </c>
      <c r="X15" s="1350"/>
      <c r="Y15" s="3701"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7"/>
      <c r="M16" s="2711"/>
      <c r="N16" s="2711"/>
      <c r="O16" s="2711"/>
      <c r="P16" s="3709"/>
      <c r="Q16" s="1347"/>
      <c r="R16" s="705"/>
      <c r="S16" s="706"/>
      <c r="T16" s="705"/>
      <c r="U16" s="706"/>
      <c r="V16" s="705"/>
      <c r="W16" s="706"/>
      <c r="X16" s="1350"/>
      <c r="Y16" s="3702"/>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09"/>
      <c r="Q17" s="1347" t="str">
        <f>B17</f>
        <v>交通便捷度</v>
      </c>
      <c r="R17" s="705" t="s">
        <v>14</v>
      </c>
      <c r="S17" s="706">
        <f>F17</f>
        <v>100</v>
      </c>
      <c r="T17" s="705" t="s">
        <v>14</v>
      </c>
      <c r="U17" s="706">
        <f>H17</f>
        <v>100</v>
      </c>
      <c r="V17" s="705" t="s">
        <v>14</v>
      </c>
      <c r="W17" s="706">
        <f>J17</f>
        <v>100</v>
      </c>
      <c r="X17" s="1350"/>
      <c r="Y17" s="370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7"/>
      <c r="M18" s="2711"/>
      <c r="N18" s="2711"/>
      <c r="O18" s="2711"/>
      <c r="P18" s="3709"/>
      <c r="Q18" s="1347"/>
      <c r="R18" s="705"/>
      <c r="S18" s="706"/>
      <c r="T18" s="705"/>
      <c r="U18" s="706"/>
      <c r="V18" s="705"/>
      <c r="W18" s="706"/>
      <c r="X18" s="1350"/>
      <c r="Y18" s="3702"/>
      <c r="Z18" s="1351"/>
      <c r="AA18" s="1348">
        <v>1</v>
      </c>
      <c r="AB18" s="1348">
        <v>1</v>
      </c>
      <c r="AC18" s="1348">
        <v>1</v>
      </c>
    </row>
    <row r="19" spans="1:29" ht="42.75">
      <c r="A19" s="379"/>
      <c r="B19" s="402" t="s">
        <v>1778</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09"/>
      <c r="Q19" s="1347" t="str">
        <f>B19</f>
        <v>公共配套设施</v>
      </c>
      <c r="R19" s="705" t="s">
        <v>14</v>
      </c>
      <c r="S19" s="706">
        <f>F19</f>
        <v>100</v>
      </c>
      <c r="T19" s="705" t="s">
        <v>14</v>
      </c>
      <c r="U19" s="706">
        <f>H19</f>
        <v>100</v>
      </c>
      <c r="V19" s="705" t="s">
        <v>14</v>
      </c>
      <c r="W19" s="706">
        <f>J19</f>
        <v>100</v>
      </c>
      <c r="X19" s="1350"/>
      <c r="Y19" s="370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7"/>
      <c r="M20" s="2711"/>
      <c r="N20" s="2711"/>
      <c r="O20" s="2711"/>
      <c r="P20" s="3709"/>
      <c r="Q20" s="1347"/>
      <c r="R20" s="705"/>
      <c r="S20" s="706"/>
      <c r="T20" s="705"/>
      <c r="U20" s="706"/>
      <c r="V20" s="705"/>
      <c r="W20" s="706"/>
      <c r="X20" s="1350"/>
      <c r="Y20" s="3702"/>
      <c r="Z20" s="1351"/>
      <c r="AA20" s="1348">
        <v>1</v>
      </c>
      <c r="AB20" s="1348">
        <v>1</v>
      </c>
      <c r="AC20" s="1348">
        <v>1</v>
      </c>
    </row>
    <row r="21" spans="1:29" ht="28.5">
      <c r="A21" s="379"/>
      <c r="B21" s="1127"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09"/>
      <c r="Q21" s="1347" t="str">
        <f>B21</f>
        <v>基础设施水平</v>
      </c>
      <c r="R21" s="705" t="s">
        <v>14</v>
      </c>
      <c r="S21" s="706">
        <f>F21</f>
        <v>100</v>
      </c>
      <c r="T21" s="705" t="s">
        <v>14</v>
      </c>
      <c r="U21" s="706">
        <f>H21</f>
        <v>100</v>
      </c>
      <c r="V21" s="705" t="s">
        <v>14</v>
      </c>
      <c r="W21" s="706">
        <f>J21</f>
        <v>100</v>
      </c>
      <c r="X21" s="1350"/>
      <c r="Y21" s="370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717"/>
      <c r="M22" s="2711"/>
      <c r="N22" s="2711"/>
      <c r="O22" s="2711"/>
      <c r="P22" s="3709"/>
      <c r="Q22" s="1347"/>
      <c r="R22" s="705"/>
      <c r="S22" s="706"/>
      <c r="T22" s="705"/>
      <c r="U22" s="706"/>
      <c r="V22" s="705"/>
      <c r="W22" s="706"/>
      <c r="X22" s="1350"/>
      <c r="Y22" s="3702"/>
      <c r="Z22" s="1351"/>
      <c r="AA22" s="1348">
        <v>1</v>
      </c>
      <c r="AB22" s="1348">
        <v>1</v>
      </c>
      <c r="AC22" s="1348">
        <v>1</v>
      </c>
    </row>
    <row r="23" spans="1:29" ht="57">
      <c r="A23" s="379"/>
      <c r="B23" s="402" t="s">
        <v>1261</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09"/>
      <c r="Q23" s="1347" t="str">
        <f>B23</f>
        <v>自然及人文环境</v>
      </c>
      <c r="R23" s="705" t="s">
        <v>14</v>
      </c>
      <c r="S23" s="706">
        <f>F23</f>
        <v>100</v>
      </c>
      <c r="T23" s="705" t="s">
        <v>14</v>
      </c>
      <c r="U23" s="706">
        <f>H23</f>
        <v>100</v>
      </c>
      <c r="V23" s="705" t="s">
        <v>14</v>
      </c>
      <c r="W23" s="706">
        <f>J23</f>
        <v>100</v>
      </c>
      <c r="X23" s="1350"/>
      <c r="Y23" s="3702"/>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7"/>
      <c r="M24" s="2711"/>
      <c r="N24" s="2711"/>
      <c r="O24" s="2711"/>
      <c r="P24" s="3709"/>
      <c r="Q24" s="1347"/>
      <c r="R24" s="705"/>
      <c r="S24" s="706"/>
      <c r="T24" s="705"/>
      <c r="U24" s="706"/>
      <c r="V24" s="705"/>
      <c r="W24" s="706"/>
      <c r="X24" s="1350"/>
      <c r="Y24" s="3702"/>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09"/>
      <c r="Q25" s="1347" t="str">
        <f t="shared" ref="Q25:Q46" si="11">B25</f>
        <v>临街状况</v>
      </c>
      <c r="R25" s="705" t="s">
        <v>14</v>
      </c>
      <c r="S25" s="706">
        <f>F25</f>
        <v>100</v>
      </c>
      <c r="T25" s="705" t="s">
        <v>14</v>
      </c>
      <c r="U25" s="706">
        <f>H25</f>
        <v>100</v>
      </c>
      <c r="V25" s="705" t="s">
        <v>14</v>
      </c>
      <c r="W25" s="706">
        <f>J25</f>
        <v>100</v>
      </c>
      <c r="X25" s="1350"/>
      <c r="Y25" s="3702"/>
      <c r="Z25" s="1351" t="str">
        <f>Q25</f>
        <v>临街状况</v>
      </c>
      <c r="AA25" s="1348">
        <f t="shared" si="3"/>
        <v>1</v>
      </c>
      <c r="AB25" s="1348">
        <f t="shared" si="4"/>
        <v>1</v>
      </c>
      <c r="AC25" s="1348">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09"/>
      <c r="Q26" s="1347" t="str">
        <f t="shared" si="11"/>
        <v>平面位置/可视性</v>
      </c>
      <c r="R26" s="705" t="s">
        <v>14</v>
      </c>
      <c r="S26" s="706">
        <f>F26</f>
        <v>100</v>
      </c>
      <c r="T26" s="705" t="s">
        <v>14</v>
      </c>
      <c r="U26" s="706">
        <f>H26</f>
        <v>100</v>
      </c>
      <c r="V26" s="705" t="s">
        <v>14</v>
      </c>
      <c r="W26" s="706">
        <f>J26</f>
        <v>100</v>
      </c>
      <c r="X26" s="1350"/>
      <c r="Y26" s="3702"/>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09"/>
      <c r="Q27" s="1338" t="str">
        <f t="shared" si="11"/>
        <v>人流量</v>
      </c>
      <c r="R27" s="701" t="s">
        <v>14</v>
      </c>
      <c r="S27" s="702">
        <f>F27</f>
        <v>100</v>
      </c>
      <c r="T27" s="701" t="s">
        <v>14</v>
      </c>
      <c r="U27" s="702">
        <f>H27</f>
        <v>100</v>
      </c>
      <c r="V27" s="701" t="s">
        <v>14</v>
      </c>
      <c r="W27" s="702">
        <f>J27</f>
        <v>100</v>
      </c>
      <c r="X27" s="703"/>
      <c r="Y27" s="3702"/>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09"/>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702"/>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9"/>
      <c r="Q29" s="1347">
        <f t="shared" si="11"/>
        <v>111</v>
      </c>
      <c r="R29" s="705" t="s">
        <v>14</v>
      </c>
      <c r="S29" s="706">
        <f t="shared" si="12"/>
        <v>100</v>
      </c>
      <c r="T29" s="705" t="s">
        <v>14</v>
      </c>
      <c r="U29" s="706">
        <f t="shared" si="13"/>
        <v>100</v>
      </c>
      <c r="V29" s="705" t="s">
        <v>14</v>
      </c>
      <c r="W29" s="706">
        <f t="shared" si="14"/>
        <v>100</v>
      </c>
      <c r="X29" s="1350"/>
      <c r="Y29" s="3702"/>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9"/>
      <c r="Q30" s="1347">
        <f t="shared" si="11"/>
        <v>111</v>
      </c>
      <c r="R30" s="705" t="s">
        <v>14</v>
      </c>
      <c r="S30" s="706">
        <f t="shared" si="12"/>
        <v>100</v>
      </c>
      <c r="T30" s="705" t="s">
        <v>14</v>
      </c>
      <c r="U30" s="706">
        <f t="shared" si="13"/>
        <v>100</v>
      </c>
      <c r="V30" s="705" t="s">
        <v>14</v>
      </c>
      <c r="W30" s="706">
        <f t="shared" si="14"/>
        <v>100</v>
      </c>
      <c r="X30" s="1350"/>
      <c r="Y30" s="3702"/>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9"/>
      <c r="Q31" s="1347">
        <f t="shared" si="11"/>
        <v>111</v>
      </c>
      <c r="R31" s="705" t="s">
        <v>14</v>
      </c>
      <c r="S31" s="706">
        <f t="shared" si="12"/>
        <v>100</v>
      </c>
      <c r="T31" s="705" t="s">
        <v>14</v>
      </c>
      <c r="U31" s="706">
        <f t="shared" si="13"/>
        <v>100</v>
      </c>
      <c r="V31" s="705" t="s">
        <v>14</v>
      </c>
      <c r="W31" s="706">
        <f t="shared" si="14"/>
        <v>100</v>
      </c>
      <c r="X31" s="1350"/>
      <c r="Y31" s="3702"/>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7"/>
      <c r="M32" s="2711"/>
      <c r="N32" s="2711"/>
      <c r="O32" s="2711"/>
      <c r="P32" s="3703" t="s">
        <v>1696</v>
      </c>
      <c r="Q32" s="1347" t="str">
        <f t="shared" si="11"/>
        <v>商业类型</v>
      </c>
      <c r="R32" s="705" t="s">
        <v>14</v>
      </c>
      <c r="S32" s="706">
        <f t="shared" si="12"/>
        <v>100</v>
      </c>
      <c r="T32" s="705" t="s">
        <v>14</v>
      </c>
      <c r="U32" s="706">
        <f t="shared" si="13"/>
        <v>100</v>
      </c>
      <c r="V32" s="705" t="s">
        <v>14</v>
      </c>
      <c r="W32" s="706">
        <f t="shared" si="14"/>
        <v>100</v>
      </c>
      <c r="X32" s="1350"/>
      <c r="Y32" s="3706"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7"/>
      <c r="M34" s="2711"/>
      <c r="N34" s="2711"/>
      <c r="O34" s="2711"/>
      <c r="P34" s="3704"/>
      <c r="Q34" s="1347" t="str">
        <f t="shared" si="11"/>
        <v>建筑结构</v>
      </c>
      <c r="R34" s="705" t="s">
        <v>14</v>
      </c>
      <c r="S34" s="706">
        <f t="shared" si="12"/>
        <v>100</v>
      </c>
      <c r="T34" s="705" t="s">
        <v>14</v>
      </c>
      <c r="U34" s="706">
        <f t="shared" si="13"/>
        <v>100</v>
      </c>
      <c r="V34" s="705" t="s">
        <v>14</v>
      </c>
      <c r="W34" s="706">
        <f t="shared" si="14"/>
        <v>100</v>
      </c>
      <c r="X34" s="1350"/>
      <c r="Y34" s="3706"/>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7"/>
      <c r="M35" s="2711"/>
      <c r="N35" s="2711"/>
      <c r="O35" s="2711"/>
      <c r="P35" s="3704"/>
      <c r="Q35" s="1347" t="str">
        <f t="shared" si="11"/>
        <v>公共部分装修</v>
      </c>
      <c r="R35" s="705" t="s">
        <v>14</v>
      </c>
      <c r="S35" s="706">
        <f t="shared" si="12"/>
        <v>100</v>
      </c>
      <c r="T35" s="705" t="s">
        <v>14</v>
      </c>
      <c r="U35" s="706">
        <f t="shared" si="13"/>
        <v>100</v>
      </c>
      <c r="V35" s="705" t="s">
        <v>14</v>
      </c>
      <c r="W35" s="706">
        <f t="shared" si="14"/>
        <v>100</v>
      </c>
      <c r="X35" s="1350"/>
      <c r="Y35" s="3706"/>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04"/>
      <c r="Q36" s="1347" t="str">
        <f t="shared" si="11"/>
        <v>成新度</v>
      </c>
      <c r="R36" s="705" t="s">
        <v>14</v>
      </c>
      <c r="S36" s="706" t="e">
        <f t="shared" si="12"/>
        <v>#N/A</v>
      </c>
      <c r="T36" s="705" t="s">
        <v>14</v>
      </c>
      <c r="U36" s="706" t="e">
        <f t="shared" si="13"/>
        <v>#N/A</v>
      </c>
      <c r="V36" s="705" t="s">
        <v>14</v>
      </c>
      <c r="W36" s="706" t="e">
        <f t="shared" si="14"/>
        <v>#N/A</v>
      </c>
      <c r="X36" s="1350"/>
      <c r="Y36" s="3706"/>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2"/>
      <c r="M37" s="2713"/>
      <c r="N37" s="2713"/>
      <c r="O37" s="2713"/>
      <c r="P37" s="3704"/>
      <c r="Q37" s="1338"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7"/>
      <c r="M38" s="2711"/>
      <c r="N38" s="2711"/>
      <c r="O38" s="2711"/>
      <c r="P38" s="3704" t="s">
        <v>1696</v>
      </c>
      <c r="Q38" s="1347" t="str">
        <f t="shared" si="11"/>
        <v>业态</v>
      </c>
      <c r="R38" s="705" t="s">
        <v>14</v>
      </c>
      <c r="S38" s="706">
        <f t="shared" si="12"/>
        <v>100</v>
      </c>
      <c r="T38" s="705" t="s">
        <v>14</v>
      </c>
      <c r="U38" s="706">
        <f t="shared" si="13"/>
        <v>100</v>
      </c>
      <c r="V38" s="705" t="s">
        <v>14</v>
      </c>
      <c r="W38" s="706">
        <f t="shared" si="14"/>
        <v>100</v>
      </c>
      <c r="X38" s="1350"/>
      <c r="Y38" s="3706"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7"/>
      <c r="M39" s="2711"/>
      <c r="N39" s="2711"/>
      <c r="O39" s="2711"/>
      <c r="P39" s="3704"/>
      <c r="Q39" s="1347" t="str">
        <f t="shared" si="11"/>
        <v>层高</v>
      </c>
      <c r="R39" s="705" t="s">
        <v>14</v>
      </c>
      <c r="S39" s="706">
        <f t="shared" si="12"/>
        <v>100</v>
      </c>
      <c r="T39" s="705" t="s">
        <v>14</v>
      </c>
      <c r="U39" s="706">
        <f t="shared" si="13"/>
        <v>100</v>
      </c>
      <c r="V39" s="705" t="s">
        <v>14</v>
      </c>
      <c r="W39" s="706">
        <f t="shared" si="14"/>
        <v>100</v>
      </c>
      <c r="X39" s="1350"/>
      <c r="Y39" s="3706"/>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4"/>
      <c r="Q40" s="1347" t="str">
        <f t="shared" si="11"/>
        <v>单套建筑面积</v>
      </c>
      <c r="R40" s="705" t="s">
        <v>14</v>
      </c>
      <c r="S40" s="706">
        <f t="shared" si="12"/>
        <v>100</v>
      </c>
      <c r="T40" s="705" t="s">
        <v>14</v>
      </c>
      <c r="U40" s="706">
        <f t="shared" si="13"/>
        <v>100</v>
      </c>
      <c r="V40" s="705" t="s">
        <v>14</v>
      </c>
      <c r="W40" s="706">
        <f t="shared" si="14"/>
        <v>100</v>
      </c>
      <c r="X40" s="1350"/>
      <c r="Y40" s="3706"/>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7"/>
      <c r="M42" s="2711"/>
      <c r="N42" s="2711"/>
      <c r="O42" s="2711"/>
      <c r="P42" s="3704"/>
      <c r="Q42" s="1347" t="str">
        <f t="shared" si="11"/>
        <v>内部装修</v>
      </c>
      <c r="R42" s="705" t="s">
        <v>14</v>
      </c>
      <c r="S42" s="706">
        <f t="shared" si="12"/>
        <v>100</v>
      </c>
      <c r="T42" s="705" t="s">
        <v>14</v>
      </c>
      <c r="U42" s="706">
        <f t="shared" si="13"/>
        <v>100</v>
      </c>
      <c r="V42" s="705" t="s">
        <v>14</v>
      </c>
      <c r="W42" s="706">
        <f t="shared" si="14"/>
        <v>100</v>
      </c>
      <c r="X42" s="1350"/>
      <c r="Y42" s="3706"/>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7"/>
      <c r="M43" s="2711"/>
      <c r="N43" s="2711"/>
      <c r="O43" s="2711"/>
      <c r="P43" s="3704"/>
      <c r="Q43" s="1347" t="str">
        <f t="shared" si="11"/>
        <v>内部装修维护情况</v>
      </c>
      <c r="R43" s="705" t="s">
        <v>14</v>
      </c>
      <c r="S43" s="706">
        <f t="shared" si="12"/>
        <v>100</v>
      </c>
      <c r="T43" s="705" t="s">
        <v>14</v>
      </c>
      <c r="U43" s="706">
        <f t="shared" si="13"/>
        <v>100</v>
      </c>
      <c r="V43" s="705" t="s">
        <v>14</v>
      </c>
      <c r="W43" s="706">
        <f t="shared" si="14"/>
        <v>100</v>
      </c>
      <c r="X43" s="1350"/>
      <c r="Y43" s="3706"/>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4"/>
      <c r="Q44" s="1338">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4"/>
      <c r="Q45" s="1347">
        <f t="shared" si="11"/>
        <v>111</v>
      </c>
      <c r="R45" s="705" t="s">
        <v>14</v>
      </c>
      <c r="S45" s="706">
        <f t="shared" si="12"/>
        <v>100</v>
      </c>
      <c r="T45" s="705" t="s">
        <v>14</v>
      </c>
      <c r="U45" s="706">
        <f t="shared" si="13"/>
        <v>100</v>
      </c>
      <c r="V45" s="705" t="s">
        <v>14</v>
      </c>
      <c r="W45" s="706">
        <f t="shared" si="14"/>
        <v>100</v>
      </c>
      <c r="X45" s="1350"/>
      <c r="Y45" s="3706"/>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5"/>
      <c r="Q46" s="1347">
        <f t="shared" si="11"/>
        <v>111</v>
      </c>
      <c r="R46" s="705" t="s">
        <v>14</v>
      </c>
      <c r="S46" s="706">
        <f t="shared" si="12"/>
        <v>100</v>
      </c>
      <c r="T46" s="705" t="s">
        <v>14</v>
      </c>
      <c r="U46" s="706">
        <f t="shared" si="13"/>
        <v>100</v>
      </c>
      <c r="V46" s="705" t="s">
        <v>14</v>
      </c>
      <c r="W46" s="706">
        <f t="shared" si="14"/>
        <v>100</v>
      </c>
      <c r="X46" s="1350"/>
      <c r="Y46" s="3707"/>
      <c r="Z46" s="1351">
        <f t="shared" si="15"/>
        <v>111</v>
      </c>
      <c r="AA46" s="1348">
        <f t="shared" si="3"/>
        <v>1</v>
      </c>
      <c r="AB46" s="1348">
        <f t="shared" si="4"/>
        <v>1</v>
      </c>
      <c r="AC46" s="1348">
        <f t="shared" si="5"/>
        <v>1</v>
      </c>
    </row>
    <row r="47" spans="1:29" ht="15">
      <c r="A47" s="430" t="s">
        <v>1708</v>
      </c>
      <c r="B47" s="431"/>
      <c r="C47" s="1150" t="s">
        <v>0</v>
      </c>
      <c r="D47" s="1151"/>
      <c r="E47" s="1152"/>
      <c r="F47" s="1153"/>
      <c r="G47" s="1154"/>
      <c r="H47" s="1155"/>
      <c r="I47" s="1152"/>
      <c r="J47" s="1155"/>
      <c r="K47" s="714"/>
      <c r="L47" s="2719"/>
      <c r="M47" s="2720"/>
      <c r="N47" s="2711"/>
      <c r="O47" s="2720"/>
      <c r="P47" s="3699" t="str">
        <f>A47</f>
        <v>成交单价（元/平方米）</v>
      </c>
      <c r="Q47" s="3699"/>
      <c r="R47" s="3694">
        <f>E47</f>
        <v>0</v>
      </c>
      <c r="S47" s="3694"/>
      <c r="T47" s="3694">
        <f>G47</f>
        <v>0</v>
      </c>
      <c r="U47" s="3694"/>
      <c r="V47" s="3694">
        <f>I47</f>
        <v>0</v>
      </c>
      <c r="W47" s="3694"/>
      <c r="X47" s="690"/>
      <c r="Y47" s="712"/>
      <c r="Z47" s="690"/>
      <c r="AA47" s="690"/>
      <c r="AB47" s="690"/>
      <c r="AC47" s="690"/>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9"/>
      <c r="M48" s="2720"/>
      <c r="N48" s="2711"/>
      <c r="O48" s="2720"/>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59" t="e">
        <f>R49</f>
        <v>#DIV/0!</v>
      </c>
      <c r="D49" s="1159"/>
      <c r="E49" s="1159"/>
      <c r="F49" s="1159"/>
      <c r="G49" s="1159"/>
      <c r="H49" s="1159"/>
      <c r="I49" s="1159"/>
      <c r="J49" s="1159"/>
      <c r="K49" s="715"/>
      <c r="L49" s="2719"/>
      <c r="M49" s="2720"/>
      <c r="N49" s="2711"/>
      <c r="O49" s="2720"/>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5"/>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573.27</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716" t="s">
        <v>1775</v>
      </c>
      <c r="Q4" s="3717"/>
      <c r="R4" s="3711" t="s">
        <v>1771</v>
      </c>
      <c r="S4" s="3712"/>
      <c r="T4" s="3711" t="s">
        <v>1772</v>
      </c>
      <c r="U4" s="3712"/>
      <c r="V4" s="3720" t="s">
        <v>1773</v>
      </c>
      <c r="W4" s="3720"/>
      <c r="X4" s="1953"/>
      <c r="Y4" s="3711" t="s">
        <v>1775</v>
      </c>
      <c r="Z4" s="3712"/>
      <c r="AA4" s="3710" t="s">
        <v>1771</v>
      </c>
      <c r="AB4" s="3710" t="s">
        <v>1772</v>
      </c>
      <c r="AC4" s="3713" t="s">
        <v>1773</v>
      </c>
    </row>
    <row r="5" spans="1:29" ht="15">
      <c r="A5" s="358"/>
      <c r="B5" s="359"/>
      <c r="C5" s="3675" t="s">
        <v>1673</v>
      </c>
      <c r="D5" s="3676"/>
      <c r="E5" s="3673" t="s">
        <v>1674</v>
      </c>
      <c r="F5" s="3674"/>
      <c r="G5" s="3675" t="s">
        <v>1675</v>
      </c>
      <c r="H5" s="3676"/>
      <c r="I5" s="3675" t="s">
        <v>1676</v>
      </c>
      <c r="J5" s="3676"/>
      <c r="K5" s="559"/>
      <c r="L5" s="2710"/>
      <c r="M5" s="2711"/>
      <c r="N5" s="2711"/>
      <c r="O5" s="2711"/>
      <c r="P5" s="3718"/>
      <c r="Q5" s="3689"/>
      <c r="R5" s="3671"/>
      <c r="S5" s="3672"/>
      <c r="T5" s="3671"/>
      <c r="U5" s="3672"/>
      <c r="V5" s="3694"/>
      <c r="W5" s="3694"/>
      <c r="X5" s="1350"/>
      <c r="Y5" s="3671"/>
      <c r="Z5" s="3672"/>
      <c r="AA5" s="3665"/>
      <c r="AB5" s="3665"/>
      <c r="AC5" s="3714"/>
    </row>
    <row r="6" spans="1:29" ht="15.75" thickBot="1">
      <c r="A6" s="360"/>
      <c r="B6" s="361"/>
      <c r="C6" s="3677" t="s">
        <v>1677</v>
      </c>
      <c r="D6" s="3678"/>
      <c r="E6" s="3679" t="s">
        <v>1677</v>
      </c>
      <c r="F6" s="3680"/>
      <c r="G6" s="3677" t="s">
        <v>1677</v>
      </c>
      <c r="H6" s="3678"/>
      <c r="I6" s="3677" t="s">
        <v>1677</v>
      </c>
      <c r="J6" s="3678"/>
      <c r="K6" s="559" t="s">
        <v>1678</v>
      </c>
      <c r="L6" s="2710"/>
      <c r="M6" s="2711"/>
      <c r="N6" s="2711"/>
      <c r="O6" s="2711"/>
      <c r="P6" s="3719"/>
      <c r="Q6" s="3691"/>
      <c r="R6" s="3671"/>
      <c r="S6" s="3672"/>
      <c r="T6" s="3692"/>
      <c r="U6" s="3693"/>
      <c r="V6" s="3694"/>
      <c r="W6" s="3694"/>
      <c r="X6" s="1350"/>
      <c r="Y6" s="3692"/>
      <c r="Z6" s="3693"/>
      <c r="AA6" s="3666"/>
      <c r="AB6" s="3666"/>
      <c r="AC6" s="3715"/>
    </row>
    <row r="7" spans="1:29" s="108" customFormat="1" ht="15.75" thickBot="1">
      <c r="A7" s="362" t="s">
        <v>1679</v>
      </c>
      <c r="B7" s="363"/>
      <c r="C7" s="364">
        <f>'数据-取费表'!B2</f>
        <v>45493</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21"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21"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1" t="s">
        <v>1686</v>
      </c>
      <c r="Q9" s="1338"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4">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681"/>
      <c r="Q10" s="1338"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1"/>
      <c r="Q11" s="1338"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681"/>
      <c r="Q12" s="1338">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681"/>
      <c r="Q13" s="1338">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681"/>
      <c r="Q14" s="1338">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8" t="s">
        <v>1691</v>
      </c>
      <c r="Q15" s="1347" t="str">
        <f t="shared" si="6"/>
        <v>办公集聚程度</v>
      </c>
      <c r="R15" s="705" t="s">
        <v>14</v>
      </c>
      <c r="S15" s="706">
        <f t="shared" si="0"/>
        <v>100</v>
      </c>
      <c r="T15" s="705" t="s">
        <v>14</v>
      </c>
      <c r="U15" s="706">
        <f t="shared" si="1"/>
        <v>100</v>
      </c>
      <c r="V15" s="705" t="s">
        <v>14</v>
      </c>
      <c r="W15" s="706">
        <f t="shared" si="2"/>
        <v>100</v>
      </c>
      <c r="X15" s="1350"/>
      <c r="Y15" s="3701"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7"/>
      <c r="M16" s="2711"/>
      <c r="N16" s="2711"/>
      <c r="O16" s="2711"/>
      <c r="P16" s="3709"/>
      <c r="Q16" s="1347"/>
      <c r="R16" s="705"/>
      <c r="S16" s="706"/>
      <c r="T16" s="705"/>
      <c r="U16" s="706"/>
      <c r="V16" s="705"/>
      <c r="W16" s="706"/>
      <c r="X16" s="1350"/>
      <c r="Y16" s="3702"/>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9"/>
      <c r="Q17" s="1347" t="str">
        <f>B17</f>
        <v>交通便捷度</v>
      </c>
      <c r="R17" s="705" t="s">
        <v>14</v>
      </c>
      <c r="S17" s="706">
        <f>F17</f>
        <v>100</v>
      </c>
      <c r="T17" s="705" t="s">
        <v>14</v>
      </c>
      <c r="U17" s="706">
        <f>H17</f>
        <v>100</v>
      </c>
      <c r="V17" s="705" t="s">
        <v>14</v>
      </c>
      <c r="W17" s="706">
        <f>J17</f>
        <v>100</v>
      </c>
      <c r="X17" s="1350"/>
      <c r="Y17" s="3702"/>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7"/>
      <c r="M18" s="2711"/>
      <c r="N18" s="2711"/>
      <c r="O18" s="2711"/>
      <c r="P18" s="3709"/>
      <c r="Q18" s="1347"/>
      <c r="R18" s="705"/>
      <c r="S18" s="706"/>
      <c r="T18" s="705"/>
      <c r="U18" s="706"/>
      <c r="V18" s="705"/>
      <c r="W18" s="706"/>
      <c r="X18" s="1350"/>
      <c r="Y18" s="3702"/>
      <c r="Z18" s="1351"/>
      <c r="AA18" s="1348">
        <v>1</v>
      </c>
      <c r="AB18" s="1348">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9"/>
      <c r="Q19" s="1347" t="str">
        <f>B19</f>
        <v>公共配套设施</v>
      </c>
      <c r="R19" s="705" t="s">
        <v>14</v>
      </c>
      <c r="S19" s="706">
        <f>F19</f>
        <v>100</v>
      </c>
      <c r="T19" s="705" t="s">
        <v>14</v>
      </c>
      <c r="U19" s="706">
        <f>H19</f>
        <v>100</v>
      </c>
      <c r="V19" s="705" t="s">
        <v>14</v>
      </c>
      <c r="W19" s="706">
        <f>J19</f>
        <v>100</v>
      </c>
      <c r="X19" s="1350"/>
      <c r="Y19" s="3702"/>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7"/>
      <c r="M20" s="2711"/>
      <c r="N20" s="2711"/>
      <c r="O20" s="2711"/>
      <c r="P20" s="3709"/>
      <c r="Q20" s="1347"/>
      <c r="R20" s="705"/>
      <c r="S20" s="706"/>
      <c r="T20" s="705"/>
      <c r="U20" s="706"/>
      <c r="V20" s="705"/>
      <c r="W20" s="706"/>
      <c r="X20" s="1350"/>
      <c r="Y20" s="3702"/>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9"/>
      <c r="Q21" s="1347" t="str">
        <f>B21</f>
        <v>基础设施水平</v>
      </c>
      <c r="R21" s="705" t="s">
        <v>14</v>
      </c>
      <c r="S21" s="706">
        <f>F21</f>
        <v>100</v>
      </c>
      <c r="T21" s="705" t="s">
        <v>14</v>
      </c>
      <c r="U21" s="706">
        <f>H21</f>
        <v>100</v>
      </c>
      <c r="V21" s="705" t="s">
        <v>14</v>
      </c>
      <c r="W21" s="706">
        <f>J21</f>
        <v>100</v>
      </c>
      <c r="X21" s="1350"/>
      <c r="Y21" s="3702"/>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6"/>
      <c r="L22" s="2717"/>
      <c r="M22" s="2711"/>
      <c r="N22" s="2711"/>
      <c r="O22" s="2711"/>
      <c r="P22" s="3709"/>
      <c r="Q22" s="1347"/>
      <c r="R22" s="705"/>
      <c r="S22" s="706"/>
      <c r="T22" s="705"/>
      <c r="U22" s="706"/>
      <c r="V22" s="705"/>
      <c r="W22" s="706"/>
      <c r="X22" s="1350"/>
      <c r="Y22" s="3702"/>
      <c r="Z22" s="1351"/>
      <c r="AA22" s="1348">
        <v>1</v>
      </c>
      <c r="AB22" s="1348">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9"/>
      <c r="Q23" s="1347" t="str">
        <f>B23</f>
        <v>环境质量</v>
      </c>
      <c r="R23" s="705" t="s">
        <v>14</v>
      </c>
      <c r="S23" s="706">
        <f>F23</f>
        <v>100</v>
      </c>
      <c r="T23" s="705" t="s">
        <v>14</v>
      </c>
      <c r="U23" s="706">
        <f>H23</f>
        <v>100</v>
      </c>
      <c r="V23" s="705" t="s">
        <v>14</v>
      </c>
      <c r="W23" s="706">
        <f>J23</f>
        <v>100</v>
      </c>
      <c r="X23" s="1350"/>
      <c r="Y23" s="3702"/>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7"/>
      <c r="M24" s="2711"/>
      <c r="N24" s="2711"/>
      <c r="O24" s="2711"/>
      <c r="P24" s="3709"/>
      <c r="Q24" s="1347"/>
      <c r="R24" s="705"/>
      <c r="S24" s="706"/>
      <c r="T24" s="705"/>
      <c r="U24" s="706"/>
      <c r="V24" s="705"/>
      <c r="W24" s="706"/>
      <c r="X24" s="1350"/>
      <c r="Y24" s="3702"/>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09"/>
      <c r="Q25" s="1347" t="str">
        <f>B25</f>
        <v>毗邻道路的类型与等级</v>
      </c>
      <c r="R25" s="705" t="s">
        <v>14</v>
      </c>
      <c r="S25" s="706">
        <f>F25</f>
        <v>100</v>
      </c>
      <c r="T25" s="705" t="s">
        <v>14</v>
      </c>
      <c r="U25" s="706">
        <f>H25</f>
        <v>100</v>
      </c>
      <c r="V25" s="705" t="s">
        <v>14</v>
      </c>
      <c r="W25" s="706">
        <f>J25</f>
        <v>100</v>
      </c>
      <c r="X25" s="1350"/>
      <c r="Y25" s="3702"/>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7"/>
      <c r="M26" s="2711"/>
      <c r="N26" s="2711"/>
      <c r="O26" s="2711"/>
      <c r="P26" s="3709"/>
      <c r="Q26" s="1347"/>
      <c r="R26" s="705"/>
      <c r="S26" s="706"/>
      <c r="T26" s="705"/>
      <c r="U26" s="706"/>
      <c r="V26" s="705"/>
      <c r="W26" s="706"/>
      <c r="X26" s="1350"/>
      <c r="Y26" s="3702"/>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9"/>
      <c r="Q27" s="1347" t="str">
        <f t="shared" ref="Q27:Q47" si="11">B27</f>
        <v>楼层</v>
      </c>
      <c r="R27" s="705" t="s">
        <v>14</v>
      </c>
      <c r="S27" s="706">
        <f>F27</f>
        <v>100</v>
      </c>
      <c r="T27" s="705" t="s">
        <v>14</v>
      </c>
      <c r="U27" s="706">
        <f>H27</f>
        <v>100</v>
      </c>
      <c r="V27" s="705" t="s">
        <v>14</v>
      </c>
      <c r="W27" s="706">
        <f>J27</f>
        <v>100</v>
      </c>
      <c r="X27" s="1350"/>
      <c r="Y27" s="3702"/>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09"/>
      <c r="Q28" s="1338" t="str">
        <f t="shared" si="11"/>
        <v>朝向</v>
      </c>
      <c r="R28" s="701" t="s">
        <v>14</v>
      </c>
      <c r="S28" s="702">
        <f>F28</f>
        <v>100</v>
      </c>
      <c r="T28" s="701" t="s">
        <v>14</v>
      </c>
      <c r="U28" s="702">
        <f>H28</f>
        <v>100</v>
      </c>
      <c r="V28" s="701" t="s">
        <v>14</v>
      </c>
      <c r="W28" s="702">
        <f>J28</f>
        <v>100</v>
      </c>
      <c r="X28" s="703"/>
      <c r="Y28" s="3702"/>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09"/>
      <c r="Q29" s="1347">
        <f t="shared" si="11"/>
        <v>111</v>
      </c>
      <c r="R29" s="705" t="s">
        <v>14</v>
      </c>
      <c r="S29" s="706">
        <f t="shared" ref="S29:S47" si="12">F29</f>
        <v>100</v>
      </c>
      <c r="T29" s="705" t="s">
        <v>14</v>
      </c>
      <c r="U29" s="706">
        <f t="shared" ref="U29:U47" si="13">H29</f>
        <v>100</v>
      </c>
      <c r="V29" s="705" t="s">
        <v>14</v>
      </c>
      <c r="W29" s="706">
        <f t="shared" ref="W29:W47" si="14">J29</f>
        <v>100</v>
      </c>
      <c r="X29" s="1350"/>
      <c r="Y29" s="3702"/>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09"/>
      <c r="Q30" s="1347">
        <f t="shared" si="11"/>
        <v>111</v>
      </c>
      <c r="R30" s="705" t="s">
        <v>14</v>
      </c>
      <c r="S30" s="706">
        <f t="shared" si="12"/>
        <v>100</v>
      </c>
      <c r="T30" s="705" t="s">
        <v>14</v>
      </c>
      <c r="U30" s="706">
        <f t="shared" si="13"/>
        <v>100</v>
      </c>
      <c r="V30" s="705" t="s">
        <v>14</v>
      </c>
      <c r="W30" s="706">
        <f t="shared" si="14"/>
        <v>100</v>
      </c>
      <c r="X30" s="1350"/>
      <c r="Y30" s="3702"/>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09"/>
      <c r="Q31" s="1347">
        <f t="shared" si="11"/>
        <v>111</v>
      </c>
      <c r="R31" s="705" t="s">
        <v>14</v>
      </c>
      <c r="S31" s="706">
        <f t="shared" si="12"/>
        <v>100</v>
      </c>
      <c r="T31" s="705" t="s">
        <v>14</v>
      </c>
      <c r="U31" s="706">
        <f t="shared" si="13"/>
        <v>100</v>
      </c>
      <c r="V31" s="705" t="s">
        <v>14</v>
      </c>
      <c r="W31" s="706">
        <f t="shared" si="14"/>
        <v>100</v>
      </c>
      <c r="X31" s="1350"/>
      <c r="Y31" s="3702"/>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09"/>
      <c r="Q32" s="1347">
        <f t="shared" si="11"/>
        <v>111</v>
      </c>
      <c r="R32" s="705" t="s">
        <v>14</v>
      </c>
      <c r="S32" s="706">
        <f t="shared" si="12"/>
        <v>100</v>
      </c>
      <c r="T32" s="705" t="s">
        <v>14</v>
      </c>
      <c r="U32" s="706">
        <f t="shared" si="13"/>
        <v>100</v>
      </c>
      <c r="V32" s="705" t="s">
        <v>14</v>
      </c>
      <c r="W32" s="706">
        <f t="shared" si="14"/>
        <v>100</v>
      </c>
      <c r="X32" s="1350"/>
      <c r="Y32" s="3702"/>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03" t="s">
        <v>1696</v>
      </c>
      <c r="Q33" s="1347" t="str">
        <f t="shared" si="11"/>
        <v>建筑类型</v>
      </c>
      <c r="R33" s="705" t="s">
        <v>14</v>
      </c>
      <c r="S33" s="706">
        <f t="shared" si="12"/>
        <v>100</v>
      </c>
      <c r="T33" s="705" t="s">
        <v>14</v>
      </c>
      <c r="U33" s="706">
        <f t="shared" si="13"/>
        <v>100</v>
      </c>
      <c r="V33" s="705" t="s">
        <v>14</v>
      </c>
      <c r="W33" s="706">
        <f t="shared" si="14"/>
        <v>100</v>
      </c>
      <c r="X33" s="1350"/>
      <c r="Y33" s="3706"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4"/>
      <c r="Q35" s="1347" t="str">
        <f t="shared" si="11"/>
        <v>建筑结构</v>
      </c>
      <c r="R35" s="705" t="s">
        <v>14</v>
      </c>
      <c r="S35" s="706">
        <f t="shared" si="12"/>
        <v>100</v>
      </c>
      <c r="T35" s="705" t="s">
        <v>14</v>
      </c>
      <c r="U35" s="706">
        <f t="shared" si="13"/>
        <v>100</v>
      </c>
      <c r="V35" s="705" t="s">
        <v>14</v>
      </c>
      <c r="W35" s="706">
        <f t="shared" si="14"/>
        <v>100</v>
      </c>
      <c r="X35" s="1350"/>
      <c r="Y35" s="3706"/>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4"/>
      <c r="Q36" s="1347" t="str">
        <f t="shared" si="11"/>
        <v>公共部分装修</v>
      </c>
      <c r="R36" s="705" t="s">
        <v>14</v>
      </c>
      <c r="S36" s="706">
        <f t="shared" si="12"/>
        <v>100</v>
      </c>
      <c r="T36" s="705" t="s">
        <v>14</v>
      </c>
      <c r="U36" s="706">
        <f t="shared" si="13"/>
        <v>100</v>
      </c>
      <c r="V36" s="705" t="s">
        <v>14</v>
      </c>
      <c r="W36" s="706">
        <f t="shared" si="14"/>
        <v>100</v>
      </c>
      <c r="X36" s="1350"/>
      <c r="Y36" s="3706"/>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04"/>
      <c r="Q37" s="1347" t="str">
        <f t="shared" si="11"/>
        <v>成新度</v>
      </c>
      <c r="R37" s="705" t="s">
        <v>14</v>
      </c>
      <c r="S37" s="706" t="e">
        <f t="shared" si="12"/>
        <v>#N/A</v>
      </c>
      <c r="T37" s="705" t="s">
        <v>14</v>
      </c>
      <c r="U37" s="706" t="e">
        <f t="shared" si="13"/>
        <v>#N/A</v>
      </c>
      <c r="V37" s="705" t="s">
        <v>14</v>
      </c>
      <c r="W37" s="706" t="e">
        <f t="shared" si="14"/>
        <v>#N/A</v>
      </c>
      <c r="X37" s="1350"/>
      <c r="Y37" s="3706"/>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4"/>
      <c r="Q38" s="1338"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4" t="s">
        <v>1696</v>
      </c>
      <c r="Q39" s="1347" t="str">
        <f t="shared" si="11"/>
        <v>物业管理</v>
      </c>
      <c r="R39" s="705" t="s">
        <v>14</v>
      </c>
      <c r="S39" s="706">
        <f t="shared" si="12"/>
        <v>100</v>
      </c>
      <c r="T39" s="705" t="s">
        <v>14</v>
      </c>
      <c r="U39" s="706">
        <f t="shared" si="13"/>
        <v>100</v>
      </c>
      <c r="V39" s="705" t="s">
        <v>14</v>
      </c>
      <c r="W39" s="706">
        <f t="shared" si="14"/>
        <v>100</v>
      </c>
      <c r="X39" s="1350"/>
      <c r="Y39" s="3706"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4"/>
      <c r="Q40" s="1347" t="str">
        <f t="shared" si="11"/>
        <v>市政基础设施</v>
      </c>
      <c r="R40" s="705" t="s">
        <v>14</v>
      </c>
      <c r="S40" s="706">
        <f t="shared" si="12"/>
        <v>100</v>
      </c>
      <c r="T40" s="705" t="s">
        <v>14</v>
      </c>
      <c r="U40" s="706">
        <f t="shared" si="13"/>
        <v>100</v>
      </c>
      <c r="V40" s="705" t="s">
        <v>14</v>
      </c>
      <c r="W40" s="706">
        <f t="shared" si="14"/>
        <v>100</v>
      </c>
      <c r="X40" s="1350"/>
      <c r="Y40" s="3706"/>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4"/>
      <c r="Q41" s="1347" t="str">
        <f t="shared" si="11"/>
        <v>层高</v>
      </c>
      <c r="R41" s="705" t="s">
        <v>14</v>
      </c>
      <c r="S41" s="706">
        <f t="shared" si="12"/>
        <v>100</v>
      </c>
      <c r="T41" s="705" t="s">
        <v>14</v>
      </c>
      <c r="U41" s="706">
        <f t="shared" si="13"/>
        <v>100</v>
      </c>
      <c r="V41" s="705" t="s">
        <v>14</v>
      </c>
      <c r="W41" s="706">
        <f t="shared" si="14"/>
        <v>100</v>
      </c>
      <c r="X41" s="1350"/>
      <c r="Y41" s="3706"/>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4"/>
      <c r="Q43" s="1347" t="str">
        <f t="shared" si="11"/>
        <v>内部装修</v>
      </c>
      <c r="R43" s="705" t="s">
        <v>14</v>
      </c>
      <c r="S43" s="706">
        <f t="shared" si="12"/>
        <v>100</v>
      </c>
      <c r="T43" s="705" t="s">
        <v>14</v>
      </c>
      <c r="U43" s="706">
        <f t="shared" si="13"/>
        <v>100</v>
      </c>
      <c r="V43" s="705" t="s">
        <v>14</v>
      </c>
      <c r="W43" s="706">
        <f t="shared" si="14"/>
        <v>100</v>
      </c>
      <c r="X43" s="1350"/>
      <c r="Y43" s="3706"/>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7"/>
      <c r="M44" s="2711"/>
      <c r="N44" s="2711"/>
      <c r="O44" s="2711"/>
      <c r="P44" s="3704"/>
      <c r="Q44" s="1347" t="str">
        <f t="shared" si="11"/>
        <v>内部装修维护情况</v>
      </c>
      <c r="R44" s="705" t="s">
        <v>14</v>
      </c>
      <c r="S44" s="706">
        <f t="shared" si="12"/>
        <v>100</v>
      </c>
      <c r="T44" s="705" t="s">
        <v>14</v>
      </c>
      <c r="U44" s="706">
        <f t="shared" si="13"/>
        <v>100</v>
      </c>
      <c r="V44" s="705" t="s">
        <v>14</v>
      </c>
      <c r="W44" s="706">
        <f t="shared" si="14"/>
        <v>100</v>
      </c>
      <c r="X44" s="1350"/>
      <c r="Y44" s="3706"/>
      <c r="Z44" s="1351" t="str">
        <f t="shared" si="15"/>
        <v>内部装修维护情况</v>
      </c>
      <c r="AA44" s="1348">
        <f t="shared" si="3"/>
        <v>1</v>
      </c>
      <c r="AB44" s="1348">
        <f t="shared" si="4"/>
        <v>1</v>
      </c>
      <c r="AC44" s="1957">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4"/>
      <c r="Q45" s="1338">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4">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4"/>
      <c r="Q46" s="1347">
        <f t="shared" si="11"/>
        <v>111</v>
      </c>
      <c r="R46" s="705" t="s">
        <v>14</v>
      </c>
      <c r="S46" s="706">
        <f t="shared" si="12"/>
        <v>100</v>
      </c>
      <c r="T46" s="705" t="s">
        <v>14</v>
      </c>
      <c r="U46" s="706">
        <f t="shared" si="13"/>
        <v>100</v>
      </c>
      <c r="V46" s="705" t="s">
        <v>14</v>
      </c>
      <c r="W46" s="706">
        <f t="shared" si="14"/>
        <v>100</v>
      </c>
      <c r="X46" s="1350"/>
      <c r="Y46" s="3706"/>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5"/>
      <c r="Q47" s="1347">
        <f t="shared" si="11"/>
        <v>111</v>
      </c>
      <c r="R47" s="705" t="s">
        <v>14</v>
      </c>
      <c r="S47" s="706">
        <f t="shared" si="12"/>
        <v>100</v>
      </c>
      <c r="T47" s="705" t="s">
        <v>14</v>
      </c>
      <c r="U47" s="706">
        <f t="shared" si="13"/>
        <v>100</v>
      </c>
      <c r="V47" s="705" t="s">
        <v>14</v>
      </c>
      <c r="W47" s="706">
        <f t="shared" si="14"/>
        <v>100</v>
      </c>
      <c r="X47" s="1350"/>
      <c r="Y47" s="3707"/>
      <c r="Z47" s="1351">
        <f t="shared" si="15"/>
        <v>111</v>
      </c>
      <c r="AA47" s="1348">
        <f t="shared" si="3"/>
        <v>1</v>
      </c>
      <c r="AB47" s="1348">
        <f t="shared" si="4"/>
        <v>1</v>
      </c>
      <c r="AC47" s="1957">
        <f t="shared" si="5"/>
        <v>1</v>
      </c>
    </row>
    <row r="48" spans="1:29" ht="15">
      <c r="A48" s="430" t="s">
        <v>1708</v>
      </c>
      <c r="B48" s="431"/>
      <c r="C48" s="1150" t="s">
        <v>0</v>
      </c>
      <c r="D48" s="1151"/>
      <c r="E48" s="1152"/>
      <c r="F48" s="1153"/>
      <c r="G48" s="1154"/>
      <c r="H48" s="1155"/>
      <c r="I48" s="1152"/>
      <c r="J48" s="436"/>
      <c r="K48" s="714"/>
      <c r="L48" s="2719"/>
      <c r="M48" s="2711"/>
      <c r="N48" s="2711"/>
      <c r="O48" s="2711"/>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56" t="e">
        <f>R50</f>
        <v>#DIV/0!</v>
      </c>
      <c r="D49" s="2312" t="s">
        <v>2138</v>
      </c>
      <c r="E49" s="1157" t="e">
        <f>R49</f>
        <v>#DIV/0!</v>
      </c>
      <c r="F49" s="2313"/>
      <c r="G49" s="1156" t="e">
        <f>T49</f>
        <v>#DIV/0!</v>
      </c>
      <c r="H49" s="2313"/>
      <c r="I49" s="1157" t="e">
        <f>V49</f>
        <v>#DIV/0!</v>
      </c>
      <c r="J49" s="2313"/>
      <c r="K49" s="2315">
        <f>F49+H49+J49</f>
        <v>0</v>
      </c>
      <c r="L49" s="2719"/>
      <c r="M49" s="2711"/>
      <c r="N49" s="2711"/>
      <c r="O49" s="2711"/>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59" t="e">
        <f>R50</f>
        <v>#DIV/0!</v>
      </c>
      <c r="D50" s="1159"/>
      <c r="E50" s="1159"/>
      <c r="F50" s="1159"/>
      <c r="G50" s="1159"/>
      <c r="H50" s="1159"/>
      <c r="I50" s="1159"/>
      <c r="J50" s="443"/>
      <c r="K50" s="715"/>
      <c r="L50" s="2719"/>
      <c r="M50" s="2711"/>
      <c r="N50" s="2711"/>
      <c r="O50" s="2711"/>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4"/>
      <c r="Q59" s="2736"/>
      <c r="R59" s="2736"/>
      <c r="S59" s="2736"/>
      <c r="T59" s="2736"/>
      <c r="U59" s="2736"/>
      <c r="V59" s="2736"/>
      <c r="W59" s="2736"/>
      <c r="X59" s="2736"/>
      <c r="Y59" s="2736"/>
      <c r="Z59" s="2736"/>
      <c r="AA59" s="2736"/>
      <c r="AB59" s="2736"/>
      <c r="AC59" s="2736"/>
    </row>
    <row r="60" spans="1:29" s="108" customFormat="1" ht="15">
      <c r="A60" s="458"/>
      <c r="B60" s="459"/>
      <c r="C60" s="1178">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5"/>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573.27</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09"/>
      <c r="M4" s="910"/>
      <c r="N4" s="910"/>
      <c r="O4" s="910"/>
      <c r="P4" s="3686" t="s">
        <v>1775</v>
      </c>
      <c r="Q4" s="3687"/>
      <c r="R4" s="3669" t="s">
        <v>1771</v>
      </c>
      <c r="S4" s="3670"/>
      <c r="T4" s="3669" t="s">
        <v>1772</v>
      </c>
      <c r="U4" s="3670"/>
      <c r="V4" s="3694" t="s">
        <v>1773</v>
      </c>
      <c r="W4" s="3694"/>
      <c r="X4" s="1350"/>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09"/>
      <c r="M5" s="910"/>
      <c r="N5" s="910"/>
      <c r="O5" s="910"/>
      <c r="P5" s="3688"/>
      <c r="Q5" s="3689"/>
      <c r="R5" s="3671"/>
      <c r="S5" s="3672"/>
      <c r="T5" s="3671"/>
      <c r="U5" s="3672"/>
      <c r="V5" s="3694"/>
      <c r="W5" s="3694"/>
      <c r="X5" s="1350"/>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09"/>
      <c r="M6" s="910"/>
      <c r="N6" s="910"/>
      <c r="O6" s="910"/>
      <c r="P6" s="3690"/>
      <c r="Q6" s="3691"/>
      <c r="R6" s="3671"/>
      <c r="S6" s="3672"/>
      <c r="T6" s="3692"/>
      <c r="U6" s="3693"/>
      <c r="V6" s="3694"/>
      <c r="W6" s="3694"/>
      <c r="X6" s="1350"/>
      <c r="Y6" s="3692"/>
      <c r="Z6" s="3693"/>
      <c r="AA6" s="3666"/>
      <c r="AB6" s="3666"/>
      <c r="AC6" s="3666"/>
    </row>
    <row r="7" spans="1:29" s="108" customFormat="1" ht="15.75" thickBot="1">
      <c r="A7" s="362" t="s">
        <v>1679</v>
      </c>
      <c r="B7" s="363"/>
      <c r="C7" s="364">
        <f>'数据-取费表'!B2</f>
        <v>45493</v>
      </c>
      <c r="D7" s="365">
        <v>100</v>
      </c>
      <c r="E7" s="366"/>
      <c r="F7" s="367">
        <f>SUMIF(52:52,YEAR(E7)&amp;"-"&amp;MONTH(E7),53:53)</f>
        <v>0</v>
      </c>
      <c r="G7" s="366"/>
      <c r="H7" s="365">
        <f>SUMIF(52:52,YEAR(G7)&amp;"-"&amp;MONTH(G7),53:53)</f>
        <v>0</v>
      </c>
      <c r="I7" s="366"/>
      <c r="J7" s="365">
        <f>SUMIF(52:52,YEAR(I7)&amp;"-"&amp;MONTH(I7),53:53)</f>
        <v>0</v>
      </c>
      <c r="K7" s="560"/>
      <c r="L7" s="911"/>
      <c r="M7" s="912"/>
      <c r="N7" s="912"/>
      <c r="O7" s="912"/>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99" t="s">
        <v>1686</v>
      </c>
      <c r="Q9" s="1338"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99"/>
      <c r="Q10" s="1338"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99"/>
      <c r="Q11" s="1338"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99"/>
      <c r="Q12" s="1338">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99"/>
      <c r="Q13" s="1338">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99"/>
      <c r="Q14" s="1338">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01" t="s">
        <v>1691</v>
      </c>
      <c r="Q15" s="1347" t="str">
        <f t="shared" si="6"/>
        <v>产业集聚程度</v>
      </c>
      <c r="R15" s="705" t="s">
        <v>14</v>
      </c>
      <c r="S15" s="706">
        <f t="shared" si="0"/>
        <v>100</v>
      </c>
      <c r="T15" s="705" t="s">
        <v>14</v>
      </c>
      <c r="U15" s="706">
        <f t="shared" si="1"/>
        <v>100</v>
      </c>
      <c r="V15" s="705" t="s">
        <v>14</v>
      </c>
      <c r="W15" s="706">
        <f t="shared" si="2"/>
        <v>100</v>
      </c>
      <c r="X15" s="1350"/>
      <c r="Y15" s="3701"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702"/>
      <c r="Q16" s="1347"/>
      <c r="R16" s="705"/>
      <c r="S16" s="706"/>
      <c r="T16" s="705"/>
      <c r="U16" s="706"/>
      <c r="V16" s="705"/>
      <c r="W16" s="706"/>
      <c r="X16" s="1350"/>
      <c r="Y16" s="3702"/>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2"/>
      <c r="Q17" s="1347" t="str">
        <f>B17</f>
        <v>交通便捷度</v>
      </c>
      <c r="R17" s="705" t="s">
        <v>14</v>
      </c>
      <c r="S17" s="706">
        <f>F17</f>
        <v>100</v>
      </c>
      <c r="T17" s="705" t="s">
        <v>14</v>
      </c>
      <c r="U17" s="706">
        <f>H17</f>
        <v>100</v>
      </c>
      <c r="V17" s="705" t="s">
        <v>14</v>
      </c>
      <c r="W17" s="706">
        <f>J17</f>
        <v>100</v>
      </c>
      <c r="X17" s="1350"/>
      <c r="Y17" s="370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702"/>
      <c r="Q18" s="1347"/>
      <c r="R18" s="705"/>
      <c r="S18" s="706"/>
      <c r="T18" s="705"/>
      <c r="U18" s="706"/>
      <c r="V18" s="705"/>
      <c r="W18" s="706"/>
      <c r="X18" s="1350"/>
      <c r="Y18" s="3702"/>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2"/>
      <c r="Q19" s="1347" t="str">
        <f>B19</f>
        <v>公共配套设施</v>
      </c>
      <c r="R19" s="705" t="s">
        <v>14</v>
      </c>
      <c r="S19" s="706">
        <f>F19</f>
        <v>100</v>
      </c>
      <c r="T19" s="705" t="s">
        <v>14</v>
      </c>
      <c r="U19" s="706">
        <f>H19</f>
        <v>100</v>
      </c>
      <c r="V19" s="705" t="s">
        <v>14</v>
      </c>
      <c r="W19" s="706">
        <f>J19</f>
        <v>100</v>
      </c>
      <c r="X19" s="1350"/>
      <c r="Y19" s="370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702"/>
      <c r="Q20" s="1347"/>
      <c r="R20" s="705"/>
      <c r="S20" s="706"/>
      <c r="T20" s="705"/>
      <c r="U20" s="706"/>
      <c r="V20" s="705"/>
      <c r="W20" s="706"/>
      <c r="X20" s="1350"/>
      <c r="Y20" s="3702"/>
      <c r="Z20" s="1351"/>
      <c r="AA20" s="1348">
        <v>1</v>
      </c>
      <c r="AB20" s="1348">
        <v>1</v>
      </c>
      <c r="AC20" s="1348">
        <v>1</v>
      </c>
    </row>
    <row r="21" spans="1:29" ht="28.5">
      <c r="A21" s="379"/>
      <c r="B21" s="1127"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2"/>
      <c r="Q21" s="1347" t="str">
        <f>B21</f>
        <v>基础设施水平</v>
      </c>
      <c r="R21" s="705" t="s">
        <v>14</v>
      </c>
      <c r="S21" s="706">
        <f>F21</f>
        <v>100</v>
      </c>
      <c r="T21" s="705" t="s">
        <v>14</v>
      </c>
      <c r="U21" s="706">
        <f>H21</f>
        <v>100</v>
      </c>
      <c r="V21" s="705" t="s">
        <v>14</v>
      </c>
      <c r="W21" s="706">
        <f>J21</f>
        <v>100</v>
      </c>
      <c r="X21" s="1350"/>
      <c r="Y21" s="370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702"/>
      <c r="Q22" s="1347"/>
      <c r="R22" s="705"/>
      <c r="S22" s="706"/>
      <c r="T22" s="705"/>
      <c r="U22" s="706"/>
      <c r="V22" s="705"/>
      <c r="W22" s="706"/>
      <c r="X22" s="1350"/>
      <c r="Y22" s="3702"/>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2"/>
      <c r="Q23" s="1347" t="str">
        <f>B23</f>
        <v>环境质量</v>
      </c>
      <c r="R23" s="705" t="s">
        <v>14</v>
      </c>
      <c r="S23" s="706">
        <f>F23</f>
        <v>100</v>
      </c>
      <c r="T23" s="705" t="s">
        <v>14</v>
      </c>
      <c r="U23" s="706">
        <f>H23</f>
        <v>100</v>
      </c>
      <c r="V23" s="705" t="s">
        <v>14</v>
      </c>
      <c r="W23" s="706">
        <f>J23</f>
        <v>100</v>
      </c>
      <c r="X23" s="1350"/>
      <c r="Y23" s="3702"/>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702"/>
      <c r="Q24" s="1347"/>
      <c r="R24" s="705"/>
      <c r="S24" s="706"/>
      <c r="T24" s="705"/>
      <c r="U24" s="706"/>
      <c r="V24" s="705"/>
      <c r="W24" s="706"/>
      <c r="X24" s="1350"/>
      <c r="Y24" s="3702"/>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2"/>
      <c r="Q25" s="1347">
        <f>B25</f>
        <v>111</v>
      </c>
      <c r="R25" s="705" t="s">
        <v>14</v>
      </c>
      <c r="S25" s="706">
        <f>F25</f>
        <v>100</v>
      </c>
      <c r="T25" s="705" t="s">
        <v>14</v>
      </c>
      <c r="U25" s="706">
        <f>H25</f>
        <v>100</v>
      </c>
      <c r="V25" s="705" t="s">
        <v>14</v>
      </c>
      <c r="W25" s="706">
        <f>J25</f>
        <v>100</v>
      </c>
      <c r="X25" s="1350"/>
      <c r="Y25" s="3702"/>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2"/>
      <c r="Q26" s="1347">
        <f t="shared" ref="Q26:Q40" si="11">B26</f>
        <v>111</v>
      </c>
      <c r="R26" s="705" t="s">
        <v>14</v>
      </c>
      <c r="S26" s="706">
        <f>F26</f>
        <v>100</v>
      </c>
      <c r="T26" s="705" t="s">
        <v>14</v>
      </c>
      <c r="U26" s="706">
        <f>H26</f>
        <v>100</v>
      </c>
      <c r="V26" s="705" t="s">
        <v>14</v>
      </c>
      <c r="W26" s="706">
        <f>J26</f>
        <v>100</v>
      </c>
      <c r="X26" s="1350"/>
      <c r="Y26" s="3702"/>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2"/>
      <c r="Q27" s="1338">
        <f t="shared" si="11"/>
        <v>111</v>
      </c>
      <c r="R27" s="701" t="s">
        <v>14</v>
      </c>
      <c r="S27" s="702">
        <f>F27</f>
        <v>100</v>
      </c>
      <c r="T27" s="701" t="s">
        <v>14</v>
      </c>
      <c r="U27" s="702">
        <f>H27</f>
        <v>100</v>
      </c>
      <c r="V27" s="701" t="s">
        <v>14</v>
      </c>
      <c r="W27" s="702">
        <f>J27</f>
        <v>100</v>
      </c>
      <c r="X27" s="703"/>
      <c r="Y27" s="3702"/>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2"/>
      <c r="Q28" s="1347">
        <f t="shared" si="11"/>
        <v>111</v>
      </c>
      <c r="R28" s="705" t="s">
        <v>14</v>
      </c>
      <c r="S28" s="706">
        <f t="shared" ref="S28:S40" si="12">F28</f>
        <v>100</v>
      </c>
      <c r="T28" s="705" t="s">
        <v>14</v>
      </c>
      <c r="U28" s="706">
        <f t="shared" ref="U28:U40" si="13">H28</f>
        <v>100</v>
      </c>
      <c r="V28" s="705" t="s">
        <v>14</v>
      </c>
      <c r="W28" s="706">
        <f t="shared" ref="W28:W40" si="14">J28</f>
        <v>100</v>
      </c>
      <c r="X28" s="1350"/>
      <c r="Y28" s="3702"/>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25" t="s">
        <v>1696</v>
      </c>
      <c r="Q29" s="1347" t="str">
        <f t="shared" si="11"/>
        <v>建筑类型</v>
      </c>
      <c r="R29" s="705" t="s">
        <v>14</v>
      </c>
      <c r="S29" s="706">
        <f t="shared" si="12"/>
        <v>100</v>
      </c>
      <c r="T29" s="705" t="s">
        <v>14</v>
      </c>
      <c r="U29" s="706">
        <f t="shared" si="13"/>
        <v>100</v>
      </c>
      <c r="V29" s="705" t="s">
        <v>14</v>
      </c>
      <c r="W29" s="706">
        <f t="shared" si="14"/>
        <v>100</v>
      </c>
      <c r="X29" s="1350"/>
      <c r="Y29" s="3706"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6"/>
      <c r="Q31" s="1347" t="str">
        <f t="shared" si="11"/>
        <v>建筑结构</v>
      </c>
      <c r="R31" s="705" t="s">
        <v>14</v>
      </c>
      <c r="S31" s="706">
        <f t="shared" si="12"/>
        <v>100</v>
      </c>
      <c r="T31" s="705" t="s">
        <v>14</v>
      </c>
      <c r="U31" s="706">
        <f t="shared" si="13"/>
        <v>100</v>
      </c>
      <c r="V31" s="705" t="s">
        <v>14</v>
      </c>
      <c r="W31" s="706">
        <f t="shared" si="14"/>
        <v>100</v>
      </c>
      <c r="X31" s="1350"/>
      <c r="Y31" s="3706"/>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6"/>
      <c r="Q32" s="1347" t="str">
        <f t="shared" si="11"/>
        <v>公共部分装修</v>
      </c>
      <c r="R32" s="705" t="s">
        <v>14</v>
      </c>
      <c r="S32" s="706">
        <f t="shared" si="12"/>
        <v>100</v>
      </c>
      <c r="T32" s="705" t="s">
        <v>14</v>
      </c>
      <c r="U32" s="706">
        <f t="shared" si="13"/>
        <v>100</v>
      </c>
      <c r="V32" s="705" t="s">
        <v>14</v>
      </c>
      <c r="W32" s="706">
        <f t="shared" si="14"/>
        <v>100</v>
      </c>
      <c r="X32" s="1350"/>
      <c r="Y32" s="3706"/>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6"/>
      <c r="Q33" s="1347" t="str">
        <f t="shared" si="11"/>
        <v>成新度</v>
      </c>
      <c r="R33" s="705" t="s">
        <v>14</v>
      </c>
      <c r="S33" s="706" t="e">
        <f t="shared" si="12"/>
        <v>#N/A</v>
      </c>
      <c r="T33" s="705" t="s">
        <v>14</v>
      </c>
      <c r="U33" s="706" t="e">
        <f t="shared" si="13"/>
        <v>#N/A</v>
      </c>
      <c r="V33" s="705" t="s">
        <v>14</v>
      </c>
      <c r="W33" s="706" t="e">
        <f t="shared" si="14"/>
        <v>#N/A</v>
      </c>
      <c r="X33" s="1350"/>
      <c r="Y33" s="3706"/>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6"/>
      <c r="Q34" s="1338"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6" t="s">
        <v>1696</v>
      </c>
      <c r="Q35" s="1347" t="str">
        <f t="shared" si="11"/>
        <v>市政基础设施</v>
      </c>
      <c r="R35" s="705" t="s">
        <v>14</v>
      </c>
      <c r="S35" s="706">
        <f t="shared" si="12"/>
        <v>100</v>
      </c>
      <c r="T35" s="705" t="s">
        <v>14</v>
      </c>
      <c r="U35" s="706">
        <f t="shared" si="13"/>
        <v>100</v>
      </c>
      <c r="V35" s="705" t="s">
        <v>14</v>
      </c>
      <c r="W35" s="706">
        <f t="shared" si="14"/>
        <v>100</v>
      </c>
      <c r="X35" s="1350"/>
      <c r="Y35" s="3706"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6"/>
      <c r="Q36" s="1347" t="str">
        <f t="shared" si="11"/>
        <v>内部装修</v>
      </c>
      <c r="R36" s="705" t="s">
        <v>14</v>
      </c>
      <c r="S36" s="706">
        <f t="shared" si="12"/>
        <v>100</v>
      </c>
      <c r="T36" s="705" t="s">
        <v>14</v>
      </c>
      <c r="U36" s="706">
        <f t="shared" si="13"/>
        <v>100</v>
      </c>
      <c r="V36" s="705" t="s">
        <v>14</v>
      </c>
      <c r="W36" s="706">
        <f t="shared" si="14"/>
        <v>100</v>
      </c>
      <c r="X36" s="1350"/>
      <c r="Y36" s="3706"/>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6"/>
      <c r="Q37" s="1347" t="str">
        <f t="shared" si="11"/>
        <v>内部装修状况</v>
      </c>
      <c r="R37" s="705" t="s">
        <v>14</v>
      </c>
      <c r="S37" s="706">
        <f t="shared" si="12"/>
        <v>100</v>
      </c>
      <c r="T37" s="705" t="s">
        <v>14</v>
      </c>
      <c r="U37" s="706">
        <f t="shared" si="13"/>
        <v>100</v>
      </c>
      <c r="V37" s="705" t="s">
        <v>14</v>
      </c>
      <c r="W37" s="706">
        <f t="shared" si="14"/>
        <v>100</v>
      </c>
      <c r="X37" s="1350"/>
      <c r="Y37" s="3706"/>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6"/>
      <c r="Q39" s="1347">
        <f t="shared" si="11"/>
        <v>111</v>
      </c>
      <c r="R39" s="705" t="s">
        <v>14</v>
      </c>
      <c r="S39" s="706">
        <f t="shared" si="12"/>
        <v>100</v>
      </c>
      <c r="T39" s="705" t="s">
        <v>14</v>
      </c>
      <c r="U39" s="706">
        <f t="shared" si="13"/>
        <v>100</v>
      </c>
      <c r="V39" s="705" t="s">
        <v>14</v>
      </c>
      <c r="W39" s="706">
        <f t="shared" si="14"/>
        <v>100</v>
      </c>
      <c r="X39" s="1350"/>
      <c r="Y39" s="3706"/>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7"/>
      <c r="Q40" s="1347">
        <f t="shared" si="11"/>
        <v>111</v>
      </c>
      <c r="R40" s="705" t="s">
        <v>14</v>
      </c>
      <c r="S40" s="706">
        <f t="shared" si="12"/>
        <v>100</v>
      </c>
      <c r="T40" s="705" t="s">
        <v>14</v>
      </c>
      <c r="U40" s="706">
        <f t="shared" si="13"/>
        <v>100</v>
      </c>
      <c r="V40" s="705" t="s">
        <v>14</v>
      </c>
      <c r="W40" s="706">
        <f t="shared" si="14"/>
        <v>100</v>
      </c>
      <c r="X40" s="1350"/>
      <c r="Y40" s="3707"/>
      <c r="Z40" s="1351">
        <f t="shared" si="15"/>
        <v>111</v>
      </c>
      <c r="AA40" s="1348">
        <f t="shared" si="3"/>
        <v>1</v>
      </c>
      <c r="AB40" s="1348">
        <f t="shared" si="4"/>
        <v>1</v>
      </c>
      <c r="AC40" s="1348">
        <f t="shared" si="5"/>
        <v>1</v>
      </c>
    </row>
    <row r="41" spans="1:29" ht="15">
      <c r="A41" s="430" t="s">
        <v>1708</v>
      </c>
      <c r="B41" s="431"/>
      <c r="C41" s="1150" t="s">
        <v>0</v>
      </c>
      <c r="D41" s="1151"/>
      <c r="E41" s="1152"/>
      <c r="F41" s="1153"/>
      <c r="G41" s="1154"/>
      <c r="H41" s="1155"/>
      <c r="I41" s="1152"/>
      <c r="J41" s="1155"/>
      <c r="K41" s="714"/>
      <c r="L41" s="922"/>
      <c r="M41" s="923"/>
      <c r="N41" s="910"/>
      <c r="O41" s="923"/>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59" t="e">
        <f>R43</f>
        <v>#DIV/0!</v>
      </c>
      <c r="D43" s="1159"/>
      <c r="E43" s="1159"/>
      <c r="F43" s="1159"/>
      <c r="G43" s="1159"/>
      <c r="H43" s="1159"/>
      <c r="I43" s="1159"/>
      <c r="J43" s="1159"/>
      <c r="K43" s="715"/>
      <c r="L43" s="922"/>
      <c r="M43" s="923"/>
      <c r="N43" s="923"/>
      <c r="O43" s="923"/>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估价对象为北京市房地产，为所有。根据《国有土地使用证》[]，估价对象（分摊）出让国有建设用地使用权面积为0平方米，建筑面积为573.27平方米。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估价对象为北京市房地产,属开发建设的，该项目尚在开发建设中。根据《国有土地使用证》[]，估价对象（分摊）出让国有建设用地使用权面积为0平方米，规划建筑面积为573.27平方米。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2024年7月20日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3336</v>
      </c>
      <c r="C1" s="1219" t="s">
        <v>1662</v>
      </c>
      <c r="D1" s="1220"/>
      <c r="E1" s="3427"/>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9"/>
      <c r="M3" s="2730" t="e">
        <f ca="1">IF(C2="——",IF(B37="元/平方米",ROUND(C39*D3/10000,0),ROUND(F3*C39/10000,0)),IF(B37="元/平方米",ROUND(C39*D3/10000,0),ROUND(F3*C39/10000,0))-D2)</f>
        <v>#DIV/0!</v>
      </c>
      <c r="N3" s="2730"/>
      <c r="O3" s="2730"/>
      <c r="P3" s="1161"/>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69" t="s">
        <v>1771</v>
      </c>
      <c r="S4" s="3670"/>
      <c r="T4" s="3669" t="s">
        <v>1772</v>
      </c>
      <c r="U4" s="3670"/>
      <c r="V4" s="3694" t="s">
        <v>1773</v>
      </c>
      <c r="W4" s="3694"/>
      <c r="X4" s="1350"/>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0"/>
      <c r="M5" s="2711"/>
      <c r="N5" s="2711"/>
      <c r="O5" s="2711"/>
      <c r="P5" s="3688"/>
      <c r="Q5" s="3689"/>
      <c r="R5" s="3671"/>
      <c r="S5" s="3672"/>
      <c r="T5" s="3671"/>
      <c r="U5" s="3672"/>
      <c r="V5" s="3694"/>
      <c r="W5" s="3694"/>
      <c r="X5" s="1350"/>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0"/>
      <c r="M6" s="2711"/>
      <c r="N6" s="2711"/>
      <c r="O6" s="2711"/>
      <c r="P6" s="3690"/>
      <c r="Q6" s="3691"/>
      <c r="R6" s="3671"/>
      <c r="S6" s="3672"/>
      <c r="T6" s="3692"/>
      <c r="U6" s="3693"/>
      <c r="V6" s="3694"/>
      <c r="W6" s="3694"/>
      <c r="X6" s="1350"/>
      <c r="Y6" s="3692"/>
      <c r="Z6" s="3693"/>
      <c r="AA6" s="3666"/>
      <c r="AB6" s="3666"/>
      <c r="AC6" s="3666"/>
    </row>
    <row r="7" spans="1:29" s="108" customFormat="1" ht="15.75" thickBot="1">
      <c r="A7" s="362" t="s">
        <v>1679</v>
      </c>
      <c r="B7" s="363"/>
      <c r="C7" s="364">
        <f>'数据-取费表'!B2</f>
        <v>45493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9" t="s">
        <v>1686</v>
      </c>
      <c r="Q9" s="1338"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699"/>
      <c r="Q10" s="1338"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9"/>
      <c r="Q11" s="1338">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9"/>
      <c r="Q12" s="1338">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9"/>
      <c r="Q13" s="1338">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1" t="s">
        <v>1691</v>
      </c>
      <c r="Q14" s="1347" t="str">
        <f t="shared" si="6"/>
        <v>交通便捷度</v>
      </c>
      <c r="R14" s="705" t="s">
        <v>14</v>
      </c>
      <c r="S14" s="706">
        <f t="shared" si="0"/>
        <v>100</v>
      </c>
      <c r="T14" s="705" t="s">
        <v>14</v>
      </c>
      <c r="U14" s="706">
        <f t="shared" si="1"/>
        <v>100</v>
      </c>
      <c r="V14" s="705" t="s">
        <v>14</v>
      </c>
      <c r="W14" s="706">
        <f t="shared" si="2"/>
        <v>100</v>
      </c>
      <c r="X14" s="1350"/>
      <c r="Y14" s="3701"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7"/>
      <c r="M15" s="2711"/>
      <c r="N15" s="2711"/>
      <c r="O15" s="2711"/>
      <c r="P15" s="3702"/>
      <c r="Q15" s="1347"/>
      <c r="R15" s="705"/>
      <c r="S15" s="706"/>
      <c r="T15" s="705"/>
      <c r="U15" s="706"/>
      <c r="V15" s="705"/>
      <c r="W15" s="706"/>
      <c r="X15" s="1350"/>
      <c r="Y15" s="3702"/>
      <c r="Z15" s="1351"/>
      <c r="AA15" s="1348">
        <v>1</v>
      </c>
      <c r="AB15" s="1348">
        <v>1</v>
      </c>
      <c r="AC15" s="1348">
        <v>1</v>
      </c>
    </row>
    <row r="16" spans="1:29" ht="42.75">
      <c r="A16" s="358"/>
      <c r="B16" s="579" t="s">
        <v>1812</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2"/>
      <c r="Q16" s="1347" t="str">
        <f>B16</f>
        <v>公共配套设施</v>
      </c>
      <c r="R16" s="705" t="s">
        <v>14</v>
      </c>
      <c r="S16" s="706">
        <f>F16</f>
        <v>100</v>
      </c>
      <c r="T16" s="705" t="s">
        <v>14</v>
      </c>
      <c r="U16" s="706">
        <f>H16</f>
        <v>100</v>
      </c>
      <c r="V16" s="705" t="s">
        <v>14</v>
      </c>
      <c r="W16" s="706">
        <f>J16</f>
        <v>100</v>
      </c>
      <c r="X16" s="1350"/>
      <c r="Y16" s="3702"/>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7"/>
      <c r="M17" s="2711"/>
      <c r="N17" s="2711"/>
      <c r="O17" s="2711"/>
      <c r="P17" s="3702"/>
      <c r="Q17" s="1347"/>
      <c r="R17" s="705"/>
      <c r="S17" s="706"/>
      <c r="T17" s="705"/>
      <c r="U17" s="706"/>
      <c r="V17" s="705"/>
      <c r="W17" s="706"/>
      <c r="X17" s="1350"/>
      <c r="Y17" s="3702"/>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2"/>
      <c r="Q18" s="1347" t="str">
        <f>B18</f>
        <v>基础设施水平</v>
      </c>
      <c r="R18" s="705" t="s">
        <v>14</v>
      </c>
      <c r="S18" s="706">
        <f>F18</f>
        <v>100</v>
      </c>
      <c r="T18" s="705" t="s">
        <v>14</v>
      </c>
      <c r="U18" s="706">
        <f>H18</f>
        <v>100</v>
      </c>
      <c r="V18" s="705" t="s">
        <v>14</v>
      </c>
      <c r="W18" s="706">
        <f>J18</f>
        <v>100</v>
      </c>
      <c r="X18" s="1350"/>
      <c r="Y18" s="3702"/>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717"/>
      <c r="M19" s="2711"/>
      <c r="N19" s="2711"/>
      <c r="O19" s="2711"/>
      <c r="P19" s="3702"/>
      <c r="Q19" s="1347"/>
      <c r="R19" s="705"/>
      <c r="S19" s="706"/>
      <c r="T19" s="705"/>
      <c r="U19" s="706"/>
      <c r="V19" s="705"/>
      <c r="W19" s="706"/>
      <c r="X19" s="1350"/>
      <c r="Y19" s="3702"/>
      <c r="Z19" s="1351"/>
      <c r="AA19" s="1348">
        <v>1</v>
      </c>
      <c r="AB19" s="1348">
        <v>1</v>
      </c>
      <c r="AC19" s="1348">
        <v>1</v>
      </c>
    </row>
    <row r="20" spans="1:29" ht="57">
      <c r="A20" s="358"/>
      <c r="B20" s="579" t="s">
        <v>1834</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2"/>
      <c r="Q20" s="1347" t="str">
        <f>B20</f>
        <v>自然及人文环境</v>
      </c>
      <c r="R20" s="705" t="s">
        <v>14</v>
      </c>
      <c r="S20" s="706">
        <f>F20</f>
        <v>100</v>
      </c>
      <c r="T20" s="705" t="s">
        <v>14</v>
      </c>
      <c r="U20" s="706">
        <f>H20</f>
        <v>100</v>
      </c>
      <c r="V20" s="705" t="s">
        <v>14</v>
      </c>
      <c r="W20" s="706">
        <f>J20</f>
        <v>100</v>
      </c>
      <c r="X20" s="1350"/>
      <c r="Y20" s="3702"/>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7"/>
      <c r="M21" s="2711"/>
      <c r="N21" s="2711"/>
      <c r="O21" s="2711"/>
      <c r="P21" s="3702"/>
      <c r="Q21" s="1347"/>
      <c r="R21" s="705"/>
      <c r="S21" s="706"/>
      <c r="T21" s="705"/>
      <c r="U21" s="706"/>
      <c r="V21" s="705"/>
      <c r="W21" s="706"/>
      <c r="X21" s="1350"/>
      <c r="Y21" s="3702"/>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2"/>
      <c r="Q22" s="1347" t="str">
        <f>B22</f>
        <v>楼层</v>
      </c>
      <c r="R22" s="705" t="s">
        <v>14</v>
      </c>
      <c r="S22" s="706">
        <f>F22</f>
        <v>100</v>
      </c>
      <c r="T22" s="705" t="s">
        <v>14</v>
      </c>
      <c r="U22" s="706">
        <f>H22</f>
        <v>100</v>
      </c>
      <c r="V22" s="705" t="s">
        <v>14</v>
      </c>
      <c r="W22" s="706">
        <f>J22</f>
        <v>100</v>
      </c>
      <c r="X22" s="1350"/>
      <c r="Y22" s="3702"/>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2"/>
      <c r="Q23" s="1347">
        <f>B23</f>
        <v>111</v>
      </c>
      <c r="R23" s="705" t="s">
        <v>14</v>
      </c>
      <c r="S23" s="706">
        <f>F23</f>
        <v>100</v>
      </c>
      <c r="T23" s="705" t="s">
        <v>14</v>
      </c>
      <c r="U23" s="706">
        <f>H23</f>
        <v>100</v>
      </c>
      <c r="V23" s="705" t="s">
        <v>14</v>
      </c>
      <c r="W23" s="706">
        <f>J23</f>
        <v>100</v>
      </c>
      <c r="X23" s="1350"/>
      <c r="Y23" s="3702"/>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2"/>
      <c r="Q24" s="1347">
        <f t="shared" ref="Q24:Q36" si="11">B24</f>
        <v>111</v>
      </c>
      <c r="R24" s="705" t="s">
        <v>14</v>
      </c>
      <c r="S24" s="706">
        <f>F24</f>
        <v>100</v>
      </c>
      <c r="T24" s="705" t="s">
        <v>14</v>
      </c>
      <c r="U24" s="706">
        <f>H24</f>
        <v>100</v>
      </c>
      <c r="V24" s="705" t="s">
        <v>14</v>
      </c>
      <c r="W24" s="706">
        <f>J24</f>
        <v>100</v>
      </c>
      <c r="X24" s="1350"/>
      <c r="Y24" s="3702"/>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2"/>
      <c r="Q25" s="1338">
        <f t="shared" si="11"/>
        <v>111</v>
      </c>
      <c r="R25" s="701" t="s">
        <v>14</v>
      </c>
      <c r="S25" s="702">
        <f>F25</f>
        <v>100</v>
      </c>
      <c r="T25" s="701" t="s">
        <v>14</v>
      </c>
      <c r="U25" s="702">
        <f>H25</f>
        <v>100</v>
      </c>
      <c r="V25" s="701" t="s">
        <v>14</v>
      </c>
      <c r="W25" s="702">
        <f>J25</f>
        <v>100</v>
      </c>
      <c r="X25" s="703"/>
      <c r="Y25" s="3702"/>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25"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706"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6"/>
      <c r="Q28" s="1347" t="str">
        <f t="shared" si="11"/>
        <v>公共部分装修</v>
      </c>
      <c r="R28" s="705" t="s">
        <v>14</v>
      </c>
      <c r="S28" s="706">
        <f t="shared" si="12"/>
        <v>100</v>
      </c>
      <c r="T28" s="705" t="s">
        <v>14</v>
      </c>
      <c r="U28" s="706">
        <f t="shared" si="13"/>
        <v>100</v>
      </c>
      <c r="V28" s="705" t="s">
        <v>14</v>
      </c>
      <c r="W28" s="706">
        <f t="shared" si="14"/>
        <v>100</v>
      </c>
      <c r="X28" s="1350"/>
      <c r="Y28" s="3706"/>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6"/>
      <c r="Q29" s="1347" t="str">
        <f t="shared" si="11"/>
        <v>成新率</v>
      </c>
      <c r="R29" s="705" t="s">
        <v>14</v>
      </c>
      <c r="S29" s="706" t="e">
        <f t="shared" si="12"/>
        <v>#N/A</v>
      </c>
      <c r="T29" s="705" t="s">
        <v>14</v>
      </c>
      <c r="U29" s="706" t="e">
        <f t="shared" si="13"/>
        <v>#N/A</v>
      </c>
      <c r="V29" s="705" t="s">
        <v>14</v>
      </c>
      <c r="W29" s="706" t="e">
        <f t="shared" si="14"/>
        <v>#N/A</v>
      </c>
      <c r="X29" s="1350"/>
      <c r="Y29" s="3706"/>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6"/>
      <c r="Q30" s="1347" t="str">
        <f t="shared" si="11"/>
        <v>物业等级</v>
      </c>
      <c r="R30" s="705" t="s">
        <v>14</v>
      </c>
      <c r="S30" s="706">
        <f t="shared" si="12"/>
        <v>100</v>
      </c>
      <c r="T30" s="705" t="s">
        <v>14</v>
      </c>
      <c r="U30" s="706">
        <f t="shared" si="13"/>
        <v>100</v>
      </c>
      <c r="V30" s="705" t="s">
        <v>14</v>
      </c>
      <c r="W30" s="706">
        <f t="shared" si="14"/>
        <v>100</v>
      </c>
      <c r="X30" s="1350"/>
      <c r="Y30" s="3706"/>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6"/>
      <c r="Q31" s="1338"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6" t="s">
        <v>1696</v>
      </c>
      <c r="Q32" s="1347" t="str">
        <f t="shared" si="11"/>
        <v>车位类型</v>
      </c>
      <c r="R32" s="705" t="s">
        <v>14</v>
      </c>
      <c r="S32" s="706">
        <f t="shared" si="12"/>
        <v>100</v>
      </c>
      <c r="T32" s="705" t="s">
        <v>14</v>
      </c>
      <c r="U32" s="706">
        <f t="shared" si="13"/>
        <v>100</v>
      </c>
      <c r="V32" s="705" t="s">
        <v>14</v>
      </c>
      <c r="W32" s="706">
        <f t="shared" si="14"/>
        <v>100</v>
      </c>
      <c r="X32" s="1350"/>
      <c r="Y32" s="3706"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6"/>
      <c r="Q33" s="1347" t="str">
        <f t="shared" si="11"/>
        <v>是否直接入户</v>
      </c>
      <c r="R33" s="705" t="s">
        <v>14</v>
      </c>
      <c r="S33" s="706">
        <f t="shared" si="12"/>
        <v>100</v>
      </c>
      <c r="T33" s="705" t="s">
        <v>14</v>
      </c>
      <c r="U33" s="706">
        <f t="shared" si="13"/>
        <v>100</v>
      </c>
      <c r="V33" s="705" t="s">
        <v>14</v>
      </c>
      <c r="W33" s="706">
        <f t="shared" si="14"/>
        <v>100</v>
      </c>
      <c r="X33" s="1350"/>
      <c r="Y33" s="3706"/>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6"/>
      <c r="Q34" s="1347">
        <f t="shared" si="11"/>
        <v>111</v>
      </c>
      <c r="R34" s="705" t="s">
        <v>14</v>
      </c>
      <c r="S34" s="706">
        <f t="shared" si="12"/>
        <v>100</v>
      </c>
      <c r="T34" s="705" t="s">
        <v>14</v>
      </c>
      <c r="U34" s="706">
        <f t="shared" si="13"/>
        <v>100</v>
      </c>
      <c r="V34" s="705" t="s">
        <v>14</v>
      </c>
      <c r="W34" s="706">
        <f t="shared" si="14"/>
        <v>100</v>
      </c>
      <c r="X34" s="1350"/>
      <c r="Y34" s="3706"/>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6"/>
      <c r="Q36" s="1347">
        <f t="shared" si="11"/>
        <v>111</v>
      </c>
      <c r="R36" s="705" t="s">
        <v>14</v>
      </c>
      <c r="S36" s="706">
        <f t="shared" si="12"/>
        <v>100</v>
      </c>
      <c r="T36" s="705" t="s">
        <v>14</v>
      </c>
      <c r="U36" s="706">
        <f t="shared" si="13"/>
        <v>100</v>
      </c>
      <c r="V36" s="705" t="s">
        <v>14</v>
      </c>
      <c r="W36" s="706">
        <f t="shared" si="14"/>
        <v>100</v>
      </c>
      <c r="X36" s="1350"/>
      <c r="Y36" s="3706"/>
      <c r="Z36" s="1351">
        <f t="shared" si="15"/>
        <v>111</v>
      </c>
      <c r="AA36" s="1348">
        <f t="shared" si="3"/>
        <v>1</v>
      </c>
      <c r="AB36" s="1348">
        <f t="shared" si="4"/>
        <v>1</v>
      </c>
      <c r="AC36" s="1348">
        <f t="shared" si="5"/>
        <v>1</v>
      </c>
    </row>
    <row r="37" spans="1:29" ht="15">
      <c r="A37" s="430" t="s">
        <v>1844</v>
      </c>
      <c r="B37" s="1968" t="s">
        <v>3356</v>
      </c>
      <c r="C37" s="1150" t="s">
        <v>0</v>
      </c>
      <c r="D37" s="1151"/>
      <c r="E37" s="1152"/>
      <c r="F37" s="1153"/>
      <c r="G37" s="1154"/>
      <c r="H37" s="1155"/>
      <c r="I37" s="1152"/>
      <c r="J37" s="1155"/>
      <c r="K37" s="568"/>
      <c r="L37" s="2719"/>
      <c r="M37" s="2720"/>
      <c r="N37" s="2711"/>
      <c r="O37" s="2720"/>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9"/>
      <c r="M38" s="2720"/>
      <c r="N38" s="2720"/>
      <c r="O38" s="2720"/>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19"/>
      <c r="M39" s="2720"/>
      <c r="N39" s="2720"/>
      <c r="O39" s="2720"/>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1850</v>
      </c>
      <c r="B47" s="923"/>
      <c r="C47" s="936"/>
      <c r="D47" s="936"/>
      <c r="E47" s="936"/>
      <c r="F47" s="1163"/>
      <c r="G47" s="1163"/>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4"/>
      <c r="Q48" s="2736"/>
      <c r="R48" s="2736"/>
      <c r="S48" s="2736"/>
      <c r="T48" s="2736"/>
      <c r="U48" s="2736"/>
      <c r="V48" s="2736"/>
      <c r="W48" s="2736"/>
      <c r="X48" s="2736"/>
      <c r="Y48" s="2736"/>
      <c r="Z48" s="2736"/>
      <c r="AA48" s="2736"/>
      <c r="AB48" s="2736"/>
      <c r="AC48" s="2736"/>
    </row>
    <row r="49" spans="1:29" s="108" customFormat="1" ht="15">
      <c r="A49" s="458"/>
      <c r="B49" s="459"/>
      <c r="C49" s="1173">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5"/>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3337</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69" t="s">
        <v>1771</v>
      </c>
      <c r="S4" s="3670"/>
      <c r="T4" s="3669" t="s">
        <v>1772</v>
      </c>
      <c r="U4" s="3670"/>
      <c r="V4" s="3694" t="s">
        <v>1773</v>
      </c>
      <c r="W4" s="3694"/>
      <c r="X4" s="1350"/>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0"/>
      <c r="M5" s="2711"/>
      <c r="N5" s="2711"/>
      <c r="O5" s="2711"/>
      <c r="P5" s="3688"/>
      <c r="Q5" s="3689"/>
      <c r="R5" s="3671"/>
      <c r="S5" s="3672"/>
      <c r="T5" s="3671"/>
      <c r="U5" s="3672"/>
      <c r="V5" s="3694"/>
      <c r="W5" s="3694"/>
      <c r="X5" s="1350"/>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0"/>
      <c r="M6" s="2711"/>
      <c r="N6" s="2711"/>
      <c r="O6" s="2711"/>
      <c r="P6" s="3690"/>
      <c r="Q6" s="3691"/>
      <c r="R6" s="3671"/>
      <c r="S6" s="3672"/>
      <c r="T6" s="3692"/>
      <c r="U6" s="3693"/>
      <c r="V6" s="3694"/>
      <c r="W6" s="3694"/>
      <c r="X6" s="1350"/>
      <c r="Y6" s="3692"/>
      <c r="Z6" s="3693"/>
      <c r="AA6" s="3666"/>
      <c r="AB6" s="3666"/>
      <c r="AC6" s="3666"/>
    </row>
    <row r="7" spans="1:29" s="108" customFormat="1" ht="15.75" thickBot="1">
      <c r="A7" s="362" t="s">
        <v>1679</v>
      </c>
      <c r="B7" s="363"/>
      <c r="C7" s="364">
        <f>'数据-取费表'!B2</f>
        <v>45493</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9" t="s">
        <v>1686</v>
      </c>
      <c r="Q9" s="1338"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699"/>
      <c r="Q10" s="1338"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9"/>
      <c r="Q11" s="1338">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9"/>
      <c r="Q12" s="1338">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699"/>
      <c r="Q13" s="1338">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1" t="s">
        <v>1691</v>
      </c>
      <c r="Q14" s="1347" t="str">
        <f t="shared" si="6"/>
        <v>交通便捷度</v>
      </c>
      <c r="R14" s="705" t="s">
        <v>14</v>
      </c>
      <c r="S14" s="706">
        <f t="shared" si="0"/>
        <v>100</v>
      </c>
      <c r="T14" s="705" t="s">
        <v>14</v>
      </c>
      <c r="U14" s="706">
        <f t="shared" si="1"/>
        <v>100</v>
      </c>
      <c r="V14" s="705" t="s">
        <v>14</v>
      </c>
      <c r="W14" s="706">
        <f t="shared" si="2"/>
        <v>100</v>
      </c>
      <c r="X14" s="1350"/>
      <c r="Y14" s="3701"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702"/>
      <c r="Q15" s="1347"/>
      <c r="R15" s="705"/>
      <c r="S15" s="706"/>
      <c r="T15" s="705"/>
      <c r="U15" s="706"/>
      <c r="V15" s="705"/>
      <c r="W15" s="706"/>
      <c r="X15" s="1350"/>
      <c r="Y15" s="3702"/>
      <c r="Z15" s="1351"/>
      <c r="AA15" s="1348">
        <v>1</v>
      </c>
      <c r="AB15" s="1348">
        <v>1</v>
      </c>
      <c r="AC15" s="1348">
        <v>1</v>
      </c>
    </row>
    <row r="16" spans="1:29" ht="42.75">
      <c r="A16" s="379"/>
      <c r="B16" s="402" t="s">
        <v>1812</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2"/>
      <c r="Q16" s="1347" t="str">
        <f>B16</f>
        <v>公共配套设施</v>
      </c>
      <c r="R16" s="705" t="s">
        <v>14</v>
      </c>
      <c r="S16" s="706">
        <f>F16</f>
        <v>100</v>
      </c>
      <c r="T16" s="705" t="s">
        <v>14</v>
      </c>
      <c r="U16" s="706">
        <f>H16</f>
        <v>100</v>
      </c>
      <c r="V16" s="705" t="s">
        <v>14</v>
      </c>
      <c r="W16" s="706">
        <f>J16</f>
        <v>100</v>
      </c>
      <c r="X16" s="1350"/>
      <c r="Y16" s="3702"/>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702"/>
      <c r="Q17" s="1347"/>
      <c r="R17" s="705"/>
      <c r="S17" s="706"/>
      <c r="T17" s="705"/>
      <c r="U17" s="706"/>
      <c r="V17" s="705"/>
      <c r="W17" s="706"/>
      <c r="X17" s="1350"/>
      <c r="Y17" s="3702"/>
      <c r="Z17" s="1351"/>
      <c r="AA17" s="1348">
        <v>1</v>
      </c>
      <c r="AB17" s="1348">
        <v>1</v>
      </c>
      <c r="AC17" s="1348">
        <v>1</v>
      </c>
    </row>
    <row r="18" spans="1:29" ht="28.5">
      <c r="A18" s="379"/>
      <c r="B18" s="1127"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2"/>
      <c r="Q18" s="1347" t="str">
        <f>B18</f>
        <v>基础设施水平</v>
      </c>
      <c r="R18" s="705" t="s">
        <v>14</v>
      </c>
      <c r="S18" s="706">
        <f>F18</f>
        <v>100</v>
      </c>
      <c r="T18" s="705" t="s">
        <v>14</v>
      </c>
      <c r="U18" s="706">
        <f>H18</f>
        <v>100</v>
      </c>
      <c r="V18" s="705" t="s">
        <v>14</v>
      </c>
      <c r="W18" s="706">
        <f>J18</f>
        <v>100</v>
      </c>
      <c r="X18" s="1350"/>
      <c r="Y18" s="3702"/>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717"/>
      <c r="M19" s="2711"/>
      <c r="N19" s="2711"/>
      <c r="O19" s="2769"/>
      <c r="P19" s="3702"/>
      <c r="Q19" s="1347"/>
      <c r="R19" s="705"/>
      <c r="S19" s="706"/>
      <c r="T19" s="705"/>
      <c r="U19" s="706"/>
      <c r="V19" s="705"/>
      <c r="W19" s="706"/>
      <c r="X19" s="1350"/>
      <c r="Y19" s="3702"/>
      <c r="Z19" s="1351"/>
      <c r="AA19" s="1348">
        <v>1</v>
      </c>
      <c r="AB19" s="1348">
        <v>1</v>
      </c>
      <c r="AC19" s="1348">
        <v>1</v>
      </c>
    </row>
    <row r="20" spans="1:29" ht="57">
      <c r="A20" s="379"/>
      <c r="B20" s="402" t="s">
        <v>1834</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2"/>
      <c r="Q20" s="1347" t="str">
        <f>B20</f>
        <v>自然及人文环境</v>
      </c>
      <c r="R20" s="705" t="s">
        <v>14</v>
      </c>
      <c r="S20" s="706">
        <f>F20</f>
        <v>100</v>
      </c>
      <c r="T20" s="705" t="s">
        <v>14</v>
      </c>
      <c r="U20" s="706">
        <f>H20</f>
        <v>100</v>
      </c>
      <c r="V20" s="705" t="s">
        <v>14</v>
      </c>
      <c r="W20" s="706">
        <f>J20</f>
        <v>100</v>
      </c>
      <c r="X20" s="1350"/>
      <c r="Y20" s="3702"/>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702"/>
      <c r="Q21" s="1347"/>
      <c r="R21" s="705"/>
      <c r="S21" s="706"/>
      <c r="T21" s="705"/>
      <c r="U21" s="706"/>
      <c r="V21" s="705"/>
      <c r="W21" s="706"/>
      <c r="X21" s="1350"/>
      <c r="Y21" s="3702"/>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2"/>
      <c r="Q22" s="1347" t="str">
        <f>B22</f>
        <v>楼层</v>
      </c>
      <c r="R22" s="705" t="s">
        <v>14</v>
      </c>
      <c r="S22" s="706">
        <f>F22</f>
        <v>100</v>
      </c>
      <c r="T22" s="705" t="s">
        <v>14</v>
      </c>
      <c r="U22" s="706">
        <f>H22</f>
        <v>100</v>
      </c>
      <c r="V22" s="705" t="s">
        <v>14</v>
      </c>
      <c r="W22" s="706">
        <f>J22</f>
        <v>100</v>
      </c>
      <c r="X22" s="1350"/>
      <c r="Y22" s="3702"/>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2"/>
      <c r="Q23" s="1347">
        <f>B23</f>
        <v>111</v>
      </c>
      <c r="R23" s="705" t="s">
        <v>14</v>
      </c>
      <c r="S23" s="706">
        <f>F23</f>
        <v>100</v>
      </c>
      <c r="T23" s="705" t="s">
        <v>14</v>
      </c>
      <c r="U23" s="706">
        <f>H23</f>
        <v>100</v>
      </c>
      <c r="V23" s="705" t="s">
        <v>14</v>
      </c>
      <c r="W23" s="706">
        <f>J23</f>
        <v>100</v>
      </c>
      <c r="X23" s="1350"/>
      <c r="Y23" s="3702"/>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2"/>
      <c r="Q24" s="1347">
        <f t="shared" ref="Q24:Q34" si="11">B24</f>
        <v>111</v>
      </c>
      <c r="R24" s="705" t="s">
        <v>14</v>
      </c>
      <c r="S24" s="706">
        <f>F24</f>
        <v>100</v>
      </c>
      <c r="T24" s="705" t="s">
        <v>14</v>
      </c>
      <c r="U24" s="706">
        <f>H24</f>
        <v>100</v>
      </c>
      <c r="V24" s="705" t="s">
        <v>14</v>
      </c>
      <c r="W24" s="706">
        <f>J24</f>
        <v>100</v>
      </c>
      <c r="X24" s="1350"/>
      <c r="Y24" s="3702"/>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02"/>
      <c r="Q25" s="1338">
        <f t="shared" si="11"/>
        <v>111</v>
      </c>
      <c r="R25" s="701" t="s">
        <v>14</v>
      </c>
      <c r="S25" s="702">
        <f>F25</f>
        <v>100</v>
      </c>
      <c r="T25" s="701" t="s">
        <v>14</v>
      </c>
      <c r="U25" s="702">
        <f>H25</f>
        <v>100</v>
      </c>
      <c r="V25" s="701" t="s">
        <v>14</v>
      </c>
      <c r="W25" s="702">
        <f>J25</f>
        <v>100</v>
      </c>
      <c r="X25" s="703"/>
      <c r="Y25" s="3702"/>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25"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706"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6"/>
      <c r="Q28" s="1347" t="str">
        <f t="shared" si="11"/>
        <v>物业等级</v>
      </c>
      <c r="R28" s="705" t="s">
        <v>14</v>
      </c>
      <c r="S28" s="706">
        <f t="shared" si="12"/>
        <v>100</v>
      </c>
      <c r="T28" s="705" t="s">
        <v>14</v>
      </c>
      <c r="U28" s="706">
        <f t="shared" si="13"/>
        <v>100</v>
      </c>
      <c r="V28" s="705" t="s">
        <v>14</v>
      </c>
      <c r="W28" s="706">
        <f t="shared" si="14"/>
        <v>100</v>
      </c>
      <c r="X28" s="1350"/>
      <c r="Y28" s="3706"/>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6"/>
      <c r="Q29" s="1347" t="str">
        <f t="shared" si="11"/>
        <v>有无电梯</v>
      </c>
      <c r="R29" s="705" t="s">
        <v>14</v>
      </c>
      <c r="S29" s="706">
        <f t="shared" si="12"/>
        <v>100</v>
      </c>
      <c r="T29" s="705" t="s">
        <v>14</v>
      </c>
      <c r="U29" s="706">
        <f t="shared" si="13"/>
        <v>100</v>
      </c>
      <c r="V29" s="705" t="s">
        <v>14</v>
      </c>
      <c r="W29" s="706">
        <f t="shared" si="14"/>
        <v>100</v>
      </c>
      <c r="X29" s="1350"/>
      <c r="Y29" s="3706"/>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6"/>
      <c r="Q30" s="1347" t="str">
        <f t="shared" si="11"/>
        <v>建筑面积</v>
      </c>
      <c r="R30" s="705" t="s">
        <v>14</v>
      </c>
      <c r="S30" s="706" t="e">
        <f t="shared" si="12"/>
        <v>#N/A</v>
      </c>
      <c r="T30" s="705" t="s">
        <v>14</v>
      </c>
      <c r="U30" s="706" t="e">
        <f t="shared" si="13"/>
        <v>#N/A</v>
      </c>
      <c r="V30" s="705" t="s">
        <v>14</v>
      </c>
      <c r="W30" s="706" t="e">
        <f t="shared" si="14"/>
        <v>#N/A</v>
      </c>
      <c r="X30" s="1350"/>
      <c r="Y30" s="3706"/>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6"/>
      <c r="Q31" s="1338"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6" t="s">
        <v>1696</v>
      </c>
      <c r="Q32" s="1347">
        <f t="shared" si="11"/>
        <v>111</v>
      </c>
      <c r="R32" s="705" t="s">
        <v>14</v>
      </c>
      <c r="S32" s="706">
        <f t="shared" si="12"/>
        <v>100</v>
      </c>
      <c r="T32" s="705" t="s">
        <v>14</v>
      </c>
      <c r="U32" s="706">
        <f t="shared" si="13"/>
        <v>100</v>
      </c>
      <c r="V32" s="705" t="s">
        <v>14</v>
      </c>
      <c r="W32" s="706">
        <f t="shared" si="14"/>
        <v>100</v>
      </c>
      <c r="X32" s="1350"/>
      <c r="Y32" s="3706"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6"/>
      <c r="Q33" s="1347">
        <f t="shared" si="11"/>
        <v>111</v>
      </c>
      <c r="R33" s="705" t="s">
        <v>14</v>
      </c>
      <c r="S33" s="706">
        <f t="shared" si="12"/>
        <v>100</v>
      </c>
      <c r="T33" s="705" t="s">
        <v>14</v>
      </c>
      <c r="U33" s="706">
        <f t="shared" si="13"/>
        <v>100</v>
      </c>
      <c r="V33" s="705" t="s">
        <v>14</v>
      </c>
      <c r="W33" s="706">
        <f t="shared" si="14"/>
        <v>100</v>
      </c>
      <c r="X33" s="1350"/>
      <c r="Y33" s="3706"/>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06"/>
      <c r="Q34" s="1347">
        <f t="shared" si="11"/>
        <v>111</v>
      </c>
      <c r="R34" s="705" t="s">
        <v>14</v>
      </c>
      <c r="S34" s="706">
        <f t="shared" si="12"/>
        <v>100</v>
      </c>
      <c r="T34" s="705" t="s">
        <v>14</v>
      </c>
      <c r="U34" s="706">
        <f t="shared" si="13"/>
        <v>100</v>
      </c>
      <c r="V34" s="705" t="s">
        <v>14</v>
      </c>
      <c r="W34" s="706">
        <f t="shared" si="14"/>
        <v>100</v>
      </c>
      <c r="X34" s="1350"/>
      <c r="Y34" s="3706"/>
      <c r="Z34" s="1351">
        <f t="shared" si="15"/>
        <v>111</v>
      </c>
      <c r="AA34" s="1348">
        <f t="shared" si="3"/>
        <v>1</v>
      </c>
      <c r="AB34" s="1348">
        <f t="shared" si="4"/>
        <v>1</v>
      </c>
      <c r="AC34" s="1348">
        <f t="shared" si="5"/>
        <v>1</v>
      </c>
    </row>
    <row r="35" spans="1:30" ht="15">
      <c r="A35" s="430" t="s">
        <v>1708</v>
      </c>
      <c r="B35" s="431"/>
      <c r="C35" s="1150" t="s">
        <v>0</v>
      </c>
      <c r="D35" s="1151"/>
      <c r="E35" s="1152"/>
      <c r="F35" s="1153"/>
      <c r="G35" s="1154"/>
      <c r="H35" s="1155"/>
      <c r="I35" s="1152"/>
      <c r="J35" s="1155"/>
      <c r="K35" s="714"/>
      <c r="L35" s="2719"/>
      <c r="M35" s="2720"/>
      <c r="N35" s="2711"/>
      <c r="O35" s="2720"/>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9"/>
      <c r="M36" s="2720"/>
      <c r="N36" s="2711"/>
      <c r="O36" s="2720"/>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19"/>
      <c r="M37" s="2720"/>
      <c r="N37" s="2720"/>
      <c r="O37" s="2720"/>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85" zoomScaleNormal="60" zoomScaleSheetLayoutView="85" workbookViewId="0">
      <selection activeCell="M47" sqref="M4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8.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588</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10257</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69" t="s">
        <v>1771</v>
      </c>
      <c r="S4" s="3670"/>
      <c r="T4" s="3669" t="s">
        <v>1772</v>
      </c>
      <c r="U4" s="3670"/>
      <c r="V4" s="3694" t="s">
        <v>1773</v>
      </c>
      <c r="W4" s="3694"/>
      <c r="X4" s="1350"/>
      <c r="Y4" s="3669" t="s">
        <v>1775</v>
      </c>
      <c r="Z4" s="3670"/>
      <c r="AA4" s="3664" t="s">
        <v>1771</v>
      </c>
      <c r="AB4" s="3665" t="s">
        <v>1772</v>
      </c>
      <c r="AC4" s="3664" t="s">
        <v>1773</v>
      </c>
    </row>
    <row r="5" spans="1:30" ht="92.25" customHeight="1">
      <c r="A5" s="358"/>
      <c r="B5" s="359"/>
      <c r="C5" s="3675" t="s">
        <v>1673</v>
      </c>
      <c r="D5" s="3676"/>
      <c r="E5" s="3673" t="str">
        <f>土地案例!A5</f>
        <v>北京市通州区永顺镇0401街区 46号地块(西马庄收储) B4综合性商业金融服务业用地</v>
      </c>
      <c r="F5" s="3674"/>
      <c r="G5" s="3675" t="str">
        <f>土地案例!A15</f>
        <v>北京城市副中心0101街区FZX-0101-0902地块F3其他类多功能用地</v>
      </c>
      <c r="H5" s="3676"/>
      <c r="I5" s="3675" t="str">
        <f>土地案例!A16</f>
        <v>北京市大兴区黄村镇DX00-0201-6001地块B14旅馆用地</v>
      </c>
      <c r="J5" s="3676"/>
      <c r="K5" s="559"/>
      <c r="L5" s="2710"/>
      <c r="M5" s="2711"/>
      <c r="N5" s="2711"/>
      <c r="O5" s="2711"/>
      <c r="P5" s="3688"/>
      <c r="Q5" s="3689"/>
      <c r="R5" s="3671"/>
      <c r="S5" s="3672"/>
      <c r="T5" s="3671"/>
      <c r="U5" s="3672"/>
      <c r="V5" s="3694"/>
      <c r="W5" s="3694"/>
      <c r="X5" s="1350"/>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0"/>
      <c r="M6" s="2711"/>
      <c r="N6" s="2711"/>
      <c r="O6" s="2711"/>
      <c r="P6" s="3690"/>
      <c r="Q6" s="3691"/>
      <c r="R6" s="3671"/>
      <c r="S6" s="3672"/>
      <c r="T6" s="3692"/>
      <c r="U6" s="3693"/>
      <c r="V6" s="3694"/>
      <c r="W6" s="3694"/>
      <c r="X6" s="1350"/>
      <c r="Y6" s="3692"/>
      <c r="Z6" s="3693"/>
      <c r="AA6" s="3666"/>
      <c r="AB6" s="3666"/>
      <c r="AC6" s="3666"/>
    </row>
    <row r="7" spans="1:30" s="108" customFormat="1" ht="15.75" thickBot="1">
      <c r="A7" s="362" t="s">
        <v>1679</v>
      </c>
      <c r="B7" s="363"/>
      <c r="C7" s="364">
        <f>'数据-取费表'!B2</f>
        <v>45493</v>
      </c>
      <c r="D7" s="365">
        <v>100</v>
      </c>
      <c r="E7" s="366">
        <f>土地案例!L5</f>
        <v>45030.000497685185</v>
      </c>
      <c r="F7" s="367">
        <f>SUMIF(69:69,YEAR(E7)&amp;"-"&amp;INT((MONTH(E7)+2)/3),70:70)</f>
        <v>99.6</v>
      </c>
      <c r="G7" s="1969">
        <f>土地案例!L15</f>
        <v>44566.000497685185</v>
      </c>
      <c r="H7" s="365">
        <f>SUMIF(69:69,YEAR(G7)&amp;"-"&amp;INT((MONTH(G7)+2)/3),70:70)</f>
        <v>98.59999999999998</v>
      </c>
      <c r="I7" s="1969">
        <f>土地案例!L16</f>
        <v>44554.000497685185</v>
      </c>
      <c r="J7" s="365">
        <f>SUMIF(69:69,YEAR(I7)&amp;"-"&amp;INT((MONTH(I7)+2)/3),70:70)</f>
        <v>98.399999999999977</v>
      </c>
      <c r="K7" s="560"/>
      <c r="L7" s="2712"/>
      <c r="M7" s="2713"/>
      <c r="N7" s="2713"/>
      <c r="O7" s="2713"/>
      <c r="P7" s="3667" t="s">
        <v>1680</v>
      </c>
      <c r="Q7" s="3695"/>
      <c r="R7" s="701" t="s">
        <v>14</v>
      </c>
      <c r="S7" s="702">
        <f t="shared" ref="S7:S15" si="0">F7</f>
        <v>99.6</v>
      </c>
      <c r="T7" s="701" t="s">
        <v>14</v>
      </c>
      <c r="U7" s="702">
        <f t="shared" ref="U7:U15" si="1">H7</f>
        <v>98.59999999999998</v>
      </c>
      <c r="V7" s="701" t="s">
        <v>14</v>
      </c>
      <c r="W7" s="702">
        <f t="shared" ref="W7:W15" si="2">J7</f>
        <v>98.399999999999977</v>
      </c>
      <c r="X7" s="703"/>
      <c r="Y7" s="3667" t="s">
        <v>1680</v>
      </c>
      <c r="Z7" s="3668"/>
      <c r="AA7" s="704">
        <f>D7/F7</f>
        <v>1.0040160642570282</v>
      </c>
      <c r="AB7" s="704">
        <f>D7/H7</f>
        <v>1.0141987829614607</v>
      </c>
      <c r="AC7" s="704">
        <f>D7/J7</f>
        <v>1.0162601626016263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2"/>
      <c r="M8" s="2713"/>
      <c r="N8" s="2713"/>
      <c r="O8" s="2713"/>
      <c r="P8" s="3667" t="s">
        <v>1683</v>
      </c>
      <c r="Q8" s="3668"/>
      <c r="R8" s="701" t="s">
        <v>14</v>
      </c>
      <c r="S8" s="702">
        <f t="shared" si="0"/>
        <v>100</v>
      </c>
      <c r="T8" s="701" t="s">
        <v>14</v>
      </c>
      <c r="U8" s="702">
        <f t="shared" si="1"/>
        <v>100</v>
      </c>
      <c r="V8" s="701" t="s">
        <v>14</v>
      </c>
      <c r="W8" s="702">
        <f t="shared" si="2"/>
        <v>100</v>
      </c>
      <c r="X8" s="703"/>
      <c r="Y8" s="3667" t="s">
        <v>1683</v>
      </c>
      <c r="Z8" s="3668"/>
      <c r="AA8" s="704">
        <f t="shared" ref="AA8:AA45" si="3">D8/F8</f>
        <v>1</v>
      </c>
      <c r="AB8" s="704">
        <f t="shared" ref="AB8:AB45" si="4">D8/H8</f>
        <v>1</v>
      </c>
      <c r="AC8" s="704">
        <f t="shared" ref="AC8:AC45" si="5">D8/J8</f>
        <v>1</v>
      </c>
    </row>
    <row r="9" spans="1:30" s="108" customFormat="1" ht="15">
      <c r="A9" s="369" t="s">
        <v>1684</v>
      </c>
      <c r="B9" s="63" t="s">
        <v>1685</v>
      </c>
      <c r="C9" s="1972" t="s">
        <v>673</v>
      </c>
      <c r="D9" s="126">
        <v>100</v>
      </c>
      <c r="E9" s="1972" t="s">
        <v>673</v>
      </c>
      <c r="F9" s="126">
        <f>SUMIF(74:74,E9,75:75)-SUMIF(74:74,C9,75:75)+100</f>
        <v>100</v>
      </c>
      <c r="G9" s="1972" t="s">
        <v>3643</v>
      </c>
      <c r="H9" s="126">
        <f>SUMIF(74:74,G9,75:75)-SUMIF(74:74,C9,75:75)+100</f>
        <v>98</v>
      </c>
      <c r="I9" s="1972" t="s">
        <v>3645</v>
      </c>
      <c r="J9" s="126">
        <f>SUMIF(74:74,I9,75:75)-SUMIF(74:74,C9,75:75)+100</f>
        <v>98</v>
      </c>
      <c r="K9" s="560"/>
      <c r="L9" s="2712"/>
      <c r="M9" s="2713"/>
      <c r="N9" s="2713"/>
      <c r="O9" s="2767"/>
      <c r="P9" s="3699" t="s">
        <v>1686</v>
      </c>
      <c r="Q9" s="1338" t="str">
        <f t="shared" ref="Q9:Q15" si="6">B9</f>
        <v>用途</v>
      </c>
      <c r="R9" s="701" t="s">
        <v>14</v>
      </c>
      <c r="S9" s="702">
        <f t="shared" si="0"/>
        <v>100</v>
      </c>
      <c r="T9" s="701" t="s">
        <v>14</v>
      </c>
      <c r="U9" s="702">
        <f t="shared" si="1"/>
        <v>98</v>
      </c>
      <c r="V9" s="701" t="s">
        <v>14</v>
      </c>
      <c r="W9" s="702">
        <f t="shared" si="2"/>
        <v>98</v>
      </c>
      <c r="X9" s="703"/>
      <c r="Y9" s="3611" t="s">
        <v>1687</v>
      </c>
      <c r="Z9" s="52" t="str">
        <f t="shared" ref="Z9:Z15" si="7">Q9</f>
        <v>用途</v>
      </c>
      <c r="AA9" s="704">
        <f t="shared" si="3"/>
        <v>1</v>
      </c>
      <c r="AB9" s="704">
        <f t="shared" si="4"/>
        <v>1.0204081632653061</v>
      </c>
      <c r="AC9" s="704">
        <f t="shared" si="5"/>
        <v>1.0204081632653061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4"/>
      <c r="M10" s="2715"/>
      <c r="N10" s="2715"/>
      <c r="O10" s="2768"/>
      <c r="P10" s="3699"/>
      <c r="Q10" s="1338" t="str">
        <f t="shared" si="6"/>
        <v>土地使用年限（年）</v>
      </c>
      <c r="R10" s="701" t="s">
        <v>14</v>
      </c>
      <c r="S10" s="702">
        <f t="shared" si="0"/>
        <v>134</v>
      </c>
      <c r="T10" s="701" t="s">
        <v>14</v>
      </c>
      <c r="U10" s="702">
        <f t="shared" si="1"/>
        <v>134</v>
      </c>
      <c r="V10" s="701" t="s">
        <v>14</v>
      </c>
      <c r="W10" s="702">
        <f t="shared" si="2"/>
        <v>134</v>
      </c>
      <c r="X10" s="703"/>
      <c r="Y10" s="3611"/>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16"/>
      <c r="M11" s="2711"/>
      <c r="N11" s="2711"/>
      <c r="O11" s="2769"/>
      <c r="P11" s="3699"/>
      <c r="Q11" s="1338"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9"/>
      <c r="Q12" s="1338"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9"/>
      <c r="Q13" s="1338">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9"/>
      <c r="Q14" s="1338">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hidden="1">
      <c r="A15" s="391" t="s">
        <v>1690</v>
      </c>
      <c r="B15" s="61" t="s">
        <v>1257</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1" t="s">
        <v>1691</v>
      </c>
      <c r="Q15" s="1347" t="str">
        <f t="shared" si="6"/>
        <v>居住社区成熟度</v>
      </c>
      <c r="R15" s="705" t="s">
        <v>14</v>
      </c>
      <c r="S15" s="706">
        <f t="shared" si="0"/>
        <v>100</v>
      </c>
      <c r="T15" s="705" t="s">
        <v>14</v>
      </c>
      <c r="U15" s="706">
        <f t="shared" si="1"/>
        <v>100</v>
      </c>
      <c r="V15" s="705" t="s">
        <v>14</v>
      </c>
      <c r="W15" s="706">
        <f t="shared" si="2"/>
        <v>100</v>
      </c>
      <c r="X15" s="1350"/>
      <c r="Y15" s="3701" t="s">
        <v>1691</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717"/>
      <c r="M16" s="2711"/>
      <c r="N16" s="2711"/>
      <c r="O16" s="2769"/>
      <c r="P16" s="3702"/>
      <c r="Q16" s="1347"/>
      <c r="R16" s="705"/>
      <c r="S16" s="706"/>
      <c r="T16" s="705"/>
      <c r="U16" s="706"/>
      <c r="V16" s="705"/>
      <c r="W16" s="706"/>
      <c r="X16" s="1350"/>
      <c r="Y16" s="3702"/>
      <c r="Z16" s="1351"/>
      <c r="AA16" s="1348">
        <v>1</v>
      </c>
      <c r="AB16" s="1348">
        <v>1</v>
      </c>
      <c r="AC16" s="1348">
        <v>1</v>
      </c>
    </row>
    <row r="17" spans="1:29" ht="71.25">
      <c r="A17" s="379"/>
      <c r="B17" s="402" t="s">
        <v>1777</v>
      </c>
      <c r="C17" s="1950" t="str">
        <f>估价对象房地状况!C16</f>
        <v>估价对象位于XX商圈，周边商业氛围成熟，人流量大，商业繁华度好</v>
      </c>
      <c r="D17" s="401">
        <v>100</v>
      </c>
      <c r="E17" s="403"/>
      <c r="F17" s="401">
        <f>SUMIF(89:89,E18,90:90)-SUMIF(89:89,C18,90:90)+100</f>
        <v>96</v>
      </c>
      <c r="G17" s="403"/>
      <c r="H17" s="406">
        <f>SUMIF(89:89,G18,90:90)-SUMIF(89:89,C18,90:90)+100</f>
        <v>98</v>
      </c>
      <c r="I17" s="405"/>
      <c r="J17" s="406">
        <f>SUMIF(89:89,I18,90:90)-SUMIF(89:89,C18,90:90)+100</f>
        <v>100</v>
      </c>
      <c r="K17" s="621">
        <v>2</v>
      </c>
      <c r="L17" s="2717"/>
      <c r="M17" s="2711"/>
      <c r="N17" s="2711"/>
      <c r="O17" s="2769"/>
      <c r="P17" s="3702"/>
      <c r="Q17" s="1347" t="str">
        <f>B17</f>
        <v>商业繁华度</v>
      </c>
      <c r="R17" s="705" t="s">
        <v>14</v>
      </c>
      <c r="S17" s="706">
        <f>F17</f>
        <v>96</v>
      </c>
      <c r="T17" s="705" t="s">
        <v>14</v>
      </c>
      <c r="U17" s="706">
        <f>H17</f>
        <v>98</v>
      </c>
      <c r="V17" s="705" t="s">
        <v>14</v>
      </c>
      <c r="W17" s="706">
        <f>J17</f>
        <v>100</v>
      </c>
      <c r="X17" s="1350"/>
      <c r="Y17" s="3702"/>
      <c r="Z17" s="1351" t="str">
        <f>Q17</f>
        <v>商业繁华度</v>
      </c>
      <c r="AA17" s="1348">
        <f t="shared" si="3"/>
        <v>1.0416666666666667</v>
      </c>
      <c r="AB17" s="1348">
        <f t="shared" si="4"/>
        <v>1.0204081632653061</v>
      </c>
      <c r="AC17" s="1348">
        <f t="shared" si="5"/>
        <v>1</v>
      </c>
    </row>
    <row r="18" spans="1:29" ht="15">
      <c r="A18" s="379"/>
      <c r="B18" s="407"/>
      <c r="C18" s="1896" t="s">
        <v>3406</v>
      </c>
      <c r="D18" s="401"/>
      <c r="E18" s="1898" t="s">
        <v>3404</v>
      </c>
      <c r="F18" s="401"/>
      <c r="G18" s="1898" t="s">
        <v>3405</v>
      </c>
      <c r="H18" s="399"/>
      <c r="I18" s="1897" t="s">
        <v>3406</v>
      </c>
      <c r="J18" s="399"/>
      <c r="K18" s="620"/>
      <c r="L18" s="2717"/>
      <c r="M18" s="2711"/>
      <c r="N18" s="2711"/>
      <c r="O18" s="2769"/>
      <c r="P18" s="3702"/>
      <c r="Q18" s="1347"/>
      <c r="R18" s="705"/>
      <c r="S18" s="706"/>
      <c r="T18" s="705"/>
      <c r="U18" s="706"/>
      <c r="V18" s="705"/>
      <c r="W18" s="706"/>
      <c r="X18" s="1350"/>
      <c r="Y18" s="3702"/>
      <c r="Z18" s="1351"/>
      <c r="AA18" s="1348">
        <v>1</v>
      </c>
      <c r="AB18" s="1348">
        <v>1</v>
      </c>
      <c r="AC18" s="1348">
        <v>1</v>
      </c>
    </row>
    <row r="19" spans="1:29" ht="71.25" hidden="1">
      <c r="A19" s="379"/>
      <c r="B19" s="402" t="s">
        <v>1811</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2"/>
      <c r="Q19" s="1347" t="str">
        <f>B19</f>
        <v>办公集聚程度</v>
      </c>
      <c r="R19" s="705" t="s">
        <v>14</v>
      </c>
      <c r="S19" s="706">
        <f>F19</f>
        <v>100</v>
      </c>
      <c r="T19" s="705" t="s">
        <v>14</v>
      </c>
      <c r="U19" s="706">
        <f>H19</f>
        <v>100</v>
      </c>
      <c r="V19" s="705" t="s">
        <v>14</v>
      </c>
      <c r="W19" s="706">
        <f>J19</f>
        <v>100</v>
      </c>
      <c r="X19" s="1350"/>
      <c r="Y19" s="3702"/>
      <c r="Z19" s="1351" t="str">
        <f>Q19</f>
        <v>办公集聚程度</v>
      </c>
      <c r="AA19" s="1348">
        <f t="shared" si="3"/>
        <v>1</v>
      </c>
      <c r="AB19" s="1348">
        <f t="shared" si="4"/>
        <v>1</v>
      </c>
      <c r="AC19" s="1348">
        <f t="shared" si="5"/>
        <v>1</v>
      </c>
    </row>
    <row r="20" spans="1:29" ht="15" hidden="1">
      <c r="A20" s="379"/>
      <c r="B20" s="407"/>
      <c r="C20" s="398"/>
      <c r="D20" s="399"/>
      <c r="E20" s="1893"/>
      <c r="F20" s="399"/>
      <c r="G20" s="1893"/>
      <c r="H20" s="399"/>
      <c r="I20" s="1892"/>
      <c r="J20" s="399"/>
      <c r="K20" s="620"/>
      <c r="L20" s="2717"/>
      <c r="M20" s="2711"/>
      <c r="N20" s="2711"/>
      <c r="O20" s="2769"/>
      <c r="P20" s="3702"/>
      <c r="Q20" s="1347"/>
      <c r="R20" s="705"/>
      <c r="S20" s="706"/>
      <c r="T20" s="705"/>
      <c r="U20" s="706"/>
      <c r="V20" s="705"/>
      <c r="W20" s="706"/>
      <c r="X20" s="1350"/>
      <c r="Y20" s="3702"/>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102</v>
      </c>
      <c r="I21" s="405"/>
      <c r="J21" s="401">
        <f>SUMIF(93:93,I22,94:94)-SUMIF(93:93,C22,94:94)+100</f>
        <v>102</v>
      </c>
      <c r="K21" s="621">
        <v>2</v>
      </c>
      <c r="L21" s="2717"/>
      <c r="M21" s="2711"/>
      <c r="N21" s="2711"/>
      <c r="O21" s="2769"/>
      <c r="P21" s="3702"/>
      <c r="Q21" s="1347" t="str">
        <f>B21</f>
        <v>交通便捷度</v>
      </c>
      <c r="R21" s="705" t="s">
        <v>14</v>
      </c>
      <c r="S21" s="706">
        <f>F21</f>
        <v>98</v>
      </c>
      <c r="T21" s="705" t="s">
        <v>14</v>
      </c>
      <c r="U21" s="706">
        <f>H21</f>
        <v>102</v>
      </c>
      <c r="V21" s="705" t="s">
        <v>14</v>
      </c>
      <c r="W21" s="706">
        <f>J21</f>
        <v>102</v>
      </c>
      <c r="X21" s="1350"/>
      <c r="Y21" s="3702"/>
      <c r="Z21" s="1351" t="str">
        <f>Q21</f>
        <v>交通便捷度</v>
      </c>
      <c r="AA21" s="1348">
        <f t="shared" si="3"/>
        <v>1.0204081632653061</v>
      </c>
      <c r="AB21" s="1348">
        <f t="shared" si="4"/>
        <v>0.98039215686274506</v>
      </c>
      <c r="AC21" s="1348">
        <f t="shared" si="5"/>
        <v>0.98039215686274506</v>
      </c>
    </row>
    <row r="22" spans="1:29" ht="15">
      <c r="A22" s="379"/>
      <c r="B22" s="1127"/>
      <c r="C22" s="398" t="s">
        <v>3405</v>
      </c>
      <c r="D22" s="401"/>
      <c r="E22" s="1893" t="s">
        <v>3404</v>
      </c>
      <c r="F22" s="399"/>
      <c r="G22" s="1893" t="s">
        <v>3406</v>
      </c>
      <c r="H22" s="399"/>
      <c r="I22" s="1892" t="s">
        <v>3406</v>
      </c>
      <c r="J22" s="399"/>
      <c r="K22" s="620"/>
      <c r="L22" s="2717"/>
      <c r="M22" s="2711"/>
      <c r="N22" s="2711"/>
      <c r="O22" s="2769"/>
      <c r="P22" s="3702"/>
      <c r="Q22" s="1347"/>
      <c r="R22" s="705"/>
      <c r="S22" s="706"/>
      <c r="T22" s="705"/>
      <c r="U22" s="706"/>
      <c r="V22" s="705"/>
      <c r="W22" s="706"/>
      <c r="X22" s="1350"/>
      <c r="Y22" s="3702"/>
      <c r="Z22" s="1351"/>
      <c r="AA22" s="1348">
        <v>1</v>
      </c>
      <c r="AB22" s="1348">
        <v>1</v>
      </c>
      <c r="AC22" s="1348">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7"/>
      <c r="M23" s="2711"/>
      <c r="N23" s="2711"/>
      <c r="O23" s="2769"/>
      <c r="P23" s="3702"/>
      <c r="Q23" s="1347" t="str">
        <f t="shared" ref="Q23:Q37" si="8">B23</f>
        <v>区域土地利用方向</v>
      </c>
      <c r="R23" s="705" t="s">
        <v>14</v>
      </c>
      <c r="S23" s="706">
        <f>F23</f>
        <v>100</v>
      </c>
      <c r="T23" s="705" t="s">
        <v>14</v>
      </c>
      <c r="U23" s="706">
        <f>H23</f>
        <v>100</v>
      </c>
      <c r="V23" s="705" t="s">
        <v>14</v>
      </c>
      <c r="W23" s="706">
        <f>J23</f>
        <v>100</v>
      </c>
      <c r="X23" s="1350"/>
      <c r="Y23" s="3702"/>
      <c r="Z23" s="1351" t="str">
        <f>Q23</f>
        <v>区域土地利用方向</v>
      </c>
      <c r="AA23" s="1348">
        <f t="shared" si="3"/>
        <v>1</v>
      </c>
      <c r="AB23" s="1348">
        <f t="shared" si="4"/>
        <v>1</v>
      </c>
      <c r="AC23" s="1348">
        <f t="shared" si="5"/>
        <v>1</v>
      </c>
    </row>
    <row r="24" spans="1:29" ht="15">
      <c r="A24" s="358"/>
      <c r="B24" s="407"/>
      <c r="C24" s="565" t="s">
        <v>3405</v>
      </c>
      <c r="D24" s="399"/>
      <c r="E24" s="565" t="s">
        <v>3405</v>
      </c>
      <c r="F24" s="399"/>
      <c r="G24" s="565" t="s">
        <v>3405</v>
      </c>
      <c r="H24" s="399"/>
      <c r="I24" s="565" t="s">
        <v>3405</v>
      </c>
      <c r="J24" s="399"/>
      <c r="K24" s="736"/>
      <c r="L24" s="2717"/>
      <c r="M24" s="2711"/>
      <c r="N24" s="2711"/>
      <c r="O24" s="2769"/>
      <c r="P24" s="3702"/>
      <c r="Q24" s="1347"/>
      <c r="R24" s="705"/>
      <c r="S24" s="706"/>
      <c r="T24" s="705"/>
      <c r="U24" s="706"/>
      <c r="V24" s="705"/>
      <c r="W24" s="706"/>
      <c r="X24" s="1350"/>
      <c r="Y24" s="3702"/>
      <c r="Z24" s="1351"/>
      <c r="AA24" s="1348"/>
      <c r="AB24" s="1348"/>
      <c r="AC24" s="1348"/>
    </row>
    <row r="25" spans="1:29" ht="57">
      <c r="A25" s="358"/>
      <c r="B25" s="1127" t="s">
        <v>1872</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7"/>
      <c r="M25" s="2711"/>
      <c r="N25" s="2711"/>
      <c r="O25" s="2769"/>
      <c r="P25" s="3702"/>
      <c r="Q25" s="1347" t="str">
        <f t="shared" si="8"/>
        <v>自然及人文环境状况</v>
      </c>
      <c r="R25" s="705" t="s">
        <v>14</v>
      </c>
      <c r="S25" s="706">
        <f>F25</f>
        <v>100</v>
      </c>
      <c r="T25" s="705" t="s">
        <v>14</v>
      </c>
      <c r="U25" s="706">
        <f>H25</f>
        <v>100</v>
      </c>
      <c r="V25" s="705" t="s">
        <v>14</v>
      </c>
      <c r="W25" s="706">
        <f>J25</f>
        <v>100</v>
      </c>
      <c r="X25" s="1350"/>
      <c r="Y25" s="3702"/>
      <c r="Z25" s="1351" t="str">
        <f>Q25</f>
        <v>自然及人文环境状况</v>
      </c>
      <c r="AA25" s="1348">
        <f t="shared" si="3"/>
        <v>1</v>
      </c>
      <c r="AB25" s="1348">
        <f t="shared" si="4"/>
        <v>1</v>
      </c>
      <c r="AC25" s="1348">
        <f t="shared" si="5"/>
        <v>1</v>
      </c>
    </row>
    <row r="26" spans="1:29" ht="15">
      <c r="A26" s="358"/>
      <c r="B26" s="407"/>
      <c r="C26" s="398" t="s">
        <v>3405</v>
      </c>
      <c r="D26" s="399"/>
      <c r="E26" s="1899" t="s">
        <v>3405</v>
      </c>
      <c r="F26" s="399"/>
      <c r="G26" s="1899" t="s">
        <v>3405</v>
      </c>
      <c r="H26" s="399"/>
      <c r="I26" s="1899" t="s">
        <v>3405</v>
      </c>
      <c r="J26" s="399"/>
      <c r="K26" s="620"/>
      <c r="L26" s="2717"/>
      <c r="M26" s="2711"/>
      <c r="N26" s="2711"/>
      <c r="O26" s="2769"/>
      <c r="P26" s="3702"/>
      <c r="Q26" s="1347"/>
      <c r="R26" s="705"/>
      <c r="S26" s="706"/>
      <c r="T26" s="705"/>
      <c r="U26" s="706"/>
      <c r="V26" s="705"/>
      <c r="W26" s="706"/>
      <c r="X26" s="1350"/>
      <c r="Y26" s="3702"/>
      <c r="Z26" s="1351"/>
      <c r="AA26" s="1348">
        <v>1</v>
      </c>
      <c r="AB26" s="1348">
        <v>1</v>
      </c>
      <c r="AC26" s="1348">
        <v>1</v>
      </c>
    </row>
    <row r="27" spans="1:29" s="108" customFormat="1" ht="42.75">
      <c r="A27" s="597"/>
      <c r="B27" s="1127" t="s">
        <v>1778</v>
      </c>
      <c r="C27" s="1895" t="str">
        <f>估价对象房地状况!C21</f>
        <v>估价对象所在区域公共配套设施齐备情况</v>
      </c>
      <c r="D27" s="401">
        <v>100</v>
      </c>
      <c r="E27" s="403"/>
      <c r="F27" s="401">
        <f>SUMIF(99:99,E28,100:100)-SUMIF(99:99,C28,100:100)+100</f>
        <v>98</v>
      </c>
      <c r="G27" s="403"/>
      <c r="H27" s="401">
        <f>SUMIF(99:99,G28,100:100)-SUMIF(99:99,C28,100:100)+100</f>
        <v>98</v>
      </c>
      <c r="I27" s="405"/>
      <c r="J27" s="401">
        <f>SUMIF(99:99,I28,100:100)-SUMIF(99:99,C28,100:100)+100</f>
        <v>100</v>
      </c>
      <c r="K27" s="621">
        <v>2</v>
      </c>
      <c r="L27" s="2712"/>
      <c r="M27" s="2713"/>
      <c r="N27" s="2713"/>
      <c r="O27" s="2767"/>
      <c r="P27" s="3702"/>
      <c r="Q27" s="1338" t="str">
        <f t="shared" si="8"/>
        <v>公共配套设施</v>
      </c>
      <c r="R27" s="701" t="s">
        <v>14</v>
      </c>
      <c r="S27" s="702">
        <f>F27</f>
        <v>98</v>
      </c>
      <c r="T27" s="701" t="s">
        <v>14</v>
      </c>
      <c r="U27" s="702">
        <f>H27</f>
        <v>98</v>
      </c>
      <c r="V27" s="701" t="s">
        <v>14</v>
      </c>
      <c r="W27" s="702">
        <f>J27</f>
        <v>100</v>
      </c>
      <c r="X27" s="703"/>
      <c r="Y27" s="3702"/>
      <c r="Z27" s="52" t="str">
        <f>Q27</f>
        <v>公共配套设施</v>
      </c>
      <c r="AA27" s="1348">
        <f>D27/F27</f>
        <v>1.0204081632653061</v>
      </c>
      <c r="AB27" s="1348">
        <f>D27/H27</f>
        <v>1.0204081632653061</v>
      </c>
      <c r="AC27" s="1348">
        <f>D27/J27</f>
        <v>1</v>
      </c>
    </row>
    <row r="28" spans="1:29" s="108" customFormat="1" ht="15">
      <c r="A28" s="597"/>
      <c r="B28" s="407"/>
      <c r="C28" s="1973" t="s">
        <v>3406</v>
      </c>
      <c r="D28" s="399"/>
      <c r="E28" s="1899" t="s">
        <v>3405</v>
      </c>
      <c r="F28" s="399"/>
      <c r="G28" s="1899" t="s">
        <v>3405</v>
      </c>
      <c r="H28" s="399"/>
      <c r="I28" s="398" t="s">
        <v>3406</v>
      </c>
      <c r="J28" s="399"/>
      <c r="K28" s="620"/>
      <c r="L28" s="2712"/>
      <c r="M28" s="2713"/>
      <c r="N28" s="2713"/>
      <c r="O28" s="2767"/>
      <c r="P28" s="3702"/>
      <c r="Q28" s="1338"/>
      <c r="R28" s="701"/>
      <c r="S28" s="702"/>
      <c r="T28" s="701"/>
      <c r="U28" s="702"/>
      <c r="V28" s="701"/>
      <c r="W28" s="702"/>
      <c r="X28" s="703"/>
      <c r="Y28" s="3702"/>
      <c r="Z28" s="52"/>
      <c r="AA28" s="1348">
        <v>1</v>
      </c>
      <c r="AB28" s="1348">
        <v>1</v>
      </c>
      <c r="AC28" s="1348">
        <v>1</v>
      </c>
    </row>
    <row r="29" spans="1:29" s="108" customFormat="1" ht="28.5">
      <c r="A29" s="597"/>
      <c r="B29" s="1127"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02"/>
      <c r="Q29" s="1338" t="str">
        <f t="shared" ref="Q29" si="9">B29</f>
        <v>基础设施水平</v>
      </c>
      <c r="R29" s="701" t="s">
        <v>14</v>
      </c>
      <c r="S29" s="702">
        <f>F29</f>
        <v>100</v>
      </c>
      <c r="T29" s="701" t="s">
        <v>14</v>
      </c>
      <c r="U29" s="702">
        <f>H29</f>
        <v>100</v>
      </c>
      <c r="V29" s="701" t="s">
        <v>14</v>
      </c>
      <c r="W29" s="702">
        <f>J29</f>
        <v>100</v>
      </c>
      <c r="X29" s="703"/>
      <c r="Y29" s="3702"/>
      <c r="Z29" s="52" t="str">
        <f>Q29</f>
        <v>基础设施水平</v>
      </c>
      <c r="AA29" s="1348">
        <f>D29/F29</f>
        <v>1</v>
      </c>
      <c r="AB29" s="1348">
        <f>D29/H29</f>
        <v>1</v>
      </c>
      <c r="AC29" s="1348">
        <f>D29/J29</f>
        <v>1</v>
      </c>
    </row>
    <row r="30" spans="1:29" s="108" customFormat="1" ht="15">
      <c r="A30" s="597"/>
      <c r="B30" s="407"/>
      <c r="C30" s="1973" t="s">
        <v>3631</v>
      </c>
      <c r="D30" s="399"/>
      <c r="E30" s="1973" t="s">
        <v>3631</v>
      </c>
      <c r="F30" s="399"/>
      <c r="G30" s="1973" t="s">
        <v>3631</v>
      </c>
      <c r="H30" s="399"/>
      <c r="I30" s="1973" t="s">
        <v>3631</v>
      </c>
      <c r="J30" s="399"/>
      <c r="K30" s="620"/>
      <c r="L30" s="2712"/>
      <c r="M30" s="2713"/>
      <c r="N30" s="2713"/>
      <c r="O30" s="2767"/>
      <c r="P30" s="3702"/>
      <c r="Q30" s="1338"/>
      <c r="R30" s="701"/>
      <c r="S30" s="702"/>
      <c r="T30" s="701"/>
      <c r="U30" s="702"/>
      <c r="V30" s="701"/>
      <c r="W30" s="702"/>
      <c r="X30" s="703"/>
      <c r="Y30" s="3702"/>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2"/>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702"/>
      <c r="Z31" s="1351" t="str">
        <f t="shared" ref="Z31:Z45" si="13">Q31</f>
        <v>临街状况</v>
      </c>
      <c r="AA31" s="1348">
        <f t="shared" si="3"/>
        <v>1</v>
      </c>
      <c r="AB31" s="1348">
        <f t="shared" si="4"/>
        <v>1</v>
      </c>
      <c r="AC31" s="1348">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2"/>
      <c r="Q32" s="1347" t="str">
        <f t="shared" si="8"/>
        <v>毗邻道路的类型与等级</v>
      </c>
      <c r="R32" s="705" t="s">
        <v>14</v>
      </c>
      <c r="S32" s="706">
        <f t="shared" si="10"/>
        <v>100</v>
      </c>
      <c r="T32" s="705" t="s">
        <v>14</v>
      </c>
      <c r="U32" s="706">
        <f t="shared" si="11"/>
        <v>100</v>
      </c>
      <c r="V32" s="705" t="s">
        <v>14</v>
      </c>
      <c r="W32" s="706">
        <f t="shared" si="12"/>
        <v>100</v>
      </c>
      <c r="X32" s="1350"/>
      <c r="Y32" s="3702"/>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702"/>
      <c r="Q33" s="1347"/>
      <c r="R33" s="705"/>
      <c r="S33" s="706"/>
      <c r="T33" s="705"/>
      <c r="U33" s="706"/>
      <c r="V33" s="705"/>
      <c r="W33" s="706"/>
      <c r="X33" s="1350"/>
      <c r="Y33" s="3702"/>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2"/>
      <c r="Q34" s="1347" t="str">
        <f t="shared" si="8"/>
        <v>土地级别</v>
      </c>
      <c r="R34" s="705" t="s">
        <v>14</v>
      </c>
      <c r="S34" s="706">
        <f t="shared" si="10"/>
        <v>100</v>
      </c>
      <c r="T34" s="705" t="s">
        <v>14</v>
      </c>
      <c r="U34" s="706">
        <f t="shared" si="11"/>
        <v>100</v>
      </c>
      <c r="V34" s="705" t="s">
        <v>14</v>
      </c>
      <c r="W34" s="706">
        <f t="shared" si="12"/>
        <v>100</v>
      </c>
      <c r="X34" s="1350"/>
      <c r="Y34" s="3702"/>
      <c r="Z34" s="1351" t="str">
        <f t="shared" si="13"/>
        <v>土地级别</v>
      </c>
      <c r="AA34" s="1348">
        <f t="shared" si="3"/>
        <v>1</v>
      </c>
      <c r="AB34" s="1348">
        <f t="shared" si="4"/>
        <v>1</v>
      </c>
      <c r="AC34" s="1348">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2"/>
      <c r="Q35" s="1347">
        <f t="shared" si="8"/>
        <v>111</v>
      </c>
      <c r="R35" s="705" t="s">
        <v>14</v>
      </c>
      <c r="S35" s="706">
        <f t="shared" si="10"/>
        <v>100</v>
      </c>
      <c r="T35" s="705" t="s">
        <v>14</v>
      </c>
      <c r="U35" s="706">
        <f t="shared" si="11"/>
        <v>100</v>
      </c>
      <c r="V35" s="705" t="s">
        <v>14</v>
      </c>
      <c r="W35" s="706">
        <f t="shared" si="12"/>
        <v>100</v>
      </c>
      <c r="X35" s="1350"/>
      <c r="Y35" s="3702"/>
      <c r="Z35" s="1351">
        <f t="shared" si="13"/>
        <v>111</v>
      </c>
      <c r="AA35" s="1348">
        <f t="shared" si="3"/>
        <v>1</v>
      </c>
      <c r="AB35" s="1348">
        <f t="shared" si="4"/>
        <v>1</v>
      </c>
      <c r="AC35" s="1348">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25" t="s">
        <v>1696</v>
      </c>
      <c r="Q36" s="1347">
        <f t="shared" si="8"/>
        <v>111</v>
      </c>
      <c r="R36" s="705" t="s">
        <v>14</v>
      </c>
      <c r="S36" s="706">
        <f t="shared" si="10"/>
        <v>100</v>
      </c>
      <c r="T36" s="705" t="s">
        <v>14</v>
      </c>
      <c r="U36" s="706">
        <f t="shared" si="11"/>
        <v>100</v>
      </c>
      <c r="V36" s="705" t="s">
        <v>14</v>
      </c>
      <c r="W36" s="706">
        <f t="shared" si="12"/>
        <v>100</v>
      </c>
      <c r="X36" s="1350"/>
      <c r="Y36" s="3706" t="s">
        <v>1696</v>
      </c>
      <c r="Z36" s="1351">
        <f t="shared" si="13"/>
        <v>111</v>
      </c>
      <c r="AA36" s="1348">
        <f t="shared" si="3"/>
        <v>1</v>
      </c>
      <c r="AB36" s="1348">
        <f t="shared" si="4"/>
        <v>1</v>
      </c>
      <c r="AC36" s="1348">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6"/>
      <c r="Q37" s="1347">
        <f t="shared" si="8"/>
        <v>111</v>
      </c>
      <c r="R37" s="708" t="s">
        <v>14</v>
      </c>
      <c r="S37" s="709">
        <f t="shared" si="10"/>
        <v>100</v>
      </c>
      <c r="T37" s="708" t="s">
        <v>14</v>
      </c>
      <c r="U37" s="709">
        <f t="shared" si="11"/>
        <v>100</v>
      </c>
      <c r="V37" s="708" t="s">
        <v>14</v>
      </c>
      <c r="W37" s="709">
        <f t="shared" si="12"/>
        <v>100</v>
      </c>
      <c r="X37" s="710"/>
      <c r="Y37" s="3706"/>
      <c r="Z37" s="711">
        <f t="shared" si="13"/>
        <v>111</v>
      </c>
      <c r="AA37" s="1348">
        <f t="shared" si="3"/>
        <v>1</v>
      </c>
      <c r="AB37" s="1348">
        <f t="shared" si="4"/>
        <v>1</v>
      </c>
      <c r="AC37" s="1348">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17"/>
      <c r="M38" s="2711"/>
      <c r="N38" s="2711"/>
      <c r="O38" s="2769"/>
      <c r="P38" s="3706"/>
      <c r="Q38" s="1347" t="str">
        <f>B38</f>
        <v>宗地面积</v>
      </c>
      <c r="R38" s="705" t="s">
        <v>14</v>
      </c>
      <c r="S38" s="706">
        <f t="shared" si="10"/>
        <v>100</v>
      </c>
      <c r="T38" s="705" t="s">
        <v>14</v>
      </c>
      <c r="U38" s="706">
        <f t="shared" si="11"/>
        <v>100</v>
      </c>
      <c r="V38" s="705" t="s">
        <v>14</v>
      </c>
      <c r="W38" s="706">
        <f t="shared" si="12"/>
        <v>100</v>
      </c>
      <c r="X38" s="1350"/>
      <c r="Y38" s="3706"/>
      <c r="Z38" s="1351" t="str">
        <f t="shared" si="13"/>
        <v>宗地面积</v>
      </c>
      <c r="AA38" s="1348">
        <f t="shared" si="3"/>
        <v>1</v>
      </c>
      <c r="AB38" s="1348">
        <f t="shared" si="4"/>
        <v>1</v>
      </c>
      <c r="AC38" s="1348">
        <f t="shared" si="5"/>
        <v>1</v>
      </c>
    </row>
    <row r="39" spans="1:29" ht="15">
      <c r="A39" s="423"/>
      <c r="B39" s="375" t="s">
        <v>1875</v>
      </c>
      <c r="C39" s="1901" t="s">
        <v>3632</v>
      </c>
      <c r="D39" s="386">
        <v>100</v>
      </c>
      <c r="E39" s="1901" t="s">
        <v>3632</v>
      </c>
      <c r="F39" s="386">
        <f>SUMIF(118:118,E39,119:119)-SUMIF(118:118,C39,119:119)+100</f>
        <v>100</v>
      </c>
      <c r="G39" s="1901" t="s">
        <v>3632</v>
      </c>
      <c r="H39" s="386">
        <f>SUMIF(118:118,G39,119:119)-SUMIF(118:118,C39,119:119)+100</f>
        <v>100</v>
      </c>
      <c r="I39" s="1901" t="s">
        <v>3632</v>
      </c>
      <c r="J39" s="386">
        <f>SUMIF(118:118,I39,119:119)-SUMIF(118:118,C39,119:119)+100</f>
        <v>100</v>
      </c>
      <c r="K39" s="561">
        <v>1</v>
      </c>
      <c r="L39" s="2717"/>
      <c r="M39" s="2711"/>
      <c r="N39" s="2711"/>
      <c r="O39" s="2769"/>
      <c r="P39" s="3706"/>
      <c r="Q39" s="1347" t="str">
        <f t="shared" ref="Q39:Q45" si="14">B39</f>
        <v>宗地形状</v>
      </c>
      <c r="R39" s="705" t="s">
        <v>14</v>
      </c>
      <c r="S39" s="706">
        <f t="shared" si="10"/>
        <v>100</v>
      </c>
      <c r="T39" s="705" t="s">
        <v>14</v>
      </c>
      <c r="U39" s="706">
        <f t="shared" si="11"/>
        <v>100</v>
      </c>
      <c r="V39" s="705" t="s">
        <v>14</v>
      </c>
      <c r="W39" s="706">
        <f t="shared" si="12"/>
        <v>100</v>
      </c>
      <c r="X39" s="1350"/>
      <c r="Y39" s="3706"/>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706"/>
      <c r="Q40" s="1347" t="str">
        <f t="shared" si="14"/>
        <v>临街宽度及深度</v>
      </c>
      <c r="R40" s="705" t="s">
        <v>14</v>
      </c>
      <c r="S40" s="706">
        <f t="shared" si="10"/>
        <v>100</v>
      </c>
      <c r="T40" s="705" t="s">
        <v>14</v>
      </c>
      <c r="U40" s="706">
        <f t="shared" si="11"/>
        <v>100</v>
      </c>
      <c r="V40" s="705" t="s">
        <v>14</v>
      </c>
      <c r="W40" s="706">
        <f t="shared" si="12"/>
        <v>100</v>
      </c>
      <c r="X40" s="1350"/>
      <c r="Y40" s="3706"/>
      <c r="Z40" s="1351" t="str">
        <f t="shared" si="13"/>
        <v>临街宽度及深度</v>
      </c>
      <c r="AA40" s="1348">
        <f t="shared" si="3"/>
        <v>1</v>
      </c>
      <c r="AB40" s="1348">
        <f t="shared" si="4"/>
        <v>1</v>
      </c>
      <c r="AC40" s="1348">
        <f t="shared" si="5"/>
        <v>1</v>
      </c>
    </row>
    <row r="41" spans="1:29" s="108" customFormat="1" ht="15">
      <c r="A41" s="424"/>
      <c r="B41" s="375" t="s">
        <v>1877</v>
      </c>
      <c r="C41" s="1975" t="s">
        <v>3635</v>
      </c>
      <c r="D41" s="127">
        <v>100</v>
      </c>
      <c r="E41" s="1975" t="s">
        <v>3639</v>
      </c>
      <c r="F41" s="386">
        <f>SUMIF(122:122,E41,123:123)-SUMIF(122:122,C41,123:123)+100</f>
        <v>98.5</v>
      </c>
      <c r="G41" s="1975" t="s">
        <v>3635</v>
      </c>
      <c r="H41" s="386">
        <f>SUMIF(122:122,G41,123:123)-SUMIF(122:122,C41,123:123)+100</f>
        <v>100</v>
      </c>
      <c r="I41" s="1975" t="s">
        <v>3639</v>
      </c>
      <c r="J41" s="386">
        <f>SUMIF(122:122,I41,123:123)-SUMIF(122:122,C41,123:123)+100</f>
        <v>98.5</v>
      </c>
      <c r="K41" s="561">
        <v>0.5</v>
      </c>
      <c r="L41" s="2712"/>
      <c r="M41" s="2713"/>
      <c r="N41" s="2713"/>
      <c r="O41" s="2767"/>
      <c r="P41" s="3706"/>
      <c r="Q41" s="1347" t="str">
        <f t="shared" si="14"/>
        <v>宗地开发程度</v>
      </c>
      <c r="R41" s="701" t="s">
        <v>14</v>
      </c>
      <c r="S41" s="702">
        <f t="shared" si="10"/>
        <v>98.5</v>
      </c>
      <c r="T41" s="701" t="s">
        <v>14</v>
      </c>
      <c r="U41" s="702">
        <f t="shared" si="11"/>
        <v>100</v>
      </c>
      <c r="V41" s="701" t="s">
        <v>14</v>
      </c>
      <c r="W41" s="702">
        <f t="shared" si="12"/>
        <v>98.5</v>
      </c>
      <c r="X41" s="703"/>
      <c r="Y41" s="3706"/>
      <c r="Z41" s="52" t="str">
        <f t="shared" si="13"/>
        <v>宗地开发程度</v>
      </c>
      <c r="AA41" s="704">
        <f t="shared" si="3"/>
        <v>1.015228426395939</v>
      </c>
      <c r="AB41" s="704">
        <f t="shared" si="4"/>
        <v>1</v>
      </c>
      <c r="AC41" s="704">
        <f t="shared" si="5"/>
        <v>1.015228426395939</v>
      </c>
    </row>
    <row r="42" spans="1:29" ht="15">
      <c r="A42" s="423"/>
      <c r="B42" s="375" t="s">
        <v>1878</v>
      </c>
      <c r="C42" s="1901" t="s">
        <v>3406</v>
      </c>
      <c r="D42" s="386">
        <v>100</v>
      </c>
      <c r="E42" s="1901" t="s">
        <v>3406</v>
      </c>
      <c r="F42" s="386">
        <f>SUMIF(124:124,E42,125:125)-SUMIF(124:124,C42,125:125)+100</f>
        <v>100</v>
      </c>
      <c r="G42" s="1901" t="s">
        <v>3406</v>
      </c>
      <c r="H42" s="386">
        <f>SUMIF(124:124,G42,125:125)-SUMIF(124:124,C42,125:125)+100</f>
        <v>100</v>
      </c>
      <c r="I42" s="1901" t="s">
        <v>3406</v>
      </c>
      <c r="J42" s="386">
        <f>SUMIF(124:124,I42,125:125)-SUMIF(124:124,C42,125:125)+100</f>
        <v>100</v>
      </c>
      <c r="K42" s="561">
        <v>1</v>
      </c>
      <c r="L42" s="2717"/>
      <c r="M42" s="2711"/>
      <c r="N42" s="2711"/>
      <c r="O42" s="2769"/>
      <c r="P42" s="3706" t="s">
        <v>1696</v>
      </c>
      <c r="Q42" s="1347" t="str">
        <f t="shared" si="14"/>
        <v>工程地质条件</v>
      </c>
      <c r="R42" s="705" t="s">
        <v>14</v>
      </c>
      <c r="S42" s="706">
        <f t="shared" si="10"/>
        <v>100</v>
      </c>
      <c r="T42" s="705" t="s">
        <v>14</v>
      </c>
      <c r="U42" s="706">
        <f t="shared" si="11"/>
        <v>100</v>
      </c>
      <c r="V42" s="705" t="s">
        <v>14</v>
      </c>
      <c r="W42" s="706">
        <f t="shared" si="12"/>
        <v>100</v>
      </c>
      <c r="X42" s="1350"/>
      <c r="Y42" s="3706" t="s">
        <v>1696</v>
      </c>
      <c r="Z42" s="1351" t="str">
        <f t="shared" si="13"/>
        <v>工程地质条件</v>
      </c>
      <c r="AA42" s="1348">
        <f t="shared" si="3"/>
        <v>1</v>
      </c>
      <c r="AB42" s="1348">
        <f t="shared" si="4"/>
        <v>1</v>
      </c>
      <c r="AC42" s="1348">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6"/>
      <c r="Q43" s="1347">
        <f t="shared" si="14"/>
        <v>111</v>
      </c>
      <c r="R43" s="705" t="s">
        <v>14</v>
      </c>
      <c r="S43" s="706">
        <f t="shared" si="10"/>
        <v>100</v>
      </c>
      <c r="T43" s="705" t="s">
        <v>14</v>
      </c>
      <c r="U43" s="706">
        <f t="shared" si="11"/>
        <v>100</v>
      </c>
      <c r="V43" s="705" t="s">
        <v>14</v>
      </c>
      <c r="W43" s="706">
        <f t="shared" si="12"/>
        <v>100</v>
      </c>
      <c r="X43" s="1350"/>
      <c r="Y43" s="3706"/>
      <c r="Z43" s="1351">
        <f t="shared" si="13"/>
        <v>111</v>
      </c>
      <c r="AA43" s="1348">
        <f t="shared" si="3"/>
        <v>1</v>
      </c>
      <c r="AB43" s="1348">
        <f t="shared" si="4"/>
        <v>1</v>
      </c>
      <c r="AC43" s="1348">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6"/>
      <c r="Q44" s="1347">
        <f t="shared" si="14"/>
        <v>111</v>
      </c>
      <c r="R44" s="705" t="s">
        <v>14</v>
      </c>
      <c r="S44" s="706">
        <f t="shared" si="10"/>
        <v>100</v>
      </c>
      <c r="T44" s="705" t="s">
        <v>14</v>
      </c>
      <c r="U44" s="706">
        <f t="shared" si="11"/>
        <v>100</v>
      </c>
      <c r="V44" s="705" t="s">
        <v>14</v>
      </c>
      <c r="W44" s="706">
        <f t="shared" si="12"/>
        <v>100</v>
      </c>
      <c r="X44" s="1350"/>
      <c r="Y44" s="3706"/>
      <c r="Z44" s="1351">
        <f t="shared" si="13"/>
        <v>111</v>
      </c>
      <c r="AA44" s="1348">
        <f t="shared" si="3"/>
        <v>1</v>
      </c>
      <c r="AB44" s="1348">
        <f t="shared" si="4"/>
        <v>1</v>
      </c>
      <c r="AC44" s="1348">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6"/>
      <c r="Q45" s="1347">
        <f t="shared" si="14"/>
        <v>111</v>
      </c>
      <c r="R45" s="708" t="s">
        <v>14</v>
      </c>
      <c r="S45" s="709">
        <f t="shared" si="10"/>
        <v>100</v>
      </c>
      <c r="T45" s="708" t="s">
        <v>14</v>
      </c>
      <c r="U45" s="709">
        <f t="shared" si="11"/>
        <v>100</v>
      </c>
      <c r="V45" s="708" t="s">
        <v>14</v>
      </c>
      <c r="W45" s="709">
        <f t="shared" si="12"/>
        <v>100</v>
      </c>
      <c r="X45" s="710"/>
      <c r="Y45" s="3706"/>
      <c r="Z45" s="711">
        <f t="shared" si="13"/>
        <v>111</v>
      </c>
      <c r="AA45" s="1348">
        <f t="shared" si="3"/>
        <v>1</v>
      </c>
      <c r="AB45" s="1348">
        <f t="shared" si="4"/>
        <v>1</v>
      </c>
      <c r="AC45" s="1348">
        <f t="shared" si="5"/>
        <v>1</v>
      </c>
    </row>
    <row r="46" spans="1:29" ht="15">
      <c r="A46" s="430" t="s">
        <v>1844</v>
      </c>
      <c r="B46" s="1977" t="s">
        <v>1879</v>
      </c>
      <c r="C46" s="630" t="s">
        <v>0</v>
      </c>
      <c r="D46" s="432"/>
      <c r="E46" s="433">
        <f>土地案例!S5</f>
        <v>11038</v>
      </c>
      <c r="F46" s="434"/>
      <c r="G46" s="435">
        <f>土地案例!S15</f>
        <v>13779</v>
      </c>
      <c r="H46" s="436"/>
      <c r="I46" s="433">
        <f>土地案例!S16</f>
        <v>14015</v>
      </c>
      <c r="J46" s="436"/>
      <c r="K46" s="714"/>
      <c r="L46" s="2719"/>
      <c r="M46" s="2720"/>
      <c r="N46" s="2711"/>
      <c r="O46" s="2720"/>
      <c r="P46" s="3699" t="str">
        <f>A46</f>
        <v>成交单价</v>
      </c>
      <c r="Q46" s="3699"/>
      <c r="R46" s="3694">
        <f>E46</f>
        <v>11038</v>
      </c>
      <c r="S46" s="3694"/>
      <c r="T46" s="3694">
        <f>G46</f>
        <v>13779</v>
      </c>
      <c r="U46" s="3694"/>
      <c r="V46" s="3694">
        <f>I46</f>
        <v>14015</v>
      </c>
      <c r="W46" s="3694"/>
      <c r="X46" s="690"/>
      <c r="Y46" s="712"/>
      <c r="Z46" s="690"/>
      <c r="AA46" s="690"/>
      <c r="AB46" s="690"/>
      <c r="AC46" s="690"/>
    </row>
    <row r="47" spans="1:29" ht="15.75" thickBot="1">
      <c r="A47" s="437" t="s">
        <v>1793</v>
      </c>
      <c r="B47" s="631"/>
      <c r="C47" s="440">
        <f>R48</f>
        <v>10255</v>
      </c>
      <c r="D47" s="2312" t="s">
        <v>2138</v>
      </c>
      <c r="E47" s="440">
        <f>R47</f>
        <v>9107</v>
      </c>
      <c r="F47" s="2313"/>
      <c r="G47" s="439">
        <f>T47</f>
        <v>10863</v>
      </c>
      <c r="H47" s="2313"/>
      <c r="I47" s="440">
        <f>V47</f>
        <v>10795</v>
      </c>
      <c r="J47" s="2313"/>
      <c r="K47" s="2315">
        <f>F47+H47+J47</f>
        <v>0</v>
      </c>
      <c r="L47" s="2719"/>
      <c r="M47" s="2720"/>
      <c r="N47" s="2720"/>
      <c r="O47" s="2720"/>
      <c r="P47" s="3699" t="str">
        <f>A47</f>
        <v>比较价值（元/平方米）</v>
      </c>
      <c r="Q47" s="3699"/>
      <c r="R47" s="3727">
        <f>ROUND(PRODUCT(R46,AA7:AA45),0)</f>
        <v>9107</v>
      </c>
      <c r="S47" s="3727"/>
      <c r="T47" s="3727">
        <f>ROUND(PRODUCT(T46,AB7:AB45),0)</f>
        <v>10863</v>
      </c>
      <c r="U47" s="3727"/>
      <c r="V47" s="3727">
        <f>ROUND(PRODUCT(V46,AC7:AC45),0)</f>
        <v>10795</v>
      </c>
      <c r="W47" s="3727"/>
      <c r="X47" s="690"/>
      <c r="Y47" s="690"/>
      <c r="Z47" s="690"/>
      <c r="AA47" s="690"/>
      <c r="AB47" s="690"/>
      <c r="AC47" s="690"/>
    </row>
    <row r="48" spans="1:29" ht="15.75" thickBot="1">
      <c r="A48" s="441" t="s">
        <v>1880</v>
      </c>
      <c r="B48" s="442"/>
      <c r="C48" s="443">
        <f>R48</f>
        <v>10255</v>
      </c>
      <c r="D48" s="443"/>
      <c r="E48" s="443"/>
      <c r="F48" s="443"/>
      <c r="G48" s="443"/>
      <c r="H48" s="443"/>
      <c r="I48" s="443"/>
      <c r="J48" s="443"/>
      <c r="K48" s="715"/>
      <c r="L48" s="2719"/>
      <c r="M48" s="2720"/>
      <c r="N48" s="2720"/>
      <c r="O48" s="2720"/>
      <c r="P48" s="3696" t="str">
        <f>A48</f>
        <v>估价对象XX用房的比较价值（楼面单价，元/平方米）</v>
      </c>
      <c r="Q48" s="3697"/>
      <c r="R48" s="3728">
        <f>ROUND(IF(D47="简单平均",AVERAGE(R47:W47),R47*F47+T47*H47+V47*J47),0)</f>
        <v>10255</v>
      </c>
      <c r="S48" s="3728"/>
      <c r="T48" s="3728"/>
      <c r="U48" s="3728"/>
      <c r="V48" s="3728"/>
      <c r="W48" s="372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f>IF(E46&lt;E47,E47/E46-1,E46/E47-1)</f>
        <v>0.2120346985835071</v>
      </c>
      <c r="F51" s="449" t="str">
        <f>IF(OR(E51&gt;=0.3,E51&lt;=-0.3),"超过30%","")</f>
        <v/>
      </c>
      <c r="G51" s="448">
        <f>IF(G46&lt;G47,G47/G46-1,G46/G47-1)</f>
        <v>0.26843413421706708</v>
      </c>
      <c r="H51" s="449" t="str">
        <f>IF(OR(G51&gt;=0.3,G51&lt;=-0.3),"超过30%","")</f>
        <v/>
      </c>
      <c r="I51" s="448">
        <f>IF(I46&lt;I47,I47/I46-1,I46/I47-1)</f>
        <v>0.29828624363131073</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f>IF(E47&lt;G47,G47/E47-1,E47/G47-1)</f>
        <v>0.19281871088173941</v>
      </c>
      <c r="F52" s="449" t="str">
        <f>IF(OR(E52&gt;=0.2,E52&lt;=-0.2),"超过20%","")</f>
        <v/>
      </c>
      <c r="G52" s="448">
        <f>IF(G47&lt;I47,I47/G47-1,G47/I47-1)</f>
        <v>6.2992125984251413E-3</v>
      </c>
      <c r="H52" s="449" t="str">
        <f>IF(OR(G52&gt;=0.2,G52&lt;=-0.2),"超过20%","")</f>
        <v/>
      </c>
      <c r="I52" s="448">
        <f>IF(I47&lt;E47,E47/I47-1,I47/E47-1)</f>
        <v>0.18535192708905246</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f>IF(E46&lt;G46,G46/E46-1,E46/G46-1)</f>
        <v>0.24832397173400977</v>
      </c>
      <c r="F53" s="449" t="str">
        <f>IF(OR(E53&gt;=0.3,E53&lt;=-0.3),"超过30%","")</f>
        <v/>
      </c>
      <c r="G53" s="448">
        <f>IF(G46&lt;I46,I46/G46-1,G46/I46-1)</f>
        <v>1.7127512881921714E-2</v>
      </c>
      <c r="H53" s="449" t="str">
        <f>IF(OR(G53&gt;=0.3,G53&lt;=-0.3),"超过30%","")</f>
        <v/>
      </c>
      <c r="I53" s="448">
        <f>IF(I46&lt;E46,E46/I46-1,I46/E46-1)</f>
        <v>0.26970465664069576</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8" t="s">
        <v>1883</v>
      </c>
      <c r="D55" s="1979" t="s">
        <v>1884</v>
      </c>
      <c r="E55" s="634" t="s">
        <v>1885</v>
      </c>
      <c r="F55" s="886" t="s">
        <v>1886</v>
      </c>
      <c r="G55" s="3682" t="s">
        <v>1887</v>
      </c>
      <c r="H55" s="3729"/>
      <c r="I55" s="135"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f>C48</f>
        <v>10255</v>
      </c>
      <c r="C56" s="638">
        <v>1</v>
      </c>
      <c r="D56" s="940">
        <v>1</v>
      </c>
      <c r="E56" s="638">
        <f>'数据-汇总表'!E8+'数据-汇总表'!E9</f>
        <v>573.27</v>
      </c>
      <c r="F56" s="882">
        <f t="shared" ref="F56:F64" si="15">ROUND(B56*E56/10000,0)</f>
        <v>588</v>
      </c>
      <c r="G56" s="3681"/>
      <c r="H56" s="3699"/>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f>ROUND($C$48*C57*D57,0)</f>
        <v>1538</v>
      </c>
      <c r="C57" s="171">
        <f t="shared" ref="C57:C64" si="16">IF($C$55="北京市系数",I57,J57)</f>
        <v>0.6</v>
      </c>
      <c r="D57" s="941">
        <v>0.25</v>
      </c>
      <c r="E57" s="642"/>
      <c r="F57" s="882">
        <f t="shared" si="15"/>
        <v>0</v>
      </c>
      <c r="G57" s="3001" t="s">
        <v>1892</v>
      </c>
      <c r="H57" s="883" t="str">
        <f>项目基本情况!B37</f>
        <v>七级</v>
      </c>
      <c r="I57" s="887">
        <f>SUMIF(修正!A57:A68,H57,修正!B57:B68)</f>
        <v>0.6</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f t="shared" ref="B58:B64" si="17">ROUND($C$48*C58*D58,0)</f>
        <v>769</v>
      </c>
      <c r="C58" s="171">
        <f t="shared" si="16"/>
        <v>0.3</v>
      </c>
      <c r="D58" s="941">
        <v>0.25</v>
      </c>
      <c r="E58" s="642"/>
      <c r="F58" s="882">
        <f t="shared" si="15"/>
        <v>0</v>
      </c>
      <c r="G58" s="3002"/>
      <c r="H58" s="883" t="str">
        <f>项目基本情况!B37</f>
        <v>七级</v>
      </c>
      <c r="I58" s="887">
        <f>SUMIF(修正!A57:A68,H58,修正!C57:C68)</f>
        <v>0.3</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f t="shared" si="17"/>
        <v>641</v>
      </c>
      <c r="C59" s="171">
        <f t="shared" si="16"/>
        <v>0.25</v>
      </c>
      <c r="D59" s="941">
        <v>0.25</v>
      </c>
      <c r="E59" s="642"/>
      <c r="F59" s="882">
        <f t="shared" si="15"/>
        <v>0</v>
      </c>
      <c r="G59" s="3002"/>
      <c r="H59" s="883" t="str">
        <f>项目基本情况!B37</f>
        <v>七级</v>
      </c>
      <c r="I59" s="887">
        <f>SUMIF(修正!A57:A68,H59,修正!D57:D68)</f>
        <v>0.25</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f t="shared" si="17"/>
        <v>0</v>
      </c>
      <c r="C60" s="171">
        <f t="shared" si="16"/>
        <v>0</v>
      </c>
      <c r="D60" s="941">
        <v>0.25</v>
      </c>
      <c r="E60" s="217">
        <f>'数据-汇总表'!E11</f>
        <v>0</v>
      </c>
      <c r="F60" s="882">
        <f t="shared" si="15"/>
        <v>0</v>
      </c>
      <c r="G60" s="1982" t="s">
        <v>1896</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f t="shared" si="17"/>
        <v>0</v>
      </c>
      <c r="C61" s="171">
        <f t="shared" si="16"/>
        <v>0</v>
      </c>
      <c r="D61" s="941">
        <v>0.25</v>
      </c>
      <c r="E61" s="217">
        <f>'数据-汇总表'!E12</f>
        <v>0</v>
      </c>
      <c r="F61" s="882">
        <f t="shared" si="15"/>
        <v>0</v>
      </c>
      <c r="G61" s="888" t="s">
        <v>1898</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f t="shared" si="17"/>
        <v>0</v>
      </c>
      <c r="C62" s="171">
        <f t="shared" si="16"/>
        <v>0</v>
      </c>
      <c r="D62" s="941">
        <v>0.25</v>
      </c>
      <c r="E62" s="217">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f t="shared" si="17"/>
        <v>385</v>
      </c>
      <c r="C63" s="171">
        <f t="shared" si="16"/>
        <v>0.15</v>
      </c>
      <c r="D63" s="941">
        <v>0.25</v>
      </c>
      <c r="E63" s="217">
        <f>'数据-汇总表'!E14</f>
        <v>0</v>
      </c>
      <c r="F63" s="882">
        <f t="shared" si="15"/>
        <v>0</v>
      </c>
      <c r="G63" s="1982" t="s">
        <v>1892</v>
      </c>
      <c r="H63" s="883" t="str">
        <f>项目基本情况!B37</f>
        <v>七级</v>
      </c>
      <c r="I63" s="887">
        <f>SUMIF(修正!A57:A68,H63,修正!G57:G68)</f>
        <v>0.15</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f t="shared" si="17"/>
        <v>0</v>
      </c>
      <c r="C64" s="171">
        <f t="shared" si="16"/>
        <v>0</v>
      </c>
      <c r="D64" s="941">
        <v>0.25</v>
      </c>
      <c r="E64" s="217">
        <f>'数据-汇总表'!E15</f>
        <v>0</v>
      </c>
      <c r="F64" s="882">
        <f t="shared" si="15"/>
        <v>0</v>
      </c>
      <c r="G64" s="1983" t="s">
        <v>1896</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573.27</v>
      </c>
      <c r="F65" s="645">
        <f>IF(B46="楼面地价",SUM(F56:F64),ROUND(C48*E65/10000,0))</f>
        <v>588</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1904</v>
      </c>
      <c r="B69" s="1105"/>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8" t="str">
        <f>"北京市平均增长率"&amp;TEXT(SUMIF(基准地价修正!N25:N29,A70,基准地价修正!P25:P29),"0.00%")</f>
        <v>北京市平均增长率0.00%</v>
      </c>
      <c r="C70" s="552">
        <v>100</v>
      </c>
      <c r="D70" s="544">
        <v>100.2</v>
      </c>
      <c r="E70" s="544">
        <v>100.2</v>
      </c>
      <c r="F70" s="544">
        <v>100</v>
      </c>
      <c r="G70" s="544">
        <f>F70-0.2</f>
        <v>99.8</v>
      </c>
      <c r="H70" s="544">
        <f t="shared" ref="H70:O70" si="20">G70-0.2</f>
        <v>99.6</v>
      </c>
      <c r="I70" s="544">
        <f t="shared" si="20"/>
        <v>99.399999999999991</v>
      </c>
      <c r="J70" s="544">
        <f t="shared" si="20"/>
        <v>99.199999999999989</v>
      </c>
      <c r="K70" s="544">
        <f t="shared" si="20"/>
        <v>98.999999999999986</v>
      </c>
      <c r="L70" s="544">
        <f t="shared" si="20"/>
        <v>98.799999999999983</v>
      </c>
      <c r="M70" s="544">
        <f t="shared" si="20"/>
        <v>98.59999999999998</v>
      </c>
      <c r="N70" s="544">
        <f t="shared" si="20"/>
        <v>98.399999999999977</v>
      </c>
      <c r="O70" s="544">
        <f t="shared" si="20"/>
        <v>98.199999999999974</v>
      </c>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3451" t="s">
        <v>3642</v>
      </c>
      <c r="D74" s="3451" t="s">
        <v>3644</v>
      </c>
      <c r="E74" s="3451" t="s">
        <v>3646</v>
      </c>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v>98</v>
      </c>
      <c r="E75" s="485">
        <v>98</v>
      </c>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0（含）-1</v>
      </c>
      <c r="D78" s="496" t="str">
        <f t="shared" ref="D78:L78" si="21">D79&amp;"（含）"&amp;"-"&amp;E79</f>
        <v>1（含）-2</v>
      </c>
      <c r="E78" s="496" t="str">
        <f t="shared" si="21"/>
        <v>2（含）-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2</v>
      </c>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98</v>
      </c>
      <c r="E90" s="493">
        <f>D90-$K17</f>
        <v>96</v>
      </c>
      <c r="F90" s="493">
        <f>E90-$K17</f>
        <v>94</v>
      </c>
      <c r="G90" s="493">
        <f>F90-$K17</f>
        <v>92</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98</v>
      </c>
      <c r="E94" s="493">
        <f>D94-$K21</f>
        <v>96</v>
      </c>
      <c r="F94" s="493">
        <f>E94-$K21</f>
        <v>94</v>
      </c>
      <c r="G94" s="493">
        <f>F94-$K21</f>
        <v>92</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1694</v>
      </c>
      <c r="B115" s="477" t="s">
        <v>1913</v>
      </c>
      <c r="C115" s="478" t="str">
        <f>C116&amp;"(含)"&amp;"-"&amp;D116</f>
        <v>0(含)-10000</v>
      </c>
      <c r="D115" s="478" t="str">
        <f t="shared" ref="D115:M115" si="26">D116&amp;"(含)"&amp;"-"&amp;E116</f>
        <v>10000(含)-30000</v>
      </c>
      <c r="E115" s="478" t="str">
        <f t="shared" si="26"/>
        <v>30000(含)-50000</v>
      </c>
      <c r="F115" s="478" t="str">
        <f t="shared" si="26"/>
        <v>50000(含)-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10000</v>
      </c>
      <c r="E116" s="544">
        <v>30000</v>
      </c>
      <c r="F116" s="544">
        <v>50000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3449" t="s">
        <v>3633</v>
      </c>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3450" t="s">
        <v>3634</v>
      </c>
      <c r="D122" s="3450" t="s">
        <v>3636</v>
      </c>
      <c r="E122" s="3450" t="s">
        <v>3637</v>
      </c>
      <c r="F122" s="3450" t="s">
        <v>3638</v>
      </c>
      <c r="G122" s="3450" t="s">
        <v>3640</v>
      </c>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99.5</v>
      </c>
      <c r="E123" s="493">
        <f t="shared" si="29"/>
        <v>99</v>
      </c>
      <c r="F123" s="493">
        <f t="shared" si="29"/>
        <v>98.5</v>
      </c>
      <c r="G123" s="493">
        <f t="shared" si="29"/>
        <v>98</v>
      </c>
      <c r="H123" s="493">
        <f t="shared" si="29"/>
        <v>97.5</v>
      </c>
      <c r="I123" s="493">
        <f t="shared" si="29"/>
        <v>97</v>
      </c>
      <c r="J123" s="493">
        <f t="shared" si="29"/>
        <v>96.5</v>
      </c>
      <c r="K123" s="493">
        <f t="shared" si="29"/>
        <v>96</v>
      </c>
      <c r="L123" s="493">
        <f t="shared" si="29"/>
        <v>95.5</v>
      </c>
      <c r="M123" s="494">
        <f t="shared" si="29"/>
        <v>95</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3450" t="s">
        <v>3641</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48" activeCellId="1" sqref="F39:F48 N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69" t="s">
        <v>1771</v>
      </c>
      <c r="S4" s="3670"/>
      <c r="T4" s="3669" t="s">
        <v>1772</v>
      </c>
      <c r="U4" s="3670"/>
      <c r="V4" s="3694" t="s">
        <v>1773</v>
      </c>
      <c r="W4" s="3694"/>
      <c r="X4" s="1350"/>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0"/>
      <c r="M5" s="2711"/>
      <c r="N5" s="2711"/>
      <c r="O5" s="2711"/>
      <c r="P5" s="3688"/>
      <c r="Q5" s="3689"/>
      <c r="R5" s="3671"/>
      <c r="S5" s="3672"/>
      <c r="T5" s="3671"/>
      <c r="U5" s="3672"/>
      <c r="V5" s="3694"/>
      <c r="W5" s="3694"/>
      <c r="X5" s="1350"/>
      <c r="Y5" s="3671"/>
      <c r="Z5" s="3672"/>
      <c r="AA5" s="3665"/>
      <c r="AB5" s="3665"/>
      <c r="AC5" s="3665"/>
    </row>
    <row r="6" spans="1:29" ht="15.75" thickBot="1">
      <c r="A6" s="360"/>
      <c r="B6" s="361"/>
      <c r="C6" s="3730" t="s">
        <v>1919</v>
      </c>
      <c r="D6" s="3731"/>
      <c r="E6" s="3732" t="s">
        <v>1919</v>
      </c>
      <c r="F6" s="3733"/>
      <c r="G6" s="3730" t="s">
        <v>1919</v>
      </c>
      <c r="H6" s="3731"/>
      <c r="I6" s="3730" t="s">
        <v>1919</v>
      </c>
      <c r="J6" s="3731"/>
      <c r="K6" s="559" t="s">
        <v>1678</v>
      </c>
      <c r="L6" s="2710"/>
      <c r="M6" s="2711"/>
      <c r="N6" s="2711"/>
      <c r="O6" s="2711"/>
      <c r="P6" s="3690"/>
      <c r="Q6" s="3691"/>
      <c r="R6" s="3671"/>
      <c r="S6" s="3672"/>
      <c r="T6" s="3692"/>
      <c r="U6" s="3693"/>
      <c r="V6" s="3694"/>
      <c r="W6" s="3694"/>
      <c r="X6" s="1350"/>
      <c r="Y6" s="3692"/>
      <c r="Z6" s="3693"/>
      <c r="AA6" s="3666"/>
      <c r="AB6" s="3666"/>
      <c r="AC6" s="3666"/>
    </row>
    <row r="7" spans="1:29" s="108" customFormat="1" ht="15.75" thickBot="1">
      <c r="A7" s="362" t="s">
        <v>1679</v>
      </c>
      <c r="B7" s="363"/>
      <c r="C7" s="364">
        <f>'数据-取费表'!B2</f>
        <v>45493</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699" t="s">
        <v>1686</v>
      </c>
      <c r="Q9" s="1338"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4"/>
      <c r="M10" s="2715"/>
      <c r="N10" s="2715"/>
      <c r="O10" s="2768"/>
      <c r="P10" s="3699"/>
      <c r="Q10" s="1338" t="str">
        <f t="shared" si="6"/>
        <v>土地使用年限（年）</v>
      </c>
      <c r="R10" s="701" t="s">
        <v>14</v>
      </c>
      <c r="S10" s="702">
        <f t="shared" si="0"/>
        <v>134</v>
      </c>
      <c r="T10" s="701" t="s">
        <v>14</v>
      </c>
      <c r="U10" s="702">
        <f t="shared" si="1"/>
        <v>134</v>
      </c>
      <c r="V10" s="701" t="s">
        <v>14</v>
      </c>
      <c r="W10" s="702">
        <f t="shared" si="2"/>
        <v>134</v>
      </c>
      <c r="X10" s="703"/>
      <c r="Y10" s="3611"/>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9"/>
      <c r="Q11" s="1338"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9"/>
      <c r="Q12" s="1338">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9"/>
      <c r="Q13" s="1338">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9"/>
      <c r="Q14" s="1338">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1" t="s">
        <v>1691</v>
      </c>
      <c r="Q15" s="1347" t="str">
        <f t="shared" si="6"/>
        <v>产业集聚程度</v>
      </c>
      <c r="R15" s="705" t="s">
        <v>14</v>
      </c>
      <c r="S15" s="706">
        <f t="shared" si="0"/>
        <v>100</v>
      </c>
      <c r="T15" s="705" t="s">
        <v>14</v>
      </c>
      <c r="U15" s="706">
        <f t="shared" si="1"/>
        <v>100</v>
      </c>
      <c r="V15" s="705" t="s">
        <v>14</v>
      </c>
      <c r="W15" s="706">
        <f t="shared" si="2"/>
        <v>100</v>
      </c>
      <c r="X15" s="1350"/>
      <c r="Y15" s="3701"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702"/>
      <c r="Q16" s="1347"/>
      <c r="R16" s="705"/>
      <c r="S16" s="706"/>
      <c r="T16" s="705"/>
      <c r="U16" s="706"/>
      <c r="V16" s="705"/>
      <c r="W16" s="706"/>
      <c r="X16" s="1350"/>
      <c r="Y16" s="3702"/>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2"/>
      <c r="Q17" s="1347" t="str">
        <f>B17</f>
        <v>交通便捷度</v>
      </c>
      <c r="R17" s="705" t="s">
        <v>14</v>
      </c>
      <c r="S17" s="706">
        <f>F17</f>
        <v>100</v>
      </c>
      <c r="T17" s="705" t="s">
        <v>14</v>
      </c>
      <c r="U17" s="706">
        <f>H17</f>
        <v>100</v>
      </c>
      <c r="V17" s="705" t="s">
        <v>14</v>
      </c>
      <c r="W17" s="706">
        <f>J17</f>
        <v>100</v>
      </c>
      <c r="X17" s="1350"/>
      <c r="Y17" s="3702"/>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702"/>
      <c r="Q18" s="1347"/>
      <c r="R18" s="705"/>
      <c r="S18" s="706"/>
      <c r="T18" s="705"/>
      <c r="U18" s="706"/>
      <c r="V18" s="705"/>
      <c r="W18" s="706"/>
      <c r="X18" s="1350"/>
      <c r="Y18" s="3702"/>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2"/>
      <c r="Q19" s="1347" t="str">
        <f t="shared" ref="Q19:Q33" si="8">B19</f>
        <v>区域土地利用方向</v>
      </c>
      <c r="R19" s="705" t="s">
        <v>14</v>
      </c>
      <c r="S19" s="706">
        <f>F19</f>
        <v>100</v>
      </c>
      <c r="T19" s="705" t="s">
        <v>14</v>
      </c>
      <c r="U19" s="706">
        <f>H19</f>
        <v>100</v>
      </c>
      <c r="V19" s="705" t="s">
        <v>14</v>
      </c>
      <c r="W19" s="706">
        <f>J19</f>
        <v>100</v>
      </c>
      <c r="X19" s="1350"/>
      <c r="Y19" s="3702"/>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702"/>
      <c r="Q20" s="1347"/>
      <c r="R20" s="705"/>
      <c r="S20" s="706"/>
      <c r="T20" s="705"/>
      <c r="U20" s="706"/>
      <c r="V20" s="705"/>
      <c r="W20" s="706"/>
      <c r="X20" s="1350"/>
      <c r="Y20" s="3702"/>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2"/>
      <c r="Q21" s="1347" t="str">
        <f t="shared" si="8"/>
        <v>环境状况</v>
      </c>
      <c r="R21" s="705" t="s">
        <v>14</v>
      </c>
      <c r="S21" s="706">
        <f>F21</f>
        <v>100</v>
      </c>
      <c r="T21" s="705" t="s">
        <v>14</v>
      </c>
      <c r="U21" s="706">
        <f>H21</f>
        <v>100</v>
      </c>
      <c r="V21" s="705" t="s">
        <v>14</v>
      </c>
      <c r="W21" s="706">
        <f>J21</f>
        <v>100</v>
      </c>
      <c r="X21" s="1350"/>
      <c r="Y21" s="3702"/>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702"/>
      <c r="Q22" s="1347"/>
      <c r="R22" s="705"/>
      <c r="S22" s="706"/>
      <c r="T22" s="705"/>
      <c r="U22" s="706"/>
      <c r="V22" s="705"/>
      <c r="W22" s="706"/>
      <c r="X22" s="1350"/>
      <c r="Y22" s="3702"/>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2"/>
      <c r="Q23" s="1338" t="str">
        <f t="shared" si="8"/>
        <v>公共配套设施</v>
      </c>
      <c r="R23" s="701" t="s">
        <v>14</v>
      </c>
      <c r="S23" s="702">
        <f>F23</f>
        <v>100</v>
      </c>
      <c r="T23" s="701" t="s">
        <v>14</v>
      </c>
      <c r="U23" s="702">
        <f>H23</f>
        <v>100</v>
      </c>
      <c r="V23" s="701" t="s">
        <v>14</v>
      </c>
      <c r="W23" s="702">
        <f>J23</f>
        <v>100</v>
      </c>
      <c r="X23" s="703"/>
      <c r="Y23" s="3702"/>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702"/>
      <c r="Q24" s="1338"/>
      <c r="R24" s="701"/>
      <c r="S24" s="702"/>
      <c r="T24" s="701"/>
      <c r="U24" s="702"/>
      <c r="V24" s="701"/>
      <c r="W24" s="702"/>
      <c r="X24" s="703"/>
      <c r="Y24" s="3702"/>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2"/>
      <c r="Q25" s="1338" t="str">
        <f t="shared" ref="Q25" si="9">B25</f>
        <v>基础设施水平</v>
      </c>
      <c r="R25" s="701" t="s">
        <v>14</v>
      </c>
      <c r="S25" s="702">
        <f>F25</f>
        <v>100</v>
      </c>
      <c r="T25" s="701" t="s">
        <v>14</v>
      </c>
      <c r="U25" s="702">
        <f>H25</f>
        <v>100</v>
      </c>
      <c r="V25" s="701" t="s">
        <v>14</v>
      </c>
      <c r="W25" s="702">
        <f>J25</f>
        <v>100</v>
      </c>
      <c r="X25" s="703"/>
      <c r="Y25" s="3702"/>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702"/>
      <c r="Q26" s="1338"/>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2"/>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702"/>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2"/>
      <c r="Q28" s="1347" t="str">
        <f t="shared" si="8"/>
        <v>毗邻道路的类型与等级</v>
      </c>
      <c r="R28" s="705" t="s">
        <v>14</v>
      </c>
      <c r="S28" s="706">
        <f t="shared" si="10"/>
        <v>100</v>
      </c>
      <c r="T28" s="705" t="s">
        <v>14</v>
      </c>
      <c r="U28" s="706">
        <f t="shared" si="11"/>
        <v>100</v>
      </c>
      <c r="V28" s="705" t="s">
        <v>14</v>
      </c>
      <c r="W28" s="706">
        <f t="shared" si="12"/>
        <v>100</v>
      </c>
      <c r="X28" s="1350"/>
      <c r="Y28" s="3702"/>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702"/>
      <c r="Q29" s="1347"/>
      <c r="R29" s="705"/>
      <c r="S29" s="706"/>
      <c r="T29" s="705"/>
      <c r="U29" s="706"/>
      <c r="V29" s="705"/>
      <c r="W29" s="706"/>
      <c r="X29" s="1350"/>
      <c r="Y29" s="3702"/>
      <c r="Z29" s="1351"/>
      <c r="AA29" s="1348">
        <v>1</v>
      </c>
      <c r="AB29" s="1348">
        <v>1</v>
      </c>
      <c r="AC29" s="1348">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2"/>
      <c r="Q30" s="1347" t="str">
        <f t="shared" si="8"/>
        <v>土地级别</v>
      </c>
      <c r="R30" s="705" t="s">
        <v>14</v>
      </c>
      <c r="S30" s="706">
        <f t="shared" si="10"/>
        <v>100</v>
      </c>
      <c r="T30" s="705" t="s">
        <v>14</v>
      </c>
      <c r="U30" s="706">
        <f t="shared" si="11"/>
        <v>100</v>
      </c>
      <c r="V30" s="705" t="s">
        <v>14</v>
      </c>
      <c r="W30" s="706">
        <f t="shared" si="12"/>
        <v>100</v>
      </c>
      <c r="X30" s="1350"/>
      <c r="Y30" s="3702"/>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2"/>
      <c r="Q31" s="1347">
        <f t="shared" si="8"/>
        <v>111</v>
      </c>
      <c r="R31" s="705" t="s">
        <v>14</v>
      </c>
      <c r="S31" s="706">
        <f t="shared" si="10"/>
        <v>100</v>
      </c>
      <c r="T31" s="705" t="s">
        <v>14</v>
      </c>
      <c r="U31" s="706">
        <f t="shared" si="11"/>
        <v>100</v>
      </c>
      <c r="V31" s="705" t="s">
        <v>14</v>
      </c>
      <c r="W31" s="706">
        <f t="shared" si="12"/>
        <v>100</v>
      </c>
      <c r="X31" s="1350"/>
      <c r="Y31" s="3702"/>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25" t="s">
        <v>1696</v>
      </c>
      <c r="Q32" s="1347">
        <f t="shared" si="8"/>
        <v>111</v>
      </c>
      <c r="R32" s="705" t="s">
        <v>14</v>
      </c>
      <c r="S32" s="706">
        <f t="shared" si="10"/>
        <v>100</v>
      </c>
      <c r="T32" s="705" t="s">
        <v>14</v>
      </c>
      <c r="U32" s="706">
        <f t="shared" si="11"/>
        <v>100</v>
      </c>
      <c r="V32" s="705" t="s">
        <v>14</v>
      </c>
      <c r="W32" s="706">
        <f t="shared" si="12"/>
        <v>100</v>
      </c>
      <c r="X32" s="1350"/>
      <c r="Y32" s="3706"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6"/>
      <c r="Q33" s="1347">
        <f t="shared" si="8"/>
        <v>111</v>
      </c>
      <c r="R33" s="708" t="s">
        <v>14</v>
      </c>
      <c r="S33" s="709">
        <f t="shared" si="10"/>
        <v>100</v>
      </c>
      <c r="T33" s="708" t="s">
        <v>14</v>
      </c>
      <c r="U33" s="709">
        <f t="shared" si="11"/>
        <v>100</v>
      </c>
      <c r="V33" s="708" t="s">
        <v>14</v>
      </c>
      <c r="W33" s="709">
        <f t="shared" si="12"/>
        <v>100</v>
      </c>
      <c r="X33" s="710"/>
      <c r="Y33" s="3706"/>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6"/>
      <c r="Q34" s="1347" t="str">
        <f>B34</f>
        <v>宗地面积</v>
      </c>
      <c r="R34" s="705" t="s">
        <v>14</v>
      </c>
      <c r="S34" s="706" t="e">
        <f t="shared" si="10"/>
        <v>#N/A</v>
      </c>
      <c r="T34" s="705" t="s">
        <v>14</v>
      </c>
      <c r="U34" s="706" t="e">
        <f t="shared" si="11"/>
        <v>#N/A</v>
      </c>
      <c r="V34" s="705" t="s">
        <v>14</v>
      </c>
      <c r="W34" s="706" t="e">
        <f t="shared" si="12"/>
        <v>#N/A</v>
      </c>
      <c r="X34" s="1350"/>
      <c r="Y34" s="3706"/>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706"/>
      <c r="Q35" s="1347" t="str">
        <f t="shared" ref="Q35:Q40" si="14">B35</f>
        <v>宗地形状</v>
      </c>
      <c r="R35" s="705" t="s">
        <v>14</v>
      </c>
      <c r="S35" s="706">
        <f t="shared" si="10"/>
        <v>100</v>
      </c>
      <c r="T35" s="705" t="s">
        <v>14</v>
      </c>
      <c r="U35" s="706">
        <f t="shared" si="11"/>
        <v>100</v>
      </c>
      <c r="V35" s="705" t="s">
        <v>14</v>
      </c>
      <c r="W35" s="706">
        <f t="shared" si="12"/>
        <v>100</v>
      </c>
      <c r="X35" s="1350"/>
      <c r="Y35" s="3706"/>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06"/>
      <c r="Q36" s="1347"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706" t="s">
        <v>1696</v>
      </c>
      <c r="Q37" s="1347" t="str">
        <f t="shared" si="14"/>
        <v>工程地质条件</v>
      </c>
      <c r="R37" s="705" t="s">
        <v>14</v>
      </c>
      <c r="S37" s="706">
        <f t="shared" si="10"/>
        <v>100</v>
      </c>
      <c r="T37" s="705" t="s">
        <v>14</v>
      </c>
      <c r="U37" s="706">
        <f t="shared" si="11"/>
        <v>100</v>
      </c>
      <c r="V37" s="705" t="s">
        <v>14</v>
      </c>
      <c r="W37" s="706">
        <f t="shared" si="12"/>
        <v>100</v>
      </c>
      <c r="X37" s="1350"/>
      <c r="Y37" s="3706" t="s">
        <v>1696</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6"/>
      <c r="Q38" s="1347">
        <f t="shared" si="14"/>
        <v>111</v>
      </c>
      <c r="R38" s="705" t="s">
        <v>14</v>
      </c>
      <c r="S38" s="706">
        <f t="shared" si="10"/>
        <v>100</v>
      </c>
      <c r="T38" s="705" t="s">
        <v>14</v>
      </c>
      <c r="U38" s="706">
        <f t="shared" si="11"/>
        <v>100</v>
      </c>
      <c r="V38" s="705" t="s">
        <v>14</v>
      </c>
      <c r="W38" s="706">
        <f t="shared" si="12"/>
        <v>100</v>
      </c>
      <c r="X38" s="1350"/>
      <c r="Y38" s="3706"/>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6"/>
      <c r="Q39" s="1347">
        <f t="shared" si="14"/>
        <v>111</v>
      </c>
      <c r="R39" s="705" t="s">
        <v>14</v>
      </c>
      <c r="S39" s="706">
        <f t="shared" si="10"/>
        <v>100</v>
      </c>
      <c r="T39" s="705" t="s">
        <v>14</v>
      </c>
      <c r="U39" s="706">
        <f t="shared" si="11"/>
        <v>100</v>
      </c>
      <c r="V39" s="705" t="s">
        <v>14</v>
      </c>
      <c r="W39" s="706">
        <f t="shared" si="12"/>
        <v>100</v>
      </c>
      <c r="X39" s="1350"/>
      <c r="Y39" s="3706"/>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6"/>
      <c r="Q40" s="1347">
        <f t="shared" si="14"/>
        <v>111</v>
      </c>
      <c r="R40" s="708" t="s">
        <v>14</v>
      </c>
      <c r="S40" s="709">
        <f t="shared" si="10"/>
        <v>100</v>
      </c>
      <c r="T40" s="708" t="s">
        <v>14</v>
      </c>
      <c r="U40" s="709">
        <f t="shared" si="11"/>
        <v>100</v>
      </c>
      <c r="V40" s="708" t="s">
        <v>14</v>
      </c>
      <c r="W40" s="709">
        <f t="shared" si="12"/>
        <v>100</v>
      </c>
      <c r="X40" s="710"/>
      <c r="Y40" s="3706"/>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9"/>
      <c r="M41" s="2711"/>
      <c r="N41" s="2711"/>
      <c r="O41" s="2720"/>
      <c r="P41" s="3699" t="str">
        <f>A41</f>
        <v>成交单价</v>
      </c>
      <c r="Q41" s="3699"/>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9"/>
      <c r="M42" s="2711"/>
      <c r="N42" s="2711"/>
      <c r="O42" s="2720"/>
      <c r="P42" s="3699" t="str">
        <f>A42</f>
        <v>比较价值（元/平方米）</v>
      </c>
      <c r="Q42" s="369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96" t="str">
        <f>A43</f>
        <v>估价对象XX用房的比较价值（楼面单价，元/平方米）</v>
      </c>
      <c r="Q43" s="3697"/>
      <c r="R43" s="3728" t="e">
        <f>ROUND(IF(D42="简单平均",AVERAGE(R42:W42),R42*F42+T42*H42+V42*J42),0)</f>
        <v>#DIV/0!</v>
      </c>
      <c r="S43" s="3728"/>
      <c r="T43" s="3728"/>
      <c r="U43" s="3728"/>
      <c r="V43" s="3728"/>
      <c r="W43" s="372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8" t="s">
        <v>1883</v>
      </c>
      <c r="D50" s="1979" t="s">
        <v>1884</v>
      </c>
      <c r="E50" s="634" t="s">
        <v>1885</v>
      </c>
      <c r="F50" s="635" t="s">
        <v>1886</v>
      </c>
      <c r="G50" s="3682" t="s">
        <v>1887</v>
      </c>
      <c r="H50" s="3729"/>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0">
        <v>1</v>
      </c>
      <c r="E51" s="638">
        <f>'数据-汇总表'!E8+'数据-汇总表'!E9</f>
        <v>573.27</v>
      </c>
      <c r="F51" s="639" t="e">
        <f t="shared" ref="F51:F60" si="15">ROUND(B51*E51/10000,0)</f>
        <v>#DIV/0!</v>
      </c>
      <c r="G51" s="3681"/>
      <c r="H51" s="3699"/>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1">
        <v>0.25</v>
      </c>
      <c r="E52" s="642"/>
      <c r="F52" s="639" t="e">
        <f t="shared" si="15"/>
        <v>#DIV/0!</v>
      </c>
      <c r="G52" s="3001" t="s">
        <v>1892</v>
      </c>
      <c r="H52" s="883" t="str">
        <f>项目基本情况!B37</f>
        <v>七级</v>
      </c>
      <c r="I52" s="769">
        <f>SUMIF(修正!A57:A68,H52,修正!B57:B68)</f>
        <v>0.6</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1">
        <v>0.25</v>
      </c>
      <c r="E53" s="642"/>
      <c r="F53" s="639" t="e">
        <f t="shared" si="15"/>
        <v>#DIV/0!</v>
      </c>
      <c r="G53" s="3002"/>
      <c r="H53" s="883" t="str">
        <f>项目基本情况!B37</f>
        <v>七级</v>
      </c>
      <c r="I53" s="769">
        <f>SUMIF(修正!A57:A68,H53,修正!C57:C68)</f>
        <v>0.3</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1">
        <v>0.25</v>
      </c>
      <c r="E54" s="642"/>
      <c r="F54" s="639" t="e">
        <f t="shared" si="15"/>
        <v>#DIV/0!</v>
      </c>
      <c r="G54" s="3002"/>
      <c r="H54" s="883" t="str">
        <f>项目基本情况!B37</f>
        <v>七级</v>
      </c>
      <c r="I54" s="769">
        <f>SUMIF(修正!A57:A68,H54,修正!D57:D68)</f>
        <v>0.25</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1">
        <v>0.25</v>
      </c>
      <c r="E56" s="217">
        <f>'数据-汇总表'!E11</f>
        <v>0</v>
      </c>
      <c r="F56" s="639" t="e">
        <f t="shared" si="15"/>
        <v>#DIV/0!</v>
      </c>
      <c r="G56" s="1982" t="s">
        <v>1896</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1">
        <v>0.25</v>
      </c>
      <c r="E59" s="217">
        <f>'数据-汇总表'!E14</f>
        <v>0</v>
      </c>
      <c r="F59" s="639" t="e">
        <f t="shared" si="15"/>
        <v>#DIV/0!</v>
      </c>
      <c r="G59" s="1982" t="s">
        <v>1892</v>
      </c>
      <c r="H59" s="883" t="str">
        <f>项目基本情况!B37</f>
        <v>七级</v>
      </c>
      <c r="I59" s="769">
        <f>SUMIF(修正!A57:A68,H59,修正!G57:G68)</f>
        <v>0.15</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1">
        <v>0.25</v>
      </c>
      <c r="E60" s="217">
        <f>'数据-汇总表'!E15</f>
        <v>0</v>
      </c>
      <c r="F60" s="639" t="e">
        <f t="shared" si="15"/>
        <v>#DIV/0!</v>
      </c>
      <c r="G60" s="1983" t="s">
        <v>1896</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1904</v>
      </c>
      <c r="B65" s="1105"/>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37" t="s">
        <v>2084</v>
      </c>
      <c r="D1" s="3738"/>
      <c r="E1" s="3738"/>
      <c r="F1" s="3738"/>
      <c r="G1" s="3738"/>
      <c r="H1" s="3738"/>
      <c r="I1" s="3738"/>
      <c r="J1" s="3738"/>
      <c r="K1" s="3738"/>
      <c r="L1" s="3738"/>
      <c r="M1" s="3738"/>
      <c r="N1" s="3738"/>
      <c r="O1" s="3738"/>
      <c r="P1" s="3738"/>
      <c r="Q1" s="3738"/>
      <c r="R1" s="3738"/>
      <c r="S1" s="3739"/>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4"/>
      <c r="G4" s="1304"/>
      <c r="H4" s="1304"/>
      <c r="I4" s="1304"/>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1" t="s">
        <v>2087</v>
      </c>
      <c r="C5" s="991"/>
      <c r="D5" s="992"/>
      <c r="E5" s="992"/>
      <c r="F5" s="1307"/>
      <c r="G5" s="1307"/>
      <c r="H5" s="1307"/>
      <c r="I5" s="1307"/>
      <c r="J5" s="1307"/>
      <c r="K5" s="1307"/>
      <c r="L5" s="1308"/>
      <c r="M5" s="1309"/>
      <c r="N5" s="1309"/>
      <c r="O5" s="1307"/>
      <c r="P5" s="1307"/>
      <c r="Q5" s="1307"/>
      <c r="R5" s="1307"/>
      <c r="S5" s="1310"/>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2088</v>
      </c>
      <c r="C7" s="900"/>
      <c r="D7" s="894"/>
      <c r="E7" s="894"/>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2" t="s">
        <v>2089</v>
      </c>
      <c r="C9" s="900"/>
      <c r="D9" s="894"/>
      <c r="E9" s="894"/>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5" t="s">
        <v>2095</v>
      </c>
      <c r="E19" s="1335"/>
      <c r="F19" s="1335"/>
      <c r="G19" s="1335"/>
      <c r="H19" s="1055"/>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9" t="e">
        <f ca="1">SUMIF(INDIRECT("'"&amp;H20&amp;"'"&amp;"!A:A"),"承租人权益价值",INDIRECT("'"&amp;H20&amp;"'"&amp;"!c:c"))</f>
        <v>#REF!</v>
      </c>
      <c r="G20" s="979"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572</v>
      </c>
      <c r="C2" s="2140" t="s">
        <v>2074</v>
      </c>
      <c r="D2" s="2140" t="s">
        <v>2075</v>
      </c>
      <c r="E2" s="2607">
        <f ca="1">SUMIF(E6:E13,"&lt;&gt;#ref!",E6:E13)</f>
        <v>573.27</v>
      </c>
      <c r="F2" s="2788"/>
      <c r="G2" s="2788"/>
      <c r="H2" s="2788"/>
      <c r="I2" s="2788"/>
      <c r="J2" s="2788"/>
      <c r="K2" s="2788"/>
      <c r="L2" s="2788"/>
      <c r="M2" s="2788"/>
      <c r="N2" s="2788"/>
      <c r="O2" s="2788"/>
      <c r="P2" s="2788"/>
    </row>
    <row r="3" spans="1:16" ht="15.75">
      <c r="A3" s="2140" t="s">
        <v>2076</v>
      </c>
      <c r="B3" s="2597">
        <f ca="1">ROUND(B2*10000/E2,0)</f>
        <v>9978</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572</v>
      </c>
      <c r="C6" s="2140" t="s">
        <v>2074</v>
      </c>
      <c r="D6" s="2788"/>
      <c r="E6" s="2607">
        <f ca="1">SUMIF(INDIRECT("'"&amp;A6&amp;"'"&amp;"!C:C"),"建筑面积",INDIRECT("'"&amp;A6&amp;"'"&amp;"!D:D"))</f>
        <v>573.27</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40" sqref="D4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573.27</v>
      </c>
      <c r="E1" s="1990"/>
      <c r="F1" s="1990"/>
      <c r="G1" s="1990"/>
      <c r="H1" s="1990"/>
      <c r="I1" s="1990"/>
      <c r="J1" s="1990"/>
      <c r="K1" s="1115"/>
      <c r="L1" s="1991" t="s">
        <v>1928</v>
      </c>
      <c r="M1" s="859">
        <f>SUMPRODUCT((区片价!B5:B9=I2)*(区片价!C3:G3=E2)*(区片价!C5:G9))</f>
        <v>0</v>
      </c>
      <c r="N1" s="862">
        <f>SUMPRODUCT((因素修正幅度!B5:B9=I2)*(因素修正幅度!C3:G3=E2)*(因素修正幅度!C5:G9))</f>
        <v>0</v>
      </c>
      <c r="O1" s="1992"/>
      <c r="P1" s="1992"/>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572</v>
      </c>
      <c r="C2" s="1994" t="s">
        <v>1935</v>
      </c>
      <c r="D2" s="1995" t="s">
        <v>1936</v>
      </c>
      <c r="E2" s="3416" t="s">
        <v>673</v>
      </c>
      <c r="F2" s="1995" t="s">
        <v>1937</v>
      </c>
      <c r="G2" s="1996" t="str">
        <f>IF(E2="商业",项目基本情况!B37,IF(E2="办公",项目基本情况!C37,IF(E2="住宅",项目基本情况!D37,IF(E2="工业",项目基本情况!E37,项目基本情况!F37))))</f>
        <v>七级</v>
      </c>
      <c r="H2" s="1995" t="s">
        <v>1938</v>
      </c>
      <c r="I2" s="1996" t="str">
        <f>IF(E2="商业",项目基本情况!B38,IF(E2="办公",项目基本情况!C38,IF(E2="住宅",项目基本情况!D38,IF(E2="工业",项目基本情况!E38,项目基本情况!F38))))</f>
        <v>Ⅶ-房1</v>
      </c>
      <c r="J2" s="1997"/>
      <c r="K2" s="1115"/>
      <c r="L2" s="1998" t="s">
        <v>1939</v>
      </c>
      <c r="M2" s="860">
        <f>SUMPRODUCT((区片价!B10:B29=I2)*(区片价!C3:G3=E2)*(区片价!C10:G29))</f>
        <v>0</v>
      </c>
      <c r="N2" s="862">
        <f>SUMPRODUCT((因素修正幅度!B10:B29=I2)*(因素修正幅度!C3:G3=E2)*(因素修正幅度!C10:G29))</f>
        <v>0</v>
      </c>
      <c r="O2" s="1115"/>
      <c r="P2" s="1115"/>
      <c r="Q2" s="1115"/>
      <c r="R2" s="1207">
        <v>1</v>
      </c>
      <c r="S2" s="3355">
        <f>ROUND(SUMPRODUCT((B106:B110=R2)*(C105:N105=G2)*(C106:N110)),4)</f>
        <v>1.5019</v>
      </c>
      <c r="T2" s="3355">
        <f t="shared" ref="T2:T16" si="0">ROUND($C$5*$C$22*$C$23*$C$24*S2*$C$28,0)</f>
        <v>9978</v>
      </c>
      <c r="U2" s="1208">
        <f>'数据-汇总表'!F19</f>
        <v>573.27</v>
      </c>
      <c r="V2" s="3355">
        <f>ROUND(T2*U2/10000,0)</f>
        <v>572</v>
      </c>
      <c r="W2" s="1211"/>
      <c r="X2" s="1211"/>
      <c r="Y2" s="1211"/>
      <c r="Z2" s="1211"/>
      <c r="AA2" s="1211"/>
      <c r="AB2" s="1211"/>
      <c r="AC2" s="1212"/>
      <c r="AD2" s="1213"/>
      <c r="AE2" s="1213"/>
      <c r="AF2" s="1213"/>
      <c r="AG2" s="1213"/>
      <c r="AH2" s="1213"/>
      <c r="AI2" s="1213"/>
      <c r="AJ2" s="1214"/>
    </row>
    <row r="3" spans="1:36" ht="15.75">
      <c r="A3" s="203" t="s">
        <v>1940</v>
      </c>
      <c r="B3" s="204">
        <f>ROUND(B2*10000/D1,0)</f>
        <v>9978</v>
      </c>
      <c r="C3" s="1994" t="s">
        <v>1941</v>
      </c>
      <c r="D3" s="1995" t="s">
        <v>1942</v>
      </c>
      <c r="E3" s="3414" t="s">
        <v>2443</v>
      </c>
      <c r="F3" s="1999" t="s">
        <v>3399</v>
      </c>
      <c r="G3" s="748">
        <f>IF(F3="宗地容积率",'数据-汇总表'!I4,IF(F3="估价对象容积率",'数据-汇总表'!I6,'数据-汇总表'!I7))</f>
        <v>0</v>
      </c>
      <c r="H3" s="170" t="s">
        <v>1943</v>
      </c>
      <c r="I3" s="771">
        <v>3</v>
      </c>
      <c r="J3" s="1997" t="s">
        <v>1944</v>
      </c>
      <c r="K3" s="1115"/>
      <c r="L3" s="1998" t="s">
        <v>1945</v>
      </c>
      <c r="M3" s="860">
        <f>SUMPRODUCT((区片价!B30:B54=I2)*(区片价!C3:G3=E2)*(区片价!C30:G54))</f>
        <v>0</v>
      </c>
      <c r="N3" s="862">
        <f>SUMPRODUCT((因素修正幅度!B30:B54=I2)*(因素修正幅度!C3:G3=E2)*(因素修正幅度!C30:G54))</f>
        <v>0</v>
      </c>
      <c r="O3" s="1115"/>
      <c r="P3" s="1115"/>
      <c r="Q3" s="1115"/>
      <c r="R3" s="1207">
        <v>2</v>
      </c>
      <c r="S3" s="3355">
        <f>ROUND(SUMPRODUCT((B106:B110=R3)*(C105:N105=G2)*(C106:N110)),4)</f>
        <v>1.1838</v>
      </c>
      <c r="T3" s="3355">
        <f t="shared" si="0"/>
        <v>7864</v>
      </c>
      <c r="U3" s="1208">
        <f>'数据-汇总表'!F20</f>
        <v>0</v>
      </c>
      <c r="V3" s="3355">
        <f t="shared" ref="V3:V16" si="1">ROUND(T3*U3/10000,0)</f>
        <v>0</v>
      </c>
      <c r="W3" s="1211"/>
      <c r="X3" s="1211"/>
      <c r="Y3" s="1211"/>
      <c r="Z3" s="1211"/>
      <c r="AA3" s="1211"/>
      <c r="AB3" s="1211"/>
      <c r="AC3" s="1212"/>
      <c r="AD3" s="1213"/>
      <c r="AE3" s="1213"/>
      <c r="AF3" s="1213"/>
      <c r="AG3" s="1213"/>
      <c r="AH3" s="1213"/>
      <c r="AI3" s="1213"/>
      <c r="AJ3" s="1214"/>
    </row>
    <row r="4" spans="1:36" ht="15.75">
      <c r="A4" s="3747"/>
      <c r="B4" s="3748"/>
      <c r="C4" s="3748"/>
      <c r="D4" s="3749"/>
      <c r="E4" s="3749"/>
      <c r="F4" s="3749"/>
      <c r="G4" s="3749"/>
      <c r="H4" s="3749"/>
      <c r="I4" s="3749"/>
      <c r="J4" s="3750"/>
      <c r="K4" s="1115"/>
      <c r="L4" s="1998" t="s">
        <v>1946</v>
      </c>
      <c r="M4" s="860">
        <f>SUMPRODUCT((区片价!B55:B86=I2)*(区片价!C3:G3=E2)*(区片价!C55:G86))</f>
        <v>0</v>
      </c>
      <c r="N4" s="862">
        <f>SUMPRODUCT((因素修正幅度!B55:B86=I2)*(因素修正幅度!C3:G3=E2)*(因素修正幅度!C55:G86))</f>
        <v>0</v>
      </c>
      <c r="O4" s="1115"/>
      <c r="P4" s="1115"/>
      <c r="Q4" s="1115"/>
      <c r="R4" s="1207">
        <v>3</v>
      </c>
      <c r="S4" s="3355">
        <f>ROUND(SUMPRODUCT((B106:B110=R4)*(C105:N105=G2)*(C106:N110)),4)</f>
        <v>1.0004999999999999</v>
      </c>
      <c r="T4" s="3355">
        <f t="shared" si="0"/>
        <v>6647</v>
      </c>
      <c r="U4" s="1208"/>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9">
        <f>ROUND(IF(E2="商业",C6*C7*C17+C20,(IF(E2="住宅",C6*C13*C17+C20,IF(E2="办公",C6*C12*C17+C20,C6+C20)))),0)</f>
        <v>8440</v>
      </c>
      <c r="D5" s="1334">
        <f>ROUND(C6*C17+C20,0)</f>
        <v>8440</v>
      </c>
      <c r="E5" s="1334"/>
      <c r="F5" s="2002"/>
      <c r="G5" s="2003"/>
      <c r="H5" s="2003"/>
      <c r="I5" s="2003"/>
      <c r="J5" s="2004"/>
      <c r="K5" s="2005"/>
      <c r="L5" s="1998" t="s">
        <v>1948</v>
      </c>
      <c r="M5" s="860">
        <f>SUMPRODUCT((区片价!B87:B126=I2)*(区片价!C3:G3=E2)*(区片价!C87:G126))</f>
        <v>0</v>
      </c>
      <c r="N5" s="862">
        <f>SUMPRODUCT((因素修正幅度!B87:B126=I2)*(因素修正幅度!C3:G3=E2)*(因素修正幅度!C87:G126))</f>
        <v>0</v>
      </c>
      <c r="O5" s="1115"/>
      <c r="P5" s="1115"/>
      <c r="Q5" s="1115"/>
      <c r="R5" s="1207">
        <v>4</v>
      </c>
      <c r="S5" s="3355">
        <f>ROUND(SUMPRODUCT((B106:B110=R5)*(C105:N105=G2)*(C106:N110)),4)</f>
        <v>0.88239999999999996</v>
      </c>
      <c r="T5" s="3355">
        <f t="shared" si="0"/>
        <v>5862</v>
      </c>
      <c r="U5" s="1208"/>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50">
        <f>SUMIF(L1:L12,G2,M1:M12)</f>
        <v>8440</v>
      </c>
      <c r="D6" s="2012"/>
      <c r="E6" s="2013"/>
      <c r="F6" s="2013"/>
      <c r="G6" s="2014"/>
      <c r="H6" s="2014"/>
      <c r="I6" s="2014"/>
      <c r="J6" s="2015"/>
      <c r="K6" s="1379"/>
      <c r="L6" s="1998" t="s">
        <v>1951</v>
      </c>
      <c r="M6" s="860">
        <f>SUMPRODUCT((区片价!B127:B189=I2)*(区片价!C3:G3=E2)*(区片价!C127:G189))</f>
        <v>0</v>
      </c>
      <c r="N6" s="862">
        <f>SUMPRODUCT((因素修正幅度!B127:B189=I2)*(因素修正幅度!C3:G3=E2)*(因素修正幅度!C127:G189))</f>
        <v>0</v>
      </c>
      <c r="O6" s="1115"/>
      <c r="P6" s="1115"/>
      <c r="Q6" s="1115"/>
      <c r="R6" s="1207">
        <v>5</v>
      </c>
      <c r="S6" s="3355">
        <f>ROUND(SUMPRODUCT((B106:B110=R6)*(C105:N105=G2)*(C106:N110)),4)</f>
        <v>0.84799999999999998</v>
      </c>
      <c r="T6" s="3355">
        <f t="shared" si="0"/>
        <v>5634</v>
      </c>
      <c r="U6" s="1208"/>
      <c r="V6" s="3355">
        <f t="shared" si="1"/>
        <v>0</v>
      </c>
      <c r="W6" s="1211"/>
      <c r="X6" s="1211"/>
      <c r="Y6" s="1211"/>
      <c r="Z6" s="1211"/>
      <c r="AA6" s="1211"/>
      <c r="AB6" s="1211"/>
      <c r="AC6" s="2006"/>
      <c r="AD6" s="2007"/>
      <c r="AE6" s="2007"/>
      <c r="AF6" s="2007"/>
      <c r="AG6" s="2007"/>
      <c r="AH6" s="2007"/>
      <c r="AI6" s="2007"/>
      <c r="AJ6" s="2008"/>
    </row>
    <row r="7" spans="1:36" ht="24.75" thickBot="1">
      <c r="A7" s="3299" t="s">
        <v>3241</v>
      </c>
      <c r="B7" s="2016" t="s">
        <v>1952</v>
      </c>
      <c r="C7" s="751">
        <f>IF(C8="不临65条商业街",1,ROUND(1+(1.6*E8+1.2*E9+0.8*E10+0.4*E11)*C9,4))</f>
        <v>1</v>
      </c>
      <c r="D7" s="2017" t="s">
        <v>1953</v>
      </c>
      <c r="E7" s="772"/>
      <c r="F7" s="2018"/>
      <c r="G7" s="2019"/>
      <c r="H7" s="2019"/>
      <c r="I7" s="2019"/>
      <c r="J7" s="2020"/>
      <c r="K7" s="1379"/>
      <c r="L7" s="1998" t="s">
        <v>1954</v>
      </c>
      <c r="M7" s="860">
        <f>SUMPRODUCT((区片价!B190:B233=I2)*(区片价!C3:G3=E2)*(区片价!C190:G233))</f>
        <v>8440</v>
      </c>
      <c r="N7" s="862">
        <f>SUMPRODUCT((因素修正幅度!B190:B233=I2)*(因素修正幅度!C3:G3=E2)*(因素修正幅度!C190:G233))</f>
        <v>0.13</v>
      </c>
      <c r="O7" s="1115"/>
      <c r="P7" s="1115"/>
      <c r="Q7" s="1115"/>
      <c r="R7" s="1207">
        <v>6</v>
      </c>
      <c r="S7" s="3413"/>
      <c r="T7" s="3355">
        <f t="shared" si="0"/>
        <v>0</v>
      </c>
      <c r="U7" s="1208"/>
      <c r="V7" s="3355">
        <f t="shared" si="1"/>
        <v>0</v>
      </c>
      <c r="W7" s="1353" t="s">
        <v>1955</v>
      </c>
      <c r="X7" s="1209" t="str">
        <f>G2</f>
        <v>七级</v>
      </c>
      <c r="Y7" s="1209" t="s">
        <v>1956</v>
      </c>
      <c r="Z7" s="1210">
        <f>G3</f>
        <v>0</v>
      </c>
      <c r="AA7" s="1211"/>
      <c r="AB7" s="1211"/>
      <c r="AC7" s="1212"/>
      <c r="AD7" s="1213"/>
      <c r="AE7" s="1213"/>
      <c r="AF7" s="1213"/>
      <c r="AG7" s="1213"/>
      <c r="AH7" s="1213"/>
      <c r="AI7" s="1213"/>
      <c r="AJ7" s="1214"/>
    </row>
    <row r="8" spans="1:36" ht="25.5">
      <c r="A8" s="3294"/>
      <c r="B8" s="170" t="s">
        <v>1957</v>
      </c>
      <c r="C8" s="2021" t="s">
        <v>3400</v>
      </c>
      <c r="D8" s="752" t="s">
        <v>112</v>
      </c>
      <c r="E8" s="753" t="e">
        <f>ROUND(C11/E7,4)</f>
        <v>#DIV/0!</v>
      </c>
      <c r="F8" s="2022" t="s">
        <v>1958</v>
      </c>
      <c r="G8" s="2023"/>
      <c r="H8" s="2023"/>
      <c r="I8" s="2023"/>
      <c r="J8" s="2024"/>
      <c r="K8" s="1115"/>
      <c r="L8" s="1998" t="s">
        <v>1959</v>
      </c>
      <c r="M8" s="860">
        <f>SUMPRODUCT((区片价!B234:B276=I2)*(区片价!C3:G3=E2)*(区片价!C234:G276))</f>
        <v>0</v>
      </c>
      <c r="N8" s="862">
        <f>SUMPRODUCT((因素修正幅度!B234:B276=I2)*(因素修正幅度!C3:G3=E2)*(因素修正幅度!C234:G276))</f>
        <v>0</v>
      </c>
      <c r="O8" s="1115"/>
      <c r="P8" s="1115"/>
      <c r="Q8" s="1115"/>
      <c r="R8" s="1207">
        <v>7</v>
      </c>
      <c r="S8" s="1208"/>
      <c r="T8" s="3355">
        <f t="shared" si="0"/>
        <v>0</v>
      </c>
      <c r="U8" s="1208"/>
      <c r="V8" s="3355">
        <f t="shared" si="1"/>
        <v>0</v>
      </c>
      <c r="W8" s="3744" t="s">
        <v>1960</v>
      </c>
      <c r="X8" s="3745"/>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4"/>
      <c r="B9" s="170" t="s">
        <v>1973</v>
      </c>
      <c r="C9" s="754">
        <f>SUMIF(修正!C71:C138,C8,修正!E71:E138)</f>
        <v>0</v>
      </c>
      <c r="D9" s="171" t="s">
        <v>113</v>
      </c>
      <c r="E9" s="171" t="e">
        <f>ROUND(C11/E7,4)</f>
        <v>#DIV/0!</v>
      </c>
      <c r="F9" s="2022" t="s">
        <v>1974</v>
      </c>
      <c r="G9" s="2023"/>
      <c r="H9" s="2023"/>
      <c r="I9" s="2023"/>
      <c r="J9" s="2024"/>
      <c r="K9" s="1115"/>
      <c r="L9" s="1998" t="s">
        <v>1975</v>
      </c>
      <c r="M9" s="860">
        <f>SUMPRODUCT((区片价!B277:B326=I2)*(区片价!C3:G3=E2)*(区片价!C277:G326))</f>
        <v>0</v>
      </c>
      <c r="N9" s="862">
        <f>SUMPRODUCT((因素修正幅度!B277:B326=I2)*(因素修正幅度!C3:G3=E2)*(因素修正幅度!C277:G326))</f>
        <v>0</v>
      </c>
      <c r="O9" s="1115"/>
      <c r="P9" s="1115"/>
      <c r="Q9" s="1115"/>
      <c r="R9" s="1207">
        <v>8</v>
      </c>
      <c r="S9" s="1208"/>
      <c r="T9" s="3355">
        <f t="shared" si="0"/>
        <v>0</v>
      </c>
      <c r="U9" s="1208"/>
      <c r="V9" s="3355">
        <f t="shared" si="1"/>
        <v>0</v>
      </c>
      <c r="W9" s="3746"/>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4"/>
      <c r="B10" s="170" t="s">
        <v>1976</v>
      </c>
      <c r="C10" s="171">
        <f>SUMIF(修正!C71:C138,C8,修正!F71:F138)</f>
        <v>0</v>
      </c>
      <c r="D10" s="171" t="s">
        <v>114</v>
      </c>
      <c r="E10" s="171" t="e">
        <f>ROUND(C11/E7,4)</f>
        <v>#DIV/0!</v>
      </c>
      <c r="F10" s="2022" t="s">
        <v>1977</v>
      </c>
      <c r="G10" s="2023"/>
      <c r="H10" s="2023"/>
      <c r="I10" s="2023"/>
      <c r="J10" s="2024"/>
      <c r="K10" s="1115"/>
      <c r="L10" s="1998"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55">
        <f t="shared" si="0"/>
        <v>0</v>
      </c>
      <c r="U10" s="1208"/>
      <c r="V10" s="3355">
        <f t="shared" si="1"/>
        <v>0</v>
      </c>
      <c r="W10" s="374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8"/>
      <c r="B11" s="2025" t="s">
        <v>1979</v>
      </c>
      <c r="C11" s="755">
        <f>C10/4</f>
        <v>0</v>
      </c>
      <c r="D11" s="755" t="s">
        <v>115</v>
      </c>
      <c r="E11" s="755" t="e">
        <f>ROUND(C11/E7,4)</f>
        <v>#DIV/0!</v>
      </c>
      <c r="F11" s="2026" t="s">
        <v>1980</v>
      </c>
      <c r="G11" s="2027"/>
      <c r="H11" s="2027"/>
      <c r="I11" s="2027"/>
      <c r="J11" s="2028"/>
      <c r="K11" s="1115"/>
      <c r="L11" s="1998"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55">
        <f t="shared" si="0"/>
        <v>0</v>
      </c>
      <c r="U11" s="1208"/>
      <c r="V11" s="3355">
        <f t="shared" si="1"/>
        <v>0</v>
      </c>
      <c r="W11" s="1211"/>
      <c r="X11" s="1211"/>
      <c r="Y11" s="1211"/>
      <c r="Z11" s="1211"/>
      <c r="AA11" s="1211"/>
      <c r="AB11" s="1211"/>
      <c r="AC11" s="1212"/>
      <c r="AD11" s="2784"/>
      <c r="AE11" s="2784"/>
      <c r="AF11" s="2784"/>
      <c r="AG11" s="2784"/>
      <c r="AH11" s="2784"/>
      <c r="AI11" s="2784"/>
      <c r="AJ11" s="2785"/>
    </row>
    <row r="12" spans="1:36" ht="25.5" thickBot="1">
      <c r="A12" s="3299" t="s">
        <v>3242</v>
      </c>
      <c r="B12" s="3300" t="s">
        <v>3243</v>
      </c>
      <c r="C12" s="3301"/>
      <c r="D12" s="3302" t="s">
        <v>3244</v>
      </c>
      <c r="E12" s="3303" t="s">
        <v>3245</v>
      </c>
      <c r="F12" s="3304"/>
      <c r="G12" s="3305"/>
      <c r="H12" s="3305"/>
      <c r="I12" s="3305"/>
      <c r="J12" s="3306"/>
      <c r="K12" s="1115"/>
      <c r="L12" s="2034"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55">
        <f t="shared" si="0"/>
        <v>0</v>
      </c>
      <c r="U12" s="1208"/>
      <c r="V12" s="3355">
        <f t="shared" si="1"/>
        <v>0</v>
      </c>
      <c r="W12" s="1211"/>
      <c r="X12" s="1211"/>
      <c r="Y12" s="1211"/>
      <c r="Z12" s="1211"/>
      <c r="AA12" s="1211"/>
      <c r="AB12" s="1211"/>
      <c r="AC12" s="1212"/>
      <c r="AD12" s="2784"/>
      <c r="AE12" s="2784"/>
      <c r="AF12" s="2784"/>
      <c r="AG12" s="2784"/>
      <c r="AH12" s="2784"/>
      <c r="AI12" s="2784"/>
      <c r="AJ12" s="2785"/>
    </row>
    <row r="13" spans="1:36" ht="15.75" thickBot="1">
      <c r="A13" s="3299" t="s">
        <v>3246</v>
      </c>
      <c r="B13" s="2029" t="s">
        <v>1982</v>
      </c>
      <c r="C13" s="751">
        <f>ROUND(C16*D16*E16*F16*G16*H16*I16*J16,4)</f>
        <v>0</v>
      </c>
      <c r="D13" s="2030" t="s">
        <v>1983</v>
      </c>
      <c r="E13" s="2031"/>
      <c r="F13" s="2031"/>
      <c r="G13" s="2032"/>
      <c r="H13" s="2032"/>
      <c r="I13" s="2032"/>
      <c r="J13" s="2033"/>
      <c r="K13" s="1115"/>
      <c r="L13" s="3295"/>
      <c r="M13" s="3296"/>
      <c r="N13" s="3297"/>
      <c r="O13" s="1115"/>
      <c r="P13" s="1115"/>
      <c r="Q13" s="1115"/>
      <c r="R13" s="1207">
        <v>12</v>
      </c>
      <c r="S13" s="1208"/>
      <c r="T13" s="3355">
        <f t="shared" si="0"/>
        <v>0</v>
      </c>
      <c r="U13" s="1208"/>
      <c r="V13" s="3355">
        <f t="shared" si="1"/>
        <v>0</v>
      </c>
      <c r="W13" s="1211"/>
      <c r="X13" s="1211"/>
      <c r="Y13" s="1211"/>
      <c r="Z13" s="1211"/>
      <c r="AA13" s="1211"/>
      <c r="AB13" s="1211"/>
      <c r="AC13" s="1212"/>
      <c r="AD13" s="2784"/>
      <c r="AE13" s="2784"/>
      <c r="AF13" s="2784"/>
      <c r="AG13" s="2784"/>
      <c r="AH13" s="2784"/>
      <c r="AI13" s="2784"/>
      <c r="AJ13" s="2785"/>
    </row>
    <row r="14" spans="1:36" ht="15">
      <c r="A14" s="3293"/>
      <c r="B14" s="2035" t="s">
        <v>1985</v>
      </c>
      <c r="C14" s="2036" t="s">
        <v>1986</v>
      </c>
      <c r="D14" s="1345" t="s">
        <v>1987</v>
      </c>
      <c r="E14" s="27" t="s">
        <v>1988</v>
      </c>
      <c r="F14" s="3307" t="s">
        <v>3247</v>
      </c>
      <c r="G14" s="3307" t="s">
        <v>3247</v>
      </c>
      <c r="H14" s="3307" t="s">
        <v>3247</v>
      </c>
      <c r="I14" s="3307" t="s">
        <v>3247</v>
      </c>
      <c r="J14" s="3307" t="s">
        <v>3247</v>
      </c>
      <c r="K14" s="1115"/>
      <c r="L14" s="1115"/>
      <c r="M14" s="1115"/>
      <c r="N14" s="1115"/>
      <c r="O14" s="1115"/>
      <c r="P14" s="1115"/>
      <c r="Q14" s="1115"/>
      <c r="R14" s="1207">
        <v>13</v>
      </c>
      <c r="S14" s="1208"/>
      <c r="T14" s="3355">
        <f t="shared" si="0"/>
        <v>0</v>
      </c>
      <c r="U14" s="1208"/>
      <c r="V14" s="3355">
        <f t="shared" si="1"/>
        <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3248</v>
      </c>
      <c r="G15" s="3309"/>
      <c r="H15" s="3310"/>
      <c r="I15" s="3311"/>
      <c r="J15" s="3312"/>
      <c r="K15" s="1115"/>
      <c r="L15" s="1115"/>
      <c r="M15" s="1115"/>
      <c r="N15" s="1115"/>
      <c r="O15" s="1115"/>
      <c r="P15" s="1115"/>
      <c r="Q15" s="1115"/>
      <c r="R15" s="1207">
        <v>14</v>
      </c>
      <c r="S15" s="1208"/>
      <c r="T15" s="3355">
        <f t="shared" si="0"/>
        <v>0</v>
      </c>
      <c r="U15" s="1208"/>
      <c r="V15" s="3355">
        <f t="shared" si="1"/>
        <v>0</v>
      </c>
      <c r="W15" s="1211"/>
      <c r="X15" s="1211"/>
      <c r="Y15" s="1211"/>
      <c r="Z15" s="1211"/>
      <c r="AA15" s="1211"/>
      <c r="AB15" s="1211"/>
      <c r="AC15" s="1212"/>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5"/>
      <c r="L16" s="1992"/>
      <c r="M16" s="1992"/>
      <c r="N16" s="1992"/>
      <c r="O16" s="1992"/>
      <c r="P16" s="1992"/>
      <c r="Q16" s="1115"/>
      <c r="R16" s="1207">
        <v>15</v>
      </c>
      <c r="S16" s="1208"/>
      <c r="T16" s="3355">
        <f t="shared" si="0"/>
        <v>0</v>
      </c>
      <c r="U16" s="1208"/>
      <c r="V16" s="3355">
        <f t="shared" si="1"/>
        <v>0</v>
      </c>
      <c r="W16" s="1211"/>
      <c r="X16" s="1211"/>
      <c r="Y16" s="1211"/>
      <c r="Z16" s="1211"/>
      <c r="AA16" s="1211"/>
      <c r="AB16" s="1211"/>
      <c r="AC16" s="1212"/>
      <c r="AD16" s="2784"/>
      <c r="AE16" s="2784"/>
      <c r="AF16" s="2784"/>
      <c r="AG16" s="2784"/>
      <c r="AH16" s="2784"/>
      <c r="AI16" s="2784"/>
      <c r="AJ16" s="2785"/>
    </row>
    <row r="17" spans="1:37">
      <c r="A17" s="3324" t="s">
        <v>3249</v>
      </c>
      <c r="B17" s="3316" t="s">
        <v>3250</v>
      </c>
      <c r="C17" s="3325">
        <f>ROUND(IF(OR(E2="工业",E2="公共服务"),1,IF(AND(E18=0,E19=0),1,IF(AND(E18=J24,E19=G19),0.8,IF(E19=0,1+E17*(-0.2),1+E17*G17*(-0.2))))),4)</f>
        <v>1</v>
      </c>
      <c r="D17" s="3317" t="s">
        <v>3251</v>
      </c>
      <c r="E17" s="3325">
        <f>ROUND(G18/I18,2)</f>
        <v>0</v>
      </c>
      <c r="F17" s="3317"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5"/>
      <c r="C18" s="3322"/>
      <c r="D18" s="3318" t="s">
        <v>3252</v>
      </c>
      <c r="E18" s="3323"/>
      <c r="F18" s="3319" t="s">
        <v>3255</v>
      </c>
      <c r="G18" s="3322">
        <f>ROUND(1-(1/(POWER(1+G24,E18))),4)</f>
        <v>0</v>
      </c>
      <c r="H18" s="3319" t="s">
        <v>3257</v>
      </c>
      <c r="I18" s="3322">
        <f>ROUND(1-(1/(POWER(1+G24,J24))),4)</f>
        <v>0.88249999999999995</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3"/>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6"/>
      <c r="AH19" s="2136"/>
      <c r="AI19" s="2787"/>
      <c r="AJ19" s="2787"/>
      <c r="AK19" s="2052"/>
    </row>
    <row r="20" spans="1:37" s="2009" customFormat="1" ht="14.25">
      <c r="A20" s="3751" t="s">
        <v>3258</v>
      </c>
      <c r="B20" s="167" t="s">
        <v>1994</v>
      </c>
      <c r="C20" s="3444">
        <f>ROUND(IF(F21="与级别开发程度一致",0,(G21-E21)/C21),0)</f>
        <v>0</v>
      </c>
      <c r="D20" s="3335" t="s">
        <v>1998</v>
      </c>
      <c r="E20" s="3336"/>
      <c r="F20" s="3757" t="s">
        <v>1995</v>
      </c>
      <c r="G20" s="3758"/>
      <c r="H20" s="3320" t="s">
        <v>3413</v>
      </c>
      <c r="I20" s="3320" t="s">
        <v>3414</v>
      </c>
      <c r="J20" s="3321" t="s">
        <v>3415</v>
      </c>
      <c r="K20" s="2042" t="s">
        <v>3416</v>
      </c>
      <c r="L20" s="2042" t="s">
        <v>3417</v>
      </c>
      <c r="M20" s="2042" t="s">
        <v>3418</v>
      </c>
      <c r="N20" s="2042" t="s">
        <v>3419</v>
      </c>
      <c r="O20" s="2043" t="s">
        <v>3420</v>
      </c>
      <c r="P20" s="1992"/>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09" customFormat="1" ht="26.25" thickBot="1">
      <c r="A21" s="3752"/>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3401</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40</v>
      </c>
      <c r="O21" s="2162">
        <f>SUMPRODUCT((七通一平=O20)*(修正!B1:M1=G2)*(修正!B8:M16))</f>
        <v>15</v>
      </c>
      <c r="P21" s="1992"/>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5" t="s">
        <v>364</v>
      </c>
      <c r="B23" s="2046" t="s">
        <v>2001</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49" t="s">
        <v>2002</v>
      </c>
      <c r="E23" s="757">
        <v>44197</v>
      </c>
      <c r="F23" s="2049" t="s">
        <v>2003</v>
      </c>
      <c r="G23" s="758">
        <f>'数据-取费表'!B2</f>
        <v>45493</v>
      </c>
      <c r="H23" s="3337" t="s">
        <v>3259</v>
      </c>
      <c r="I23" s="3338" t="str">
        <f>IF(H23="季度增幅（自定义）",SUMIF(N25:N28,E2,O25:O28),"")</f>
        <v/>
      </c>
      <c r="J23" s="3440" t="s">
        <v>3402</v>
      </c>
      <c r="K23" s="1121"/>
      <c r="L23" s="2050" t="s">
        <v>2004</v>
      </c>
      <c r="M23" s="1323">
        <f>ROUND(SUMIF(地价!B2:G2,E2,地价!B16:G16),0)</f>
        <v>350</v>
      </c>
      <c r="N23" s="2051" t="s">
        <v>2005</v>
      </c>
      <c r="O23" s="759">
        <f>ROUNDDOWN(DATEDIF(E23,G23,"M")/3,0)</f>
        <v>14</v>
      </c>
      <c r="P23" s="1118"/>
      <c r="Q23" s="2783"/>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0">
        <f>ROUND(POWER(1+G24,J24-I24)*(POWER(1+G24,I24)-1)/(POWER(1+G24,J24)-1),4)</f>
        <v>0.76500000000000001</v>
      </c>
      <c r="D24" s="2055" t="s">
        <v>2007</v>
      </c>
      <c r="E24" s="1330">
        <f>存贷款利率!E24/100</f>
        <v>4.3499999999999997E-2</v>
      </c>
      <c r="F24" s="2055" t="s">
        <v>1999</v>
      </c>
      <c r="G24" s="764">
        <f>SUMIF(M30:Q30,E2,M33:Q33)</f>
        <v>5.5E-2</v>
      </c>
      <c r="H24" s="2055" t="s">
        <v>2008</v>
      </c>
      <c r="I24" s="765">
        <f>SUMIF('数据-取费表'!C6:C15,E2,'数据-取费表'!F6:F15)/COUNTIF('数据-取费表'!C6:C15,E2)</f>
        <v>21</v>
      </c>
      <c r="J24" s="766">
        <f>IF(E2="住宅",70,IF(E2="商业",40,50))</f>
        <v>40</v>
      </c>
      <c r="K24" s="1121"/>
      <c r="L24" s="2056" t="s">
        <v>2009</v>
      </c>
      <c r="M24" s="1324">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0" t="s">
        <v>366</v>
      </c>
      <c r="B25" s="2061" t="s">
        <v>3403</v>
      </c>
      <c r="C25" s="767">
        <f>IF(B25="容积率修正",IF(G3&lt;10,D26,J26),C27)</f>
        <v>1.0004999999999999</v>
      </c>
      <c r="D25" s="2062"/>
      <c r="E25" s="2062"/>
      <c r="F25" s="2062"/>
      <c r="G25" s="2062"/>
      <c r="H25" s="2062"/>
      <c r="I25" s="2062"/>
      <c r="J25" s="2063"/>
      <c r="K25" s="1121"/>
      <c r="L25" s="2783"/>
      <c r="M25" s="2783"/>
      <c r="N25" s="2064"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2014</v>
      </c>
      <c r="B26" s="2065" t="s">
        <v>2015</v>
      </c>
      <c r="C26" s="3339" t="s">
        <v>3260</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3261</v>
      </c>
      <c r="J26" s="768" t="str">
        <f>IF(G3&gt;=10,D115,"——")</f>
        <v>——</v>
      </c>
      <c r="K26" s="1121"/>
      <c r="L26" s="2783"/>
      <c r="M26" s="2783"/>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2017</v>
      </c>
      <c r="B27" s="2066" t="s">
        <v>2018</v>
      </c>
      <c r="C27" s="837">
        <f>ROUND(IF(I3&lt;6,SUMPRODUCT((B106:B110=I3)*(C105:N105=G2)*(C106:N110)),SUMIF(C105:N105,G2,C112:N112)),4)</f>
        <v>1.0004999999999999</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6">
        <f>SUMIF(A47:A101,E2,B47:B101)</f>
        <v>0.98319999999999996</v>
      </c>
      <c r="D28" s="2047"/>
      <c r="E28" s="2072"/>
      <c r="F28" s="2072"/>
      <c r="G28" s="2072"/>
      <c r="H28" s="2072"/>
      <c r="I28" s="2072"/>
      <c r="J28" s="2073"/>
      <c r="K28" s="1121"/>
      <c r="L28" s="2783"/>
      <c r="M28" s="2783"/>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1"/>
      <c r="D29" s="2019"/>
      <c r="E29" s="2019"/>
      <c r="F29" s="2076"/>
      <c r="G29" s="2019"/>
      <c r="H29" s="2019"/>
      <c r="I29" s="2019"/>
      <c r="J29" s="2020"/>
      <c r="K29" s="1115"/>
      <c r="L29" s="1992"/>
      <c r="M29" s="1992"/>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572</v>
      </c>
      <c r="D30" s="2078"/>
      <c r="E30" s="2041"/>
      <c r="F30" s="2079"/>
      <c r="G30" s="2041"/>
      <c r="H30" s="2041"/>
      <c r="I30" s="2041"/>
      <c r="J30" s="2080"/>
      <c r="K30" s="1115"/>
      <c r="L30" s="3345" t="s">
        <v>1936</v>
      </c>
      <c r="M30" s="3346" t="s">
        <v>1990</v>
      </c>
      <c r="N30" s="3346" t="s">
        <v>1991</v>
      </c>
      <c r="O30" s="3346" t="s">
        <v>1992</v>
      </c>
      <c r="P30" s="3346" t="s">
        <v>1993</v>
      </c>
      <c r="Q30" s="3349" t="s">
        <v>3265</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2">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5">
        <f>ROUND($E$24*(1+M31),3)</f>
        <v>5.3999999999999999E-2</v>
      </c>
      <c r="N32" s="2565">
        <f>ROUND($E$24*(1+N31),3)</f>
        <v>5.1999999999999998E-2</v>
      </c>
      <c r="O32" s="2565">
        <f>ROUND($E$24*(1+O31),3)</f>
        <v>0.05</v>
      </c>
      <c r="P32" s="2565">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6647</v>
      </c>
      <c r="D33" s="2093">
        <f>'数据-汇总表'!F19</f>
        <v>573.27</v>
      </c>
      <c r="E33" s="769">
        <f>ROUND(C33*D33/10000,0)</f>
        <v>381</v>
      </c>
      <c r="F33" s="3340" t="s">
        <v>3263</v>
      </c>
      <c r="G33" s="2094"/>
      <c r="H33" s="2094"/>
      <c r="I33" s="2094"/>
      <c r="J33" s="2095"/>
      <c r="K33" s="1115"/>
      <c r="L33" s="3343" t="s">
        <v>3266</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t="e">
        <f>ROUND(IF(E2="工业",C33*M42,IF(B25="楼层修正",SUM(V2:V16)*M41*10000/D34,C33*M41)),0)</f>
        <v>#DIV/0!</v>
      </c>
      <c r="D34" s="2098"/>
      <c r="E34" s="769">
        <f>ROUND(IF(B25="楼层修正",SUM(V2:V16)*M40,C34*D34/10000),0)</f>
        <v>0</v>
      </c>
      <c r="F34" s="2099" t="s">
        <v>2032</v>
      </c>
      <c r="G34" s="2100"/>
      <c r="H34" s="2100"/>
      <c r="I34" s="2100"/>
      <c r="J34" s="2101"/>
      <c r="K34" s="1115"/>
      <c r="L34" s="3343" t="s">
        <v>3267</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3264</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55"/>
      <c r="B37" s="2108" t="s">
        <v>2036</v>
      </c>
      <c r="C37" s="175">
        <f>ROUND(D5*C22*C23*C24*C28*F37,0)</f>
        <v>3986</v>
      </c>
      <c r="D37" s="2093">
        <f>'数据-汇总表'!G21</f>
        <v>0</v>
      </c>
      <c r="E37" s="171">
        <f>ROUND(C37*D37/10000,0)</f>
        <v>0</v>
      </c>
      <c r="F37" s="171">
        <f>SUMIF(修正!A57:A68,G2,修正!B57:B68)</f>
        <v>0.6</v>
      </c>
      <c r="G37" s="171">
        <f>ROUND(IF(E2="工业",C37*$M$42,C37*$M$41),0)</f>
        <v>997</v>
      </c>
      <c r="H37" s="171">
        <f>D37</f>
        <v>0</v>
      </c>
      <c r="I37" s="171">
        <f>ROUND(G37*H37/10000,0)</f>
        <v>0</v>
      </c>
      <c r="J37" s="3007"/>
      <c r="K37" s="3353" t="s">
        <v>3269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56"/>
      <c r="B38" s="2036" t="s">
        <v>2037</v>
      </c>
      <c r="C38" s="175">
        <f>ROUND(D5*C22*C23*C24*C28*F38,0)</f>
        <v>1993</v>
      </c>
      <c r="D38" s="2093"/>
      <c r="E38" s="171">
        <f t="shared" ref="E38:E42" si="4">ROUND(C38*D38/10000,0)</f>
        <v>0</v>
      </c>
      <c r="F38" s="171">
        <f>SUMIF(修正!A57:A68,G2,修正!C57:C68)</f>
        <v>0.3</v>
      </c>
      <c r="G38" s="171">
        <f>ROUND(IF(E2="工业",C38*$M$42,C38*$M$41),0)</f>
        <v>498</v>
      </c>
      <c r="H38" s="171">
        <f t="shared" ref="H38:H42" si="5">D38</f>
        <v>0</v>
      </c>
      <c r="I38" s="171">
        <f t="shared" ref="I38:I42" si="6">ROUND(G38*H38/10000,0)</f>
        <v>0</v>
      </c>
      <c r="J38" s="3006"/>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56"/>
      <c r="B39" s="2036" t="s">
        <v>3262</v>
      </c>
      <c r="C39" s="175">
        <f>ROUND(D5*C22*C23*C24*C28*F39,0)</f>
        <v>1661</v>
      </c>
      <c r="D39" s="2093"/>
      <c r="E39" s="171">
        <f t="shared" si="4"/>
        <v>0</v>
      </c>
      <c r="F39" s="171">
        <f>SUMIF(修正!A57:A68,G2,修正!D57:D68)</f>
        <v>0.25</v>
      </c>
      <c r="G39" s="171">
        <f>ROUND(IF(E2="工业",C39*$M$42,C39*$M$41),0)</f>
        <v>415</v>
      </c>
      <c r="H39" s="171">
        <f t="shared" si="5"/>
        <v>0</v>
      </c>
      <c r="I39" s="171">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1661</v>
      </c>
      <c r="D40" s="2093"/>
      <c r="E40" s="171">
        <f t="shared" si="4"/>
        <v>0</v>
      </c>
      <c r="F40" s="175">
        <f>SUMIF(修正!A57:A68,G2,修正!E57:E68)</f>
        <v>0.25</v>
      </c>
      <c r="G40" s="171">
        <f>ROUND(IF(E2="工业",C40*$M$42,C40*$M$41),0)</f>
        <v>415</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3270</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3">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2043</v>
      </c>
      <c r="B48" s="2122">
        <f>1+E50</f>
        <v>0.98319999999999996</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2044</v>
      </c>
      <c r="B49" s="1346" t="s">
        <v>2045</v>
      </c>
      <c r="C49" s="1346" t="s">
        <v>2046</v>
      </c>
      <c r="D49" s="1346" t="s">
        <v>2047</v>
      </c>
      <c r="E49" s="739" t="s">
        <v>2048</v>
      </c>
      <c r="F49" s="2126" t="s">
        <v>2049</v>
      </c>
      <c r="G49" s="1346" t="s">
        <v>310</v>
      </c>
      <c r="H49" s="2127" t="s">
        <v>2050</v>
      </c>
      <c r="I49" s="1346"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t="s">
        <v>3404</v>
      </c>
      <c r="D50" s="1061">
        <f t="shared" ref="D50:D58" si="7">SUMIF($J$49:$N$49,C50,J50:N50)</f>
        <v>-1.9300000000000001E-2</v>
      </c>
      <c r="E50" s="740">
        <f>ROUND(SUM(D50:D58),4)</f>
        <v>-1.6799999999999999E-2</v>
      </c>
      <c r="F50" s="1809">
        <f>IF(E2="商业",SUMIF(L1:L12,G2,N1:N12),"——")</f>
        <v>0.13</v>
      </c>
      <c r="G50" s="1059">
        <v>1.9300000000000001E-2</v>
      </c>
      <c r="H50" s="1062">
        <f t="shared" ref="H50:H58" si="8">IFERROR(ROUNDDOWN($F$50*I50/2,4),"——")</f>
        <v>1.95E-2</v>
      </c>
      <c r="I50" s="3361">
        <v>0.3</v>
      </c>
      <c r="J50" s="1060">
        <f t="shared" ref="J50:J58" si="9">K50+$G50</f>
        <v>3.8600000000000002E-2</v>
      </c>
      <c r="K50" s="1060">
        <f t="shared" ref="K50:K58" si="10">$L50+$G50</f>
        <v>1.9300000000000001E-2</v>
      </c>
      <c r="L50" s="1060">
        <v>0</v>
      </c>
      <c r="M50" s="1060">
        <f t="shared" ref="M50:N58" si="11">L50-$G50</f>
        <v>-1.9300000000000001E-2</v>
      </c>
      <c r="N50" s="1060">
        <f t="shared" si="11"/>
        <v>-3.8600000000000002E-2</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t="s">
        <v>3404</v>
      </c>
      <c r="D51" s="1061">
        <f t="shared" si="7"/>
        <v>-1.41E-2</v>
      </c>
      <c r="E51" s="741"/>
      <c r="F51" s="1809"/>
      <c r="G51" s="1059">
        <v>1.41E-2</v>
      </c>
      <c r="H51" s="1062">
        <f t="shared" si="8"/>
        <v>1.43E-2</v>
      </c>
      <c r="I51" s="3361">
        <v>0.22</v>
      </c>
      <c r="J51" s="1060">
        <f t="shared" si="9"/>
        <v>2.8199999999999999E-2</v>
      </c>
      <c r="K51" s="1060">
        <f t="shared" si="10"/>
        <v>1.41E-2</v>
      </c>
      <c r="L51" s="1060">
        <v>0</v>
      </c>
      <c r="M51" s="1060">
        <f t="shared" si="11"/>
        <v>-1.41E-2</v>
      </c>
      <c r="N51" s="1060">
        <f t="shared" si="11"/>
        <v>-2.8199999999999999E-2</v>
      </c>
      <c r="AA51" s="1116"/>
      <c r="AB51" s="1116"/>
      <c r="AC51" s="1116"/>
      <c r="AD51" s="1116"/>
      <c r="AE51" s="1116"/>
      <c r="AF51" s="1116"/>
      <c r="AG51" s="1116"/>
      <c r="AH51" s="1116"/>
      <c r="AI51" s="1116"/>
      <c r="AJ51" s="1116"/>
      <c r="AK51" s="1116"/>
    </row>
    <row r="52" spans="1:37" s="1115" customFormat="1" ht="36">
      <c r="A52" s="3363" t="s">
        <v>3272</v>
      </c>
      <c r="B52" s="2129">
        <f>估价对象房地状况!C19</f>
        <v>0</v>
      </c>
      <c r="C52" s="2039" t="s">
        <v>3405</v>
      </c>
      <c r="D52" s="1061">
        <f t="shared" si="7"/>
        <v>0</v>
      </c>
      <c r="E52" s="741"/>
      <c r="F52" s="1809"/>
      <c r="G52" s="1059">
        <v>7.7000000000000002E-3</v>
      </c>
      <c r="H52" s="1062">
        <f t="shared" si="8"/>
        <v>7.7999999999999996E-3</v>
      </c>
      <c r="I52" s="3361">
        <v>0.12</v>
      </c>
      <c r="J52" s="1060">
        <f t="shared" si="9"/>
        <v>1.54E-2</v>
      </c>
      <c r="K52" s="1060">
        <f t="shared" si="10"/>
        <v>7.7000000000000002E-3</v>
      </c>
      <c r="L52" s="1060">
        <v>0</v>
      </c>
      <c r="M52" s="1060">
        <f t="shared" si="11"/>
        <v>-7.7000000000000002E-3</v>
      </c>
      <c r="N52" s="1060">
        <f t="shared" si="11"/>
        <v>-1.54E-2</v>
      </c>
      <c r="AA52" s="1116"/>
      <c r="AB52" s="1116"/>
      <c r="AC52" s="1116"/>
      <c r="AD52" s="1116"/>
      <c r="AE52" s="1116"/>
      <c r="AF52" s="1116"/>
      <c r="AG52" s="1116"/>
      <c r="AH52" s="1116"/>
      <c r="AI52" s="1116"/>
      <c r="AJ52" s="1116"/>
      <c r="AK52" s="1116"/>
    </row>
    <row r="53" spans="1:37" s="1115" customFormat="1" ht="36.75">
      <c r="A53" s="2125" t="s">
        <v>2054</v>
      </c>
      <c r="B53" s="2130" t="s">
        <v>2055</v>
      </c>
      <c r="C53" s="2039" t="s">
        <v>3406</v>
      </c>
      <c r="D53" s="1061">
        <f t="shared" si="7"/>
        <v>3.2000000000000002E-3</v>
      </c>
      <c r="E53" s="741"/>
      <c r="F53" s="1809"/>
      <c r="G53" s="1059">
        <v>3.2000000000000002E-3</v>
      </c>
      <c r="H53" s="1062">
        <f t="shared" si="8"/>
        <v>3.2000000000000002E-3</v>
      </c>
      <c r="I53" s="3361">
        <v>0.05</v>
      </c>
      <c r="J53" s="1060">
        <f t="shared" si="9"/>
        <v>6.4000000000000003E-3</v>
      </c>
      <c r="K53" s="1060">
        <f t="shared" si="10"/>
        <v>3.2000000000000002E-3</v>
      </c>
      <c r="L53" s="1060">
        <v>0</v>
      </c>
      <c r="M53" s="1060">
        <f t="shared" si="11"/>
        <v>-3.2000000000000002E-3</v>
      </c>
      <c r="N53" s="1060">
        <f t="shared" si="11"/>
        <v>-6.4000000000000003E-3</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t="s">
        <v>3405</v>
      </c>
      <c r="D54" s="1061">
        <f t="shared" si="7"/>
        <v>0</v>
      </c>
      <c r="E54" s="741"/>
      <c r="F54" s="1809"/>
      <c r="G54" s="1059">
        <v>5.1000000000000004E-3</v>
      </c>
      <c r="H54" s="1062">
        <f t="shared" si="8"/>
        <v>5.1999999999999998E-3</v>
      </c>
      <c r="I54" s="3361">
        <v>0.08</v>
      </c>
      <c r="J54" s="1060">
        <f t="shared" si="9"/>
        <v>1.0200000000000001E-2</v>
      </c>
      <c r="K54" s="1060">
        <f t="shared" si="10"/>
        <v>5.1000000000000004E-3</v>
      </c>
      <c r="L54" s="1060">
        <v>0</v>
      </c>
      <c r="M54" s="1060">
        <f t="shared" si="11"/>
        <v>-5.1000000000000004E-3</v>
      </c>
      <c r="N54" s="1060">
        <f t="shared" si="11"/>
        <v>-1.0200000000000001E-2</v>
      </c>
      <c r="AA54" s="1116"/>
      <c r="AB54" s="1116"/>
      <c r="AC54" s="1116"/>
      <c r="AD54" s="1116"/>
      <c r="AE54" s="1116"/>
      <c r="AF54" s="1116"/>
      <c r="AG54" s="1116"/>
      <c r="AH54" s="1116"/>
      <c r="AI54" s="1116"/>
      <c r="AJ54" s="1116"/>
      <c r="AK54" s="1116"/>
    </row>
    <row r="55" spans="1:37" s="1115" customFormat="1" ht="24">
      <c r="A55" s="2125" t="s">
        <v>2057</v>
      </c>
      <c r="B55" s="2131" t="s">
        <v>2058</v>
      </c>
      <c r="C55" s="2039" t="s">
        <v>3406</v>
      </c>
      <c r="D55" s="1061">
        <f t="shared" si="7"/>
        <v>3.2000000000000002E-3</v>
      </c>
      <c r="E55" s="741"/>
      <c r="F55" s="1809"/>
      <c r="G55" s="1059">
        <v>3.2000000000000002E-3</v>
      </c>
      <c r="H55" s="1062">
        <f t="shared" si="8"/>
        <v>3.2000000000000002E-3</v>
      </c>
      <c r="I55" s="3361">
        <v>0.05</v>
      </c>
      <c r="J55" s="1060">
        <f t="shared" si="9"/>
        <v>6.4000000000000003E-3</v>
      </c>
      <c r="K55" s="1060">
        <f t="shared" si="10"/>
        <v>3.2000000000000002E-3</v>
      </c>
      <c r="L55" s="1060">
        <v>0</v>
      </c>
      <c r="M55" s="1060">
        <f t="shared" si="11"/>
        <v>-3.2000000000000002E-3</v>
      </c>
      <c r="N55" s="1060">
        <f t="shared" si="11"/>
        <v>-6.4000000000000003E-3</v>
      </c>
      <c r="AA55" s="1116"/>
      <c r="AB55" s="1116"/>
      <c r="AC55" s="1116"/>
      <c r="AD55" s="1116"/>
      <c r="AE55" s="1116"/>
      <c r="AF55" s="1116"/>
      <c r="AG55" s="1116"/>
      <c r="AH55" s="1116"/>
      <c r="AI55" s="1116"/>
      <c r="AJ55" s="1116"/>
      <c r="AK55" s="1116"/>
    </row>
    <row r="56" spans="1:37" s="1115" customFormat="1" ht="25.5">
      <c r="A56" s="2132" t="s">
        <v>2059</v>
      </c>
      <c r="B56" s="1321" t="str">
        <f>估价对象房地状况!C21</f>
        <v>估价对象所在区域公共配套设施齐备情况</v>
      </c>
      <c r="C56" s="2039" t="s">
        <v>3405</v>
      </c>
      <c r="D56" s="1061">
        <f t="shared" si="7"/>
        <v>0</v>
      </c>
      <c r="E56" s="741"/>
      <c r="F56" s="1809"/>
      <c r="G56" s="1059">
        <v>3.2000000000000002E-3</v>
      </c>
      <c r="H56" s="1062">
        <f t="shared" si="8"/>
        <v>3.2000000000000002E-3</v>
      </c>
      <c r="I56" s="3361">
        <v>0.05</v>
      </c>
      <c r="J56" s="1060">
        <f t="shared" si="9"/>
        <v>6.4000000000000003E-3</v>
      </c>
      <c r="K56" s="1060">
        <f t="shared" si="10"/>
        <v>3.2000000000000002E-3</v>
      </c>
      <c r="L56" s="1060">
        <v>0</v>
      </c>
      <c r="M56" s="1060">
        <f t="shared" si="11"/>
        <v>-3.2000000000000002E-3</v>
      </c>
      <c r="N56" s="1060">
        <f t="shared" si="11"/>
        <v>-6.4000000000000003E-3</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t="s">
        <v>3407</v>
      </c>
      <c r="D57" s="1061">
        <f t="shared" si="7"/>
        <v>1.0200000000000001E-2</v>
      </c>
      <c r="E57" s="741"/>
      <c r="F57" s="1809"/>
      <c r="G57" s="1059">
        <v>5.1000000000000004E-3</v>
      </c>
      <c r="H57" s="1062">
        <f t="shared" si="8"/>
        <v>5.1999999999999998E-3</v>
      </c>
      <c r="I57" s="3361">
        <v>0.08</v>
      </c>
      <c r="J57" s="1060">
        <f t="shared" si="9"/>
        <v>1.0200000000000001E-2</v>
      </c>
      <c r="K57" s="1060">
        <f t="shared" si="10"/>
        <v>5.1000000000000004E-3</v>
      </c>
      <c r="L57" s="1060">
        <v>0</v>
      </c>
      <c r="M57" s="1060">
        <f t="shared" si="11"/>
        <v>-5.1000000000000004E-3</v>
      </c>
      <c r="N57" s="1060">
        <f t="shared" si="11"/>
        <v>-1.0200000000000001E-2</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t="s">
        <v>3405</v>
      </c>
      <c r="D58" s="1061">
        <f t="shared" si="7"/>
        <v>0</v>
      </c>
      <c r="E58" s="742"/>
      <c r="F58" s="1809"/>
      <c r="G58" s="1059">
        <v>3.2000000000000002E-3</v>
      </c>
      <c r="H58" s="1062">
        <f t="shared" si="8"/>
        <v>3.2000000000000002E-3</v>
      </c>
      <c r="I58" s="3362">
        <v>0.05</v>
      </c>
      <c r="J58" s="1060">
        <f t="shared" si="9"/>
        <v>6.4000000000000003E-3</v>
      </c>
      <c r="K58" s="1060">
        <f t="shared" si="10"/>
        <v>3.2000000000000002E-3</v>
      </c>
      <c r="L58" s="1060">
        <v>0</v>
      </c>
      <c r="M58" s="1060">
        <f t="shared" si="11"/>
        <v>-3.2000000000000002E-3</v>
      </c>
      <c r="N58" s="1060">
        <f t="shared" si="11"/>
        <v>-6.4000000000000003E-3</v>
      </c>
      <c r="AA58" s="1116"/>
      <c r="AB58" s="1116"/>
      <c r="AC58" s="1116"/>
      <c r="AD58" s="1116"/>
      <c r="AE58" s="1116"/>
      <c r="AF58" s="1116"/>
      <c r="AG58" s="1116"/>
      <c r="AH58" s="1116"/>
      <c r="AI58" s="1116"/>
      <c r="AJ58" s="1116"/>
      <c r="AK58" s="1116"/>
    </row>
    <row r="59" spans="1:37" s="1115" customFormat="1" ht="15">
      <c r="A59" s="2121" t="s">
        <v>2062</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6"/>
      <c r="C60" s="1346" t="s">
        <v>2046</v>
      </c>
      <c r="D60" s="1346" t="s">
        <v>2047</v>
      </c>
      <c r="E60" s="739" t="s">
        <v>2048</v>
      </c>
      <c r="F60" s="2126" t="s">
        <v>2063</v>
      </c>
      <c r="G60" s="1346" t="s">
        <v>310</v>
      </c>
      <c r="H60" s="2127" t="s">
        <v>2050</v>
      </c>
      <c r="I60" s="1346"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c r="D61" s="1061">
        <f t="shared" ref="D61:D69" si="12">SUMIF($J$60:$N$60,C61,J61:N61)</f>
        <v>0</v>
      </c>
      <c r="E61" s="740">
        <f>ROUND(SUM(D61:D69),4)</f>
        <v>0</v>
      </c>
      <c r="F61" s="1809" t="str">
        <f>IF(E2="办公",SUMIF(L1:L12,G2,N1:N12),"——")</f>
        <v>——</v>
      </c>
      <c r="G61" s="1059"/>
      <c r="H61" s="1062" t="str">
        <f t="shared" ref="H61:H69" si="13">IFERROR(ROUNDDOWN($F$61*I61/2,4),"——")</f>
        <v>——</v>
      </c>
      <c r="I61" s="3361">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c r="D62" s="1061">
        <f t="shared" si="12"/>
        <v>0</v>
      </c>
      <c r="E62" s="741"/>
      <c r="F62" s="1809"/>
      <c r="G62" s="1059"/>
      <c r="H62" s="1062" t="str">
        <f t="shared" si="13"/>
        <v>——</v>
      </c>
      <c r="I62" s="3361">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3" t="s">
        <v>3272</v>
      </c>
      <c r="B63" s="2129">
        <f>估价对象房地状况!C19</f>
        <v>0</v>
      </c>
      <c r="C63" s="2039"/>
      <c r="D63" s="1061">
        <f t="shared" si="12"/>
        <v>0</v>
      </c>
      <c r="E63" s="741"/>
      <c r="F63" s="1809"/>
      <c r="G63" s="1059"/>
      <c r="H63" s="1062" t="str">
        <f t="shared" si="13"/>
        <v>——</v>
      </c>
      <c r="I63" s="3361">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2054</v>
      </c>
      <c r="B64" s="2130" t="s">
        <v>2055</v>
      </c>
      <c r="C64" s="2039"/>
      <c r="D64" s="1061">
        <f t="shared" si="12"/>
        <v>0</v>
      </c>
      <c r="E64" s="741"/>
      <c r="F64" s="1809"/>
      <c r="G64" s="1059"/>
      <c r="H64" s="1062" t="str">
        <f t="shared" si="13"/>
        <v>——</v>
      </c>
      <c r="I64" s="3361">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c r="D65" s="1061">
        <f t="shared" si="12"/>
        <v>0</v>
      </c>
      <c r="E65" s="741"/>
      <c r="F65" s="1809"/>
      <c r="G65" s="1059"/>
      <c r="H65" s="1062" t="str">
        <f t="shared" si="13"/>
        <v>——</v>
      </c>
      <c r="I65" s="3361">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2057</v>
      </c>
      <c r="B66" s="2131" t="s">
        <v>2058</v>
      </c>
      <c r="C66" s="2039"/>
      <c r="D66" s="1061">
        <f t="shared" si="12"/>
        <v>0</v>
      </c>
      <c r="E66" s="741"/>
      <c r="F66" s="1809"/>
      <c r="G66" s="1059"/>
      <c r="H66" s="1062" t="str">
        <f t="shared" si="13"/>
        <v>——</v>
      </c>
      <c r="I66" s="3361">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5" t="s">
        <v>2059</v>
      </c>
      <c r="B67" s="1321" t="str">
        <f>估价对象房地状况!C21</f>
        <v>估价对象所在区域公共配套设施齐备情况</v>
      </c>
      <c r="C67" s="2039"/>
      <c r="D67" s="1061">
        <f t="shared" si="12"/>
        <v>0</v>
      </c>
      <c r="E67" s="741"/>
      <c r="F67" s="1809"/>
      <c r="G67" s="1059"/>
      <c r="H67" s="1062" t="str">
        <f t="shared" si="13"/>
        <v>——</v>
      </c>
      <c r="I67" s="3361">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5" t="s">
        <v>2060</v>
      </c>
      <c r="B68" s="1321" t="str">
        <f>估价对象房地状况!C22</f>
        <v>估价对象所在区域基础设施水平</v>
      </c>
      <c r="C68" s="2039"/>
      <c r="D68" s="1061">
        <f t="shared" si="12"/>
        <v>0</v>
      </c>
      <c r="E68" s="741"/>
      <c r="F68" s="1809"/>
      <c r="G68" s="1059"/>
      <c r="H68" s="1062" t="str">
        <f t="shared" si="13"/>
        <v>——</v>
      </c>
      <c r="I68" s="3361">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c r="D69" s="1061">
        <f t="shared" si="12"/>
        <v>0</v>
      </c>
      <c r="E69" s="742"/>
      <c r="F69" s="1809"/>
      <c r="G69" s="1059"/>
      <c r="H69" s="1062" t="str">
        <f t="shared" si="13"/>
        <v>——</v>
      </c>
      <c r="I69" s="3362">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2065</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6"/>
      <c r="C71" s="1346" t="s">
        <v>2046</v>
      </c>
      <c r="D71" s="1346" t="s">
        <v>2047</v>
      </c>
      <c r="E71" s="739" t="s">
        <v>2048</v>
      </c>
      <c r="F71" s="2126" t="s">
        <v>2063</v>
      </c>
      <c r="G71" s="1346" t="s">
        <v>310</v>
      </c>
      <c r="H71" s="2127" t="s">
        <v>2050</v>
      </c>
      <c r="I71" s="1346"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0">
        <f>ROUND(SUM(D72:D80),4)</f>
        <v>0</v>
      </c>
      <c r="F72" s="1809"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3"/>
      <c r="F73" s="1809"/>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3272</v>
      </c>
      <c r="B74" s="2129">
        <f>估价对象房地状况!C19</f>
        <v>0</v>
      </c>
      <c r="C74" s="2039"/>
      <c r="D74" s="1061">
        <f t="shared" si="17"/>
        <v>0</v>
      </c>
      <c r="E74" s="743"/>
      <c r="F74" s="1809"/>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3"/>
      <c r="F75" s="1809"/>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1" t="str">
        <f>估价对象房地状况!C21</f>
        <v>估价对象所在区域公共配套设施齐备情况</v>
      </c>
      <c r="C76" s="2039"/>
      <c r="D76" s="1061">
        <f t="shared" si="17"/>
        <v>0</v>
      </c>
      <c r="E76" s="743"/>
      <c r="F76" s="1809"/>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1" t="str">
        <f>估价对象房地状况!C22</f>
        <v>估价对象所在区域基础设施水平</v>
      </c>
      <c r="C77" s="2039"/>
      <c r="D77" s="1061">
        <f t="shared" si="17"/>
        <v>0</v>
      </c>
      <c r="E77" s="743"/>
      <c r="F77" s="1809"/>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3"/>
      <c r="F78" s="1809"/>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3"/>
      <c r="F79" s="1809"/>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4"/>
      <c r="F80" s="1809"/>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7"/>
      <c r="D81" s="737"/>
      <c r="E81" s="738"/>
      <c r="F81" s="2124"/>
      <c r="G81" s="3"/>
      <c r="H81" s="3"/>
      <c r="I81" s="3"/>
      <c r="J81" s="4"/>
      <c r="K81" s="4"/>
      <c r="L81" s="4"/>
      <c r="M81" s="4"/>
      <c r="N81" s="4"/>
      <c r="Z81" s="1993"/>
      <c r="AA81" s="2048"/>
      <c r="AG81" s="1117"/>
      <c r="AK81" s="2048"/>
    </row>
    <row r="82" spans="1:37" ht="24.75">
      <c r="A82" s="2125" t="s">
        <v>2044</v>
      </c>
      <c r="B82" s="1346"/>
      <c r="C82" s="1346" t="s">
        <v>2046</v>
      </c>
      <c r="D82" s="1346" t="s">
        <v>2047</v>
      </c>
      <c r="E82" s="739" t="s">
        <v>2048</v>
      </c>
      <c r="F82" s="2126" t="s">
        <v>2063</v>
      </c>
      <c r="G82" s="1346" t="s">
        <v>310</v>
      </c>
      <c r="H82" s="2127" t="s">
        <v>2050</v>
      </c>
      <c r="I82" s="1346"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3273</v>
      </c>
      <c r="B85" s="2129">
        <f>估价对象房地状况!G17</f>
        <v>0</v>
      </c>
      <c r="C85" s="2039"/>
      <c r="D85" s="1061">
        <f t="shared" si="22"/>
        <v>0</v>
      </c>
      <c r="E85" s="743"/>
      <c r="F85" s="1809"/>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3"/>
      <c r="F86" s="1809"/>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1" t="str">
        <f>估价对象房地状况!G19</f>
        <v>估价对象所在区域公共配套设施齐备情况</v>
      </c>
      <c r="C87" s="2039"/>
      <c r="D87" s="1061">
        <f t="shared" si="22"/>
        <v>0</v>
      </c>
      <c r="E87" s="743"/>
      <c r="F87" s="1809"/>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1" t="str">
        <f>估价对象房地状况!G20</f>
        <v>估价对象所在区域基础设施水平</v>
      </c>
      <c r="C88" s="2039"/>
      <c r="D88" s="1061">
        <f t="shared" si="22"/>
        <v>0</v>
      </c>
      <c r="E88" s="743"/>
      <c r="F88" s="1809"/>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3"/>
      <c r="F89" s="1809"/>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4"/>
      <c r="F90" s="1809"/>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09"/>
      <c r="F91" s="1809"/>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3276</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3272</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3277</v>
      </c>
      <c r="B96" s="3379" t="s">
        <v>3288</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f>估价对象房地状况!C24</f>
        <v>0</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3279</v>
      </c>
      <c r="B98" s="3380" t="s">
        <v>3289</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3280</v>
      </c>
      <c r="B99" s="3364" t="str">
        <f>估价对象房地状况!C21</f>
        <v>估价对象所在区域公共配套设施齐备情况</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3281</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3282</v>
      </c>
      <c r="B101" s="3381" t="str">
        <f>估价对象房地状况!C20</f>
        <v>区域自然环境：；人文环境；综合评价环境状况一般</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53" t="s">
        <v>3297</v>
      </c>
      <c r="B103" s="3753"/>
      <c r="C103" s="3753"/>
      <c r="D103" s="3753"/>
      <c r="E103" s="3753"/>
      <c r="F103" s="3753"/>
      <c r="G103" s="3753"/>
      <c r="H103" s="3753"/>
      <c r="I103" s="3753"/>
      <c r="J103" s="3753"/>
      <c r="K103" s="3384"/>
      <c r="L103" s="3384"/>
      <c r="M103" s="3384"/>
      <c r="N103" s="3384"/>
    </row>
    <row r="104" spans="1:14">
      <c r="A104" s="3754" t="s">
        <v>3298</v>
      </c>
      <c r="B104" s="3754" t="s">
        <v>3299</v>
      </c>
      <c r="C104" s="3385" t="s">
        <v>3300</v>
      </c>
      <c r="D104" s="3386"/>
      <c r="E104" s="3386"/>
      <c r="F104" s="3386"/>
      <c r="G104" s="3386"/>
      <c r="H104" s="3386"/>
      <c r="I104" s="3386"/>
      <c r="J104" s="3387"/>
      <c r="K104" s="3388"/>
      <c r="L104" s="3388"/>
      <c r="M104" s="3388"/>
      <c r="N104" s="3388"/>
    </row>
    <row r="105" spans="1:14">
      <c r="A105" s="3754"/>
      <c r="B105" s="3754"/>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740"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4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4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4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4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41"/>
      <c r="B111" s="3389" t="s">
        <v>3271</v>
      </c>
      <c r="C111" s="3390">
        <f>$I$3</f>
        <v>3</v>
      </c>
      <c r="D111" s="3390">
        <f t="shared" ref="D111:M111" si="32">$I$3</f>
        <v>3</v>
      </c>
      <c r="E111" s="3390">
        <f t="shared" si="32"/>
        <v>3</v>
      </c>
      <c r="F111" s="3390">
        <f t="shared" si="32"/>
        <v>3</v>
      </c>
      <c r="G111" s="3390">
        <f t="shared" si="32"/>
        <v>3</v>
      </c>
      <c r="H111" s="3390">
        <f t="shared" si="32"/>
        <v>3</v>
      </c>
      <c r="I111" s="3390">
        <f t="shared" si="32"/>
        <v>3</v>
      </c>
      <c r="J111" s="3390">
        <f t="shared" si="32"/>
        <v>3</v>
      </c>
      <c r="K111" s="3390">
        <f t="shared" si="32"/>
        <v>3</v>
      </c>
      <c r="L111" s="3390">
        <f t="shared" si="32"/>
        <v>3</v>
      </c>
      <c r="M111" s="3390">
        <f t="shared" si="32"/>
        <v>3</v>
      </c>
      <c r="N111" s="3390">
        <f>$I$3</f>
        <v>3</v>
      </c>
    </row>
    <row r="112" spans="1:14">
      <c r="A112" s="3742"/>
      <c r="B112" s="3389">
        <v>6</v>
      </c>
      <c r="C112" s="3382">
        <f>(-0.5556*(C111^2)-0.2719*C111+8944)*(10^(-4))</f>
        <v>0.89381839000000007</v>
      </c>
      <c r="D112" s="3382">
        <f>(-0.5556*(D111^2)-0.2719*D111+8944)*(10^(-4))</f>
        <v>0.89381839000000007</v>
      </c>
      <c r="E112" s="3382">
        <f>(-0.7912*(E111^2)-11.3794*E111+8482)*(10^(-4))</f>
        <v>0.84407410000000005</v>
      </c>
      <c r="F112" s="3382">
        <f t="shared" ref="F112:I112" si="33">(-0.7912*(F111^2)-11.3794*F111+8482)*(10^(-4))</f>
        <v>0.84407410000000005</v>
      </c>
      <c r="G112" s="3382">
        <f t="shared" si="33"/>
        <v>0.84407410000000005</v>
      </c>
      <c r="H112" s="3382">
        <f t="shared" si="33"/>
        <v>0.84407410000000005</v>
      </c>
      <c r="I112" s="3382">
        <f t="shared" si="33"/>
        <v>0.84407410000000005</v>
      </c>
      <c r="J112" s="3382">
        <f>(-0.989*(J111^2)-63.78*J111+7771)*(10^(-4))</f>
        <v>0.75707590000000002</v>
      </c>
      <c r="K112" s="3382">
        <f t="shared" ref="K112:N112" si="34">(-0.989*(K111^2)-63.78*K111+7771)*(10^(-4))</f>
        <v>0.75707590000000002</v>
      </c>
      <c r="L112" s="3382">
        <f t="shared" si="34"/>
        <v>0.75707590000000002</v>
      </c>
      <c r="M112" s="3382">
        <f t="shared" si="34"/>
        <v>0.75707590000000002</v>
      </c>
      <c r="N112" s="3382">
        <f t="shared" si="34"/>
        <v>0.75707590000000002</v>
      </c>
    </row>
    <row r="113" spans="1:14">
      <c r="A113" s="3743" t="s">
        <v>3314</v>
      </c>
      <c r="B113" s="3743"/>
      <c r="C113" s="3743"/>
      <c r="D113" s="3743"/>
      <c r="E113" s="3743"/>
      <c r="F113" s="3743"/>
      <c r="G113" s="3743"/>
      <c r="H113" s="3743"/>
      <c r="I113" s="3743"/>
      <c r="J113" s="374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0</v>
      </c>
      <c r="C116" s="3394" t="s">
        <v>3316</v>
      </c>
      <c r="D116" s="3395">
        <f>SUMPRODUCT((A118:A122=F116)*(B117:M117=H116)*B118:M122)</f>
        <v>0.94899999999999995</v>
      </c>
      <c r="E116" s="1995" t="s">
        <v>3317</v>
      </c>
      <c r="F116" s="3396" t="str">
        <f>E2</f>
        <v>商业</v>
      </c>
      <c r="G116" s="1995" t="s">
        <v>3318</v>
      </c>
      <c r="H116" s="3396" t="str">
        <f>G2</f>
        <v>七级</v>
      </c>
      <c r="I116" s="1995"/>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3332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2616</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2598</v>
      </c>
      <c r="B1" s="3067" t="s">
        <v>2599</v>
      </c>
      <c r="C1" s="3067" t="s">
        <v>2600</v>
      </c>
      <c r="D1" s="3067" t="s">
        <v>2601</v>
      </c>
      <c r="E1" s="3067" t="s">
        <v>2602</v>
      </c>
      <c r="F1" s="3067" t="s">
        <v>2603</v>
      </c>
      <c r="G1" s="3067" t="s">
        <v>2604</v>
      </c>
      <c r="H1" s="3067" t="s">
        <v>2605</v>
      </c>
      <c r="I1" s="3067" t="s">
        <v>2606</v>
      </c>
      <c r="J1" s="3067" t="s">
        <v>2607</v>
      </c>
      <c r="K1" s="3067" t="s">
        <v>2608</v>
      </c>
      <c r="L1" s="3067" t="s">
        <v>2609</v>
      </c>
      <c r="M1" s="3068" t="s">
        <v>2610</v>
      </c>
    </row>
    <row r="2" spans="1:13" ht="19.5" customHeight="1">
      <c r="A2" s="3070" t="s">
        <v>2611</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2612</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2613</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2614</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2615</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2616</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2617</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2618</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2619</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2620</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2621</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2622</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2623</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2624</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2625</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2626</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2627</v>
      </c>
      <c r="B18" s="3092"/>
      <c r="C18" s="3093"/>
      <c r="D18" s="3093"/>
      <c r="E18" s="3092"/>
      <c r="F18" s="3093"/>
      <c r="G18" s="3093"/>
    </row>
    <row r="19" spans="1:13" ht="19.5" customHeight="1" thickBot="1">
      <c r="A19" s="3090" t="s">
        <v>2628</v>
      </c>
      <c r="B19" s="3095" t="s">
        <v>2629</v>
      </c>
      <c r="C19" s="3095" t="s">
        <v>2630</v>
      </c>
      <c r="D19" s="3096"/>
      <c r="E19" s="3090" t="s">
        <v>2631</v>
      </c>
      <c r="F19" s="3097"/>
      <c r="G19" s="3097"/>
    </row>
    <row r="20" spans="1:13" ht="19.5" customHeight="1">
      <c r="A20" s="3766" t="s">
        <v>2611</v>
      </c>
      <c r="B20" s="3759" t="s">
        <v>2632</v>
      </c>
      <c r="C20" s="3098" t="s">
        <v>2443</v>
      </c>
      <c r="D20" s="3099"/>
      <c r="E20" s="3100">
        <v>1</v>
      </c>
      <c r="F20" s="3101" t="s">
        <v>2444</v>
      </c>
      <c r="G20" s="3101"/>
    </row>
    <row r="21" spans="1:13" ht="19.5" customHeight="1">
      <c r="A21" s="3767"/>
      <c r="B21" s="3760"/>
      <c r="C21" s="3102" t="s">
        <v>2445</v>
      </c>
      <c r="D21" s="3103"/>
      <c r="E21" s="3104">
        <v>1</v>
      </c>
      <c r="F21" s="3101" t="s">
        <v>2446</v>
      </c>
      <c r="G21" s="3101"/>
    </row>
    <row r="22" spans="1:13" ht="19.5" customHeight="1">
      <c r="A22" s="3767"/>
      <c r="B22" s="3760"/>
      <c r="C22" s="3102" t="s">
        <v>2447</v>
      </c>
      <c r="D22" s="3103"/>
      <c r="E22" s="3104">
        <v>0.9</v>
      </c>
      <c r="F22" s="3101" t="s">
        <v>2448</v>
      </c>
      <c r="G22" s="3101"/>
    </row>
    <row r="23" spans="1:13" ht="19.5" customHeight="1">
      <c r="A23" s="3767"/>
      <c r="B23" s="3760"/>
      <c r="C23" s="3102" t="s">
        <v>2449</v>
      </c>
      <c r="D23" s="3103"/>
      <c r="E23" s="3104">
        <v>0.9</v>
      </c>
      <c r="F23" s="3101" t="s">
        <v>2450</v>
      </c>
      <c r="G23" s="3101"/>
    </row>
    <row r="24" spans="1:13" ht="19.5" customHeight="1">
      <c r="A24" s="3767"/>
      <c r="B24" s="3760"/>
      <c r="C24" s="3102" t="s">
        <v>2451</v>
      </c>
      <c r="D24" s="3103"/>
      <c r="E24" s="3104">
        <v>0.8</v>
      </c>
      <c r="F24" s="3101" t="s">
        <v>2452</v>
      </c>
      <c r="G24" s="3101"/>
    </row>
    <row r="25" spans="1:13" ht="19.5" customHeight="1" thickBot="1">
      <c r="A25" s="3768"/>
      <c r="B25" s="3761"/>
      <c r="C25" s="3105" t="s">
        <v>2453</v>
      </c>
      <c r="D25" s="3106"/>
      <c r="E25" s="3107">
        <v>0.8</v>
      </c>
      <c r="F25" s="3101" t="s">
        <v>2454</v>
      </c>
      <c r="G25" s="3101"/>
    </row>
    <row r="26" spans="1:13" ht="19.5" customHeight="1" thickBot="1">
      <c r="A26" s="3108" t="s">
        <v>2633</v>
      </c>
      <c r="B26" s="3109" t="s">
        <v>2632</v>
      </c>
      <c r="C26" s="3110" t="s">
        <v>2634</v>
      </c>
      <c r="D26" s="3111"/>
      <c r="E26" s="3112">
        <v>1</v>
      </c>
      <c r="F26" s="3101" t="s">
        <v>2455</v>
      </c>
      <c r="G26" s="3101"/>
    </row>
    <row r="27" spans="1:13" ht="19.5" customHeight="1">
      <c r="A27" s="3762" t="s">
        <v>2635</v>
      </c>
      <c r="B27" s="3759" t="s">
        <v>2616</v>
      </c>
      <c r="C27" s="3098" t="s">
        <v>2456</v>
      </c>
      <c r="D27" s="3099"/>
      <c r="E27" s="3100">
        <v>1</v>
      </c>
      <c r="F27" s="3101" t="s">
        <v>2457</v>
      </c>
      <c r="G27" s="3101"/>
    </row>
    <row r="28" spans="1:13" ht="19.5" customHeight="1">
      <c r="A28" s="3763"/>
      <c r="B28" s="3760"/>
      <c r="C28" s="3102" t="s">
        <v>2458</v>
      </c>
      <c r="D28" s="3103"/>
      <c r="E28" s="3104">
        <v>1</v>
      </c>
      <c r="F28" s="3101" t="s">
        <v>2459</v>
      </c>
      <c r="G28" s="3101"/>
    </row>
    <row r="29" spans="1:13" ht="19.5" customHeight="1">
      <c r="A29" s="3763"/>
      <c r="B29" s="3760"/>
      <c r="C29" s="3102" t="s">
        <v>2460</v>
      </c>
      <c r="D29" s="3103"/>
      <c r="E29" s="3104">
        <v>0.8</v>
      </c>
      <c r="F29" s="3101" t="s">
        <v>2461</v>
      </c>
      <c r="G29" s="3101"/>
    </row>
    <row r="30" spans="1:13" ht="19.5" customHeight="1">
      <c r="A30" s="3763"/>
      <c r="B30" s="3760"/>
      <c r="C30" s="3102" t="s">
        <v>2462</v>
      </c>
      <c r="D30" s="3103"/>
      <c r="E30" s="3104">
        <v>0.8</v>
      </c>
      <c r="F30" s="3101" t="s">
        <v>2463</v>
      </c>
      <c r="G30" s="3101"/>
    </row>
    <row r="31" spans="1:13" ht="19.5" customHeight="1">
      <c r="A31" s="3763"/>
      <c r="B31" s="3760"/>
      <c r="C31" s="3102" t="s">
        <v>2464</v>
      </c>
      <c r="D31" s="3103"/>
      <c r="E31" s="3104">
        <v>0.8</v>
      </c>
      <c r="F31" s="3101" t="s">
        <v>2465</v>
      </c>
      <c r="G31" s="3101"/>
    </row>
    <row r="32" spans="1:13" ht="19.5" customHeight="1">
      <c r="A32" s="3763"/>
      <c r="B32" s="3760"/>
      <c r="C32" s="3102" t="s">
        <v>2466</v>
      </c>
      <c r="D32" s="3103"/>
      <c r="E32" s="3104">
        <v>0.7</v>
      </c>
      <c r="F32" s="3101" t="s">
        <v>2467</v>
      </c>
      <c r="G32" s="3101"/>
    </row>
    <row r="33" spans="1:7" ht="19.5" customHeight="1">
      <c r="A33" s="3763"/>
      <c r="B33" s="3760"/>
      <c r="C33" s="3102" t="s">
        <v>2468</v>
      </c>
      <c r="D33" s="3103"/>
      <c r="E33" s="3104">
        <v>0.8</v>
      </c>
      <c r="F33" s="3101" t="s">
        <v>2469</v>
      </c>
      <c r="G33" s="3101"/>
    </row>
    <row r="34" spans="1:7" ht="19.5" customHeight="1">
      <c r="A34" s="3763"/>
      <c r="B34" s="3760"/>
      <c r="C34" s="3102" t="s">
        <v>2470</v>
      </c>
      <c r="D34" s="3103"/>
      <c r="E34" s="3104">
        <v>0.6</v>
      </c>
      <c r="F34" s="3101" t="s">
        <v>2471</v>
      </c>
      <c r="G34" s="3101"/>
    </row>
    <row r="35" spans="1:7" ht="19.5" customHeight="1">
      <c r="A35" s="3763"/>
      <c r="B35" s="3760"/>
      <c r="C35" s="3102" t="s">
        <v>2472</v>
      </c>
      <c r="D35" s="3103"/>
      <c r="E35" s="3104">
        <v>0.2</v>
      </c>
      <c r="F35" s="3101" t="s">
        <v>2473</v>
      </c>
      <c r="G35" s="3101"/>
    </row>
    <row r="36" spans="1:7" ht="19.5" customHeight="1">
      <c r="A36" s="3763"/>
      <c r="B36" s="3760"/>
      <c r="C36" s="3102" t="s">
        <v>2474</v>
      </c>
      <c r="D36" s="3103"/>
      <c r="E36" s="3104">
        <v>0.2</v>
      </c>
      <c r="F36" s="3101" t="s">
        <v>2475</v>
      </c>
      <c r="G36" s="3101"/>
    </row>
    <row r="37" spans="1:7" ht="19.5" customHeight="1">
      <c r="A37" s="3763"/>
      <c r="B37" s="3765" t="s">
        <v>2636</v>
      </c>
      <c r="C37" s="3102" t="s">
        <v>2476</v>
      </c>
      <c r="D37" s="3103"/>
      <c r="E37" s="3104">
        <v>0.6</v>
      </c>
      <c r="F37" s="3101" t="s">
        <v>2477</v>
      </c>
      <c r="G37" s="3101"/>
    </row>
    <row r="38" spans="1:7" ht="19.5" customHeight="1">
      <c r="A38" s="3763"/>
      <c r="B38" s="3760"/>
      <c r="C38" s="3102" t="s">
        <v>2478</v>
      </c>
      <c r="D38" s="3103"/>
      <c r="E38" s="3104">
        <v>0.6</v>
      </c>
      <c r="F38" s="3101" t="s">
        <v>2479</v>
      </c>
      <c r="G38" s="3101"/>
    </row>
    <row r="39" spans="1:7" ht="19.5" customHeight="1" thickBot="1">
      <c r="A39" s="3764"/>
      <c r="B39" s="3761"/>
      <c r="C39" s="3105" t="s">
        <v>2480</v>
      </c>
      <c r="D39" s="3106"/>
      <c r="E39" s="3107">
        <v>0.6</v>
      </c>
      <c r="F39" s="3101" t="s">
        <v>2481</v>
      </c>
      <c r="G39" s="3101"/>
    </row>
    <row r="40" spans="1:7" ht="19.5" customHeight="1" thickBot="1">
      <c r="A40" s="3108" t="s">
        <v>2613</v>
      </c>
      <c r="B40" s="3109" t="s">
        <v>2613</v>
      </c>
      <c r="C40" s="3110" t="s">
        <v>2637</v>
      </c>
      <c r="D40" s="3111"/>
      <c r="E40" s="3112">
        <v>1</v>
      </c>
      <c r="F40" s="3101" t="s">
        <v>2482</v>
      </c>
      <c r="G40" s="3101"/>
    </row>
    <row r="41" spans="1:7" ht="19.5" customHeight="1">
      <c r="A41" s="3766" t="s">
        <v>2614</v>
      </c>
      <c r="B41" s="3759" t="s">
        <v>2638</v>
      </c>
      <c r="C41" s="3098" t="s">
        <v>2483</v>
      </c>
      <c r="D41" s="3099"/>
      <c r="E41" s="3100">
        <v>1</v>
      </c>
      <c r="F41" s="3101" t="s">
        <v>2484</v>
      </c>
      <c r="G41" s="3101"/>
    </row>
    <row r="42" spans="1:7" ht="19.5" customHeight="1">
      <c r="A42" s="3767"/>
      <c r="B42" s="3760"/>
      <c r="C42" s="3102" t="s">
        <v>2485</v>
      </c>
      <c r="D42" s="3103"/>
      <c r="E42" s="3104">
        <v>1</v>
      </c>
      <c r="F42" s="3101" t="s">
        <v>2486</v>
      </c>
      <c r="G42" s="3101"/>
    </row>
    <row r="43" spans="1:7" ht="19.5" customHeight="1">
      <c r="A43" s="3767"/>
      <c r="B43" s="3769"/>
      <c r="C43" s="3102" t="s">
        <v>2487</v>
      </c>
      <c r="D43" s="3103"/>
      <c r="E43" s="3104">
        <v>1.5</v>
      </c>
      <c r="F43" s="3101" t="s">
        <v>2488</v>
      </c>
      <c r="G43" s="3101"/>
    </row>
    <row r="44" spans="1:7" ht="19.5" customHeight="1">
      <c r="A44" s="3767"/>
      <c r="B44" s="3113" t="s">
        <v>2639</v>
      </c>
      <c r="C44" s="3102" t="s">
        <v>2640</v>
      </c>
      <c r="D44" s="3103"/>
      <c r="E44" s="3104">
        <v>2</v>
      </c>
      <c r="F44" s="3101" t="s">
        <v>2489</v>
      </c>
      <c r="G44" s="3101"/>
    </row>
    <row r="45" spans="1:7" ht="19.5" customHeight="1">
      <c r="A45" s="3767"/>
      <c r="B45" s="3765" t="s">
        <v>2641</v>
      </c>
      <c r="C45" s="3102" t="s">
        <v>2490</v>
      </c>
      <c r="D45" s="3103"/>
      <c r="E45" s="3104">
        <v>1</v>
      </c>
      <c r="F45" s="3101" t="s">
        <v>2491</v>
      </c>
      <c r="G45" s="3101"/>
    </row>
    <row r="46" spans="1:7" ht="19.5" customHeight="1">
      <c r="A46" s="3767"/>
      <c r="B46" s="3760"/>
      <c r="C46" s="3102" t="s">
        <v>2492</v>
      </c>
      <c r="D46" s="3103"/>
      <c r="E46" s="3104">
        <v>1</v>
      </c>
      <c r="F46" s="3101" t="s">
        <v>2493</v>
      </c>
      <c r="G46" s="3101"/>
    </row>
    <row r="47" spans="1:7" ht="19.5" customHeight="1">
      <c r="A47" s="3767"/>
      <c r="B47" s="3760"/>
      <c r="C47" s="3102" t="s">
        <v>2494</v>
      </c>
      <c r="D47" s="3103"/>
      <c r="E47" s="3104">
        <v>1</v>
      </c>
      <c r="F47" s="3101" t="s">
        <v>2495</v>
      </c>
      <c r="G47" s="3101"/>
    </row>
    <row r="48" spans="1:7" ht="19.5" customHeight="1">
      <c r="A48" s="3767"/>
      <c r="B48" s="3760"/>
      <c r="C48" s="3102" t="s">
        <v>2496</v>
      </c>
      <c r="D48" s="3103"/>
      <c r="E48" s="3104">
        <v>1</v>
      </c>
      <c r="F48" s="3101" t="s">
        <v>2497</v>
      </c>
      <c r="G48" s="3101"/>
    </row>
    <row r="49" spans="1:7" ht="19.5" customHeight="1">
      <c r="A49" s="3767"/>
      <c r="B49" s="3760"/>
      <c r="C49" s="3102" t="s">
        <v>2498</v>
      </c>
      <c r="D49" s="3103"/>
      <c r="E49" s="3104">
        <v>1</v>
      </c>
      <c r="F49" s="3101" t="s">
        <v>2499</v>
      </c>
      <c r="G49" s="3101"/>
    </row>
    <row r="50" spans="1:7" ht="19.5" customHeight="1">
      <c r="A50" s="3767"/>
      <c r="B50" s="3760"/>
      <c r="C50" s="3102" t="s">
        <v>2500</v>
      </c>
      <c r="D50" s="3103"/>
      <c r="E50" s="3104">
        <v>1</v>
      </c>
      <c r="F50" s="3101" t="s">
        <v>2501</v>
      </c>
      <c r="G50" s="3101"/>
    </row>
    <row r="51" spans="1:7" ht="19.5" customHeight="1" thickBot="1">
      <c r="A51" s="3768"/>
      <c r="B51" s="3761"/>
      <c r="C51" s="3105" t="s">
        <v>2502</v>
      </c>
      <c r="D51" s="3106"/>
      <c r="E51" s="3107">
        <v>1</v>
      </c>
      <c r="F51" s="3101" t="s">
        <v>2503</v>
      </c>
      <c r="G51" s="3101"/>
    </row>
    <row r="52" spans="1:7" ht="19.5" customHeight="1">
      <c r="A52" s="3114"/>
      <c r="B52" s="3114"/>
      <c r="C52" s="3114"/>
      <c r="D52" s="3114"/>
      <c r="E52" s="3114"/>
      <c r="F52" s="3114"/>
      <c r="G52" s="3114"/>
    </row>
    <row r="54" spans="1:7" ht="19.5" customHeight="1">
      <c r="A54" s="3115"/>
      <c r="B54" s="3087" t="s">
        <v>2642</v>
      </c>
      <c r="C54" s="3087" t="s">
        <v>2642</v>
      </c>
      <c r="D54" s="3087" t="s">
        <v>2642</v>
      </c>
      <c r="E54" s="3090" t="s">
        <v>2642</v>
      </c>
      <c r="F54" s="3090" t="s">
        <v>2643</v>
      </c>
      <c r="G54" s="3090" t="s">
        <v>2644</v>
      </c>
    </row>
    <row r="55" spans="1:7" ht="19.5" customHeight="1">
      <c r="A55" s="3116"/>
      <c r="B55" s="3090" t="s">
        <v>2611</v>
      </c>
      <c r="C55" s="3090" t="s">
        <v>2611</v>
      </c>
      <c r="D55" s="3090" t="s">
        <v>2611</v>
      </c>
      <c r="E55" s="3087" t="s">
        <v>2612</v>
      </c>
      <c r="F55" s="3087" t="s">
        <v>2614</v>
      </c>
      <c r="G55" s="3087" t="s">
        <v>2645</v>
      </c>
    </row>
    <row r="56" spans="1:7" ht="19.5" customHeight="1">
      <c r="A56" s="3117"/>
      <c r="B56" s="3087">
        <v>1</v>
      </c>
      <c r="C56" s="3087">
        <v>2</v>
      </c>
      <c r="D56" s="3087">
        <v>3</v>
      </c>
      <c r="E56" s="3118" t="s">
        <v>2646</v>
      </c>
      <c r="F56" s="3118" t="s">
        <v>2646</v>
      </c>
      <c r="G56" s="3118" t="s">
        <v>2646</v>
      </c>
    </row>
    <row r="57" spans="1:7" ht="19.5" customHeight="1">
      <c r="A57" s="3119" t="s">
        <v>2599</v>
      </c>
      <c r="B57" s="3087">
        <v>0.7</v>
      </c>
      <c r="C57" s="3087">
        <v>0.4</v>
      </c>
      <c r="D57" s="3087">
        <v>0.3</v>
      </c>
      <c r="E57" s="3118">
        <v>0.3</v>
      </c>
      <c r="F57" s="3087">
        <v>0.3</v>
      </c>
      <c r="G57" s="3087">
        <v>0.2</v>
      </c>
    </row>
    <row r="58" spans="1:7" ht="19.5" customHeight="1">
      <c r="A58" s="3119" t="s">
        <v>2600</v>
      </c>
      <c r="B58" s="3087">
        <v>0.7</v>
      </c>
      <c r="C58" s="3087">
        <v>0.4</v>
      </c>
      <c r="D58" s="3087">
        <v>0.3</v>
      </c>
      <c r="E58" s="3087">
        <v>0.3</v>
      </c>
      <c r="F58" s="3087">
        <v>0.3</v>
      </c>
      <c r="G58" s="3087">
        <v>0.2</v>
      </c>
    </row>
    <row r="59" spans="1:7" ht="19.5" customHeight="1">
      <c r="A59" s="3119" t="s">
        <v>2601</v>
      </c>
      <c r="B59" s="3087">
        <v>0.6</v>
      </c>
      <c r="C59" s="3087">
        <v>0.3</v>
      </c>
      <c r="D59" s="3087">
        <v>0.25</v>
      </c>
      <c r="E59" s="3087">
        <v>0.25</v>
      </c>
      <c r="F59" s="3087">
        <v>0.25</v>
      </c>
      <c r="G59" s="3087">
        <v>0.15</v>
      </c>
    </row>
    <row r="60" spans="1:7" ht="19.5" customHeight="1">
      <c r="A60" s="3119" t="s">
        <v>2602</v>
      </c>
      <c r="B60" s="3087">
        <v>0.6</v>
      </c>
      <c r="C60" s="3087">
        <v>0.3</v>
      </c>
      <c r="D60" s="3087">
        <v>0.25</v>
      </c>
      <c r="E60" s="3087">
        <v>0.25</v>
      </c>
      <c r="F60" s="3087">
        <v>0.25</v>
      </c>
      <c r="G60" s="3087">
        <v>0.15</v>
      </c>
    </row>
    <row r="61" spans="1:7" ht="19.5" customHeight="1">
      <c r="A61" s="3119" t="s">
        <v>2603</v>
      </c>
      <c r="B61" s="3087">
        <v>0.6</v>
      </c>
      <c r="C61" s="3087">
        <v>0.3</v>
      </c>
      <c r="D61" s="3087">
        <v>0.25</v>
      </c>
      <c r="E61" s="3087">
        <v>0.25</v>
      </c>
      <c r="F61" s="3087">
        <v>0.25</v>
      </c>
      <c r="G61" s="3087">
        <v>0.15</v>
      </c>
    </row>
    <row r="62" spans="1:7" ht="19.5" customHeight="1">
      <c r="A62" s="3119" t="s">
        <v>2604</v>
      </c>
      <c r="B62" s="3087">
        <v>0.6</v>
      </c>
      <c r="C62" s="3087">
        <v>0.3</v>
      </c>
      <c r="D62" s="3087">
        <v>0.25</v>
      </c>
      <c r="E62" s="3087">
        <v>0.25</v>
      </c>
      <c r="F62" s="3087">
        <v>0.25</v>
      </c>
      <c r="G62" s="3087">
        <v>0.15</v>
      </c>
    </row>
    <row r="63" spans="1:7" ht="19.5" customHeight="1">
      <c r="A63" s="3119" t="s">
        <v>2605</v>
      </c>
      <c r="B63" s="3087">
        <v>0.6</v>
      </c>
      <c r="C63" s="3087">
        <v>0.3</v>
      </c>
      <c r="D63" s="3087">
        <v>0.25</v>
      </c>
      <c r="E63" s="3087">
        <v>0.25</v>
      </c>
      <c r="F63" s="3087">
        <v>0.25</v>
      </c>
      <c r="G63" s="3087">
        <v>0.15</v>
      </c>
    </row>
    <row r="64" spans="1:7" ht="19.5" customHeight="1">
      <c r="A64" s="3119" t="s">
        <v>2606</v>
      </c>
      <c r="B64" s="3087">
        <v>0.5</v>
      </c>
      <c r="C64" s="3087">
        <v>0.2</v>
      </c>
      <c r="D64" s="3087">
        <v>0.2</v>
      </c>
      <c r="E64" s="3087">
        <v>0.2</v>
      </c>
      <c r="F64" s="3087">
        <v>0.2</v>
      </c>
      <c r="G64" s="3087">
        <v>0.1</v>
      </c>
    </row>
    <row r="65" spans="1:7" ht="19.5" customHeight="1">
      <c r="A65" s="3119" t="s">
        <v>2607</v>
      </c>
      <c r="B65" s="3087">
        <v>0.5</v>
      </c>
      <c r="C65" s="3087">
        <v>0.2</v>
      </c>
      <c r="D65" s="3087">
        <v>0.2</v>
      </c>
      <c r="E65" s="3087">
        <v>0.2</v>
      </c>
      <c r="F65" s="3087">
        <v>0.2</v>
      </c>
      <c r="G65" s="3087">
        <v>0.1</v>
      </c>
    </row>
    <row r="66" spans="1:7" ht="19.5" customHeight="1">
      <c r="A66" s="3119" t="s">
        <v>2608</v>
      </c>
      <c r="B66" s="3087">
        <v>0.5</v>
      </c>
      <c r="C66" s="3087">
        <v>0.2</v>
      </c>
      <c r="D66" s="3087">
        <v>0.2</v>
      </c>
      <c r="E66" s="3087">
        <v>0.2</v>
      </c>
      <c r="F66" s="3087">
        <v>0.2</v>
      </c>
      <c r="G66" s="3087">
        <v>0.1</v>
      </c>
    </row>
    <row r="67" spans="1:7" ht="19.5" customHeight="1">
      <c r="A67" s="3119" t="s">
        <v>2609</v>
      </c>
      <c r="B67" s="3087">
        <v>0.5</v>
      </c>
      <c r="C67" s="3087">
        <v>0.2</v>
      </c>
      <c r="D67" s="3087">
        <v>0.2</v>
      </c>
      <c r="E67" s="3087">
        <v>0.2</v>
      </c>
      <c r="F67" s="3087">
        <v>0.2</v>
      </c>
      <c r="G67" s="3087">
        <v>0.1</v>
      </c>
    </row>
    <row r="68" spans="1:7" ht="19.5" customHeight="1">
      <c r="A68" s="3119" t="s">
        <v>2610</v>
      </c>
      <c r="B68" s="3087">
        <v>0.5</v>
      </c>
      <c r="C68" s="3087">
        <v>0.2</v>
      </c>
      <c r="D68" s="3087">
        <v>0.2</v>
      </c>
      <c r="E68" s="3087">
        <v>0.2</v>
      </c>
      <c r="F68" s="3087">
        <v>0.2</v>
      </c>
      <c r="G68" s="3087">
        <v>0.1</v>
      </c>
    </row>
    <row r="70" spans="1:7" ht="19.5" customHeight="1">
      <c r="A70" s="3120"/>
      <c r="B70" s="3121"/>
      <c r="C70" s="3121"/>
      <c r="D70" s="3121" t="s">
        <v>2647</v>
      </c>
      <c r="E70" s="3121"/>
      <c r="F70" s="3121"/>
    </row>
    <row r="71" spans="1:7" ht="19.5" customHeight="1">
      <c r="A71" s="3113" t="s">
        <v>2648</v>
      </c>
      <c r="B71" s="3113" t="s">
        <v>2649</v>
      </c>
      <c r="C71" s="3113" t="s">
        <v>2650</v>
      </c>
      <c r="D71" s="3113" t="s">
        <v>2651</v>
      </c>
      <c r="E71" s="3113" t="s">
        <v>2652</v>
      </c>
      <c r="F71" s="3113" t="s">
        <v>2653</v>
      </c>
    </row>
    <row r="72" spans="1:7" ht="13.5">
      <c r="A72" s="3113"/>
      <c r="B72" s="3113"/>
      <c r="C72" s="3113" t="s">
        <v>2654</v>
      </c>
      <c r="D72" s="3113"/>
      <c r="E72" s="3113" t="s">
        <v>2625</v>
      </c>
      <c r="F72" s="3113" t="s">
        <v>2625</v>
      </c>
    </row>
    <row r="73" spans="1:7" ht="13.5">
      <c r="A73" s="3113">
        <v>1</v>
      </c>
      <c r="B73" s="3765" t="s">
        <v>2655</v>
      </c>
      <c r="C73" s="3087" t="s">
        <v>2656</v>
      </c>
      <c r="D73" s="3087" t="s">
        <v>2657</v>
      </c>
      <c r="E73" s="3113">
        <v>0.2</v>
      </c>
      <c r="F73" s="3113">
        <v>25</v>
      </c>
    </row>
    <row r="74" spans="1:7" ht="24">
      <c r="A74" s="3113">
        <v>2</v>
      </c>
      <c r="B74" s="3760"/>
      <c r="C74" s="3087" t="s">
        <v>2658</v>
      </c>
      <c r="D74" s="3087" t="s">
        <v>2659</v>
      </c>
      <c r="E74" s="3113">
        <v>0.2</v>
      </c>
      <c r="F74" s="3113">
        <v>25</v>
      </c>
    </row>
    <row r="75" spans="1:7" ht="24">
      <c r="A75" s="3113">
        <v>3</v>
      </c>
      <c r="B75" s="3760"/>
      <c r="C75" s="3087" t="s">
        <v>2660</v>
      </c>
      <c r="D75" s="3087" t="s">
        <v>2661</v>
      </c>
      <c r="E75" s="3113">
        <v>0.2</v>
      </c>
      <c r="F75" s="3113">
        <v>25</v>
      </c>
    </row>
    <row r="76" spans="1:7" ht="13.5">
      <c r="A76" s="3113">
        <v>4</v>
      </c>
      <c r="B76" s="3760"/>
      <c r="C76" s="3087" t="s">
        <v>2662</v>
      </c>
      <c r="D76" s="3087" t="s">
        <v>2663</v>
      </c>
      <c r="E76" s="3113">
        <v>0.15</v>
      </c>
      <c r="F76" s="3113">
        <v>20</v>
      </c>
    </row>
    <row r="77" spans="1:7" ht="24">
      <c r="A77" s="3113">
        <v>5</v>
      </c>
      <c r="B77" s="3760"/>
      <c r="C77" s="3087" t="s">
        <v>2664</v>
      </c>
      <c r="D77" s="3087" t="s">
        <v>2665</v>
      </c>
      <c r="E77" s="3113">
        <v>0.15</v>
      </c>
      <c r="F77" s="3113">
        <v>20</v>
      </c>
    </row>
    <row r="78" spans="1:7" ht="24">
      <c r="A78" s="3113">
        <v>6</v>
      </c>
      <c r="B78" s="3760"/>
      <c r="C78" s="3087" t="s">
        <v>2666</v>
      </c>
      <c r="D78" s="3087" t="s">
        <v>2667</v>
      </c>
      <c r="E78" s="3113">
        <v>0.15</v>
      </c>
      <c r="F78" s="3113">
        <v>20</v>
      </c>
    </row>
    <row r="79" spans="1:7" ht="24">
      <c r="A79" s="3113">
        <v>7</v>
      </c>
      <c r="B79" s="3760"/>
      <c r="C79" s="3087" t="s">
        <v>2668</v>
      </c>
      <c r="D79" s="3087" t="s">
        <v>2669</v>
      </c>
      <c r="E79" s="3113">
        <v>0.15</v>
      </c>
      <c r="F79" s="3113">
        <v>20</v>
      </c>
    </row>
    <row r="80" spans="1:7" ht="24">
      <c r="A80" s="3113">
        <v>8</v>
      </c>
      <c r="B80" s="3760"/>
      <c r="C80" s="3087" t="s">
        <v>2670</v>
      </c>
      <c r="D80" s="3087" t="s">
        <v>2671</v>
      </c>
      <c r="E80" s="3113">
        <v>0.1</v>
      </c>
      <c r="F80" s="3113">
        <v>15</v>
      </c>
    </row>
    <row r="81" spans="1:6" ht="24">
      <c r="A81" s="3113">
        <v>9</v>
      </c>
      <c r="B81" s="3760"/>
      <c r="C81" s="3087" t="s">
        <v>2672</v>
      </c>
      <c r="D81" s="3087" t="s">
        <v>2673</v>
      </c>
      <c r="E81" s="3113">
        <v>0.1</v>
      </c>
      <c r="F81" s="3113">
        <v>15</v>
      </c>
    </row>
    <row r="82" spans="1:6" ht="24">
      <c r="A82" s="3113">
        <v>10</v>
      </c>
      <c r="B82" s="3760"/>
      <c r="C82" s="3087" t="s">
        <v>2674</v>
      </c>
      <c r="D82" s="3087" t="s">
        <v>2675</v>
      </c>
      <c r="E82" s="3113">
        <v>0.1</v>
      </c>
      <c r="F82" s="3113">
        <v>15</v>
      </c>
    </row>
    <row r="83" spans="1:6" ht="24">
      <c r="A83" s="3113">
        <v>11</v>
      </c>
      <c r="B83" s="3760"/>
      <c r="C83" s="3087" t="s">
        <v>2676</v>
      </c>
      <c r="D83" s="3087" t="s">
        <v>2677</v>
      </c>
      <c r="E83" s="3113">
        <v>0.1</v>
      </c>
      <c r="F83" s="3113">
        <v>15</v>
      </c>
    </row>
    <row r="84" spans="1:6" ht="24">
      <c r="A84" s="3113">
        <v>12</v>
      </c>
      <c r="B84" s="3760"/>
      <c r="C84" s="3087" t="s">
        <v>2678</v>
      </c>
      <c r="D84" s="3087" t="s">
        <v>2679</v>
      </c>
      <c r="E84" s="3113">
        <v>0.1</v>
      </c>
      <c r="F84" s="3113">
        <v>15</v>
      </c>
    </row>
    <row r="85" spans="1:6" ht="13.5">
      <c r="A85" s="3113">
        <v>13</v>
      </c>
      <c r="B85" s="3760"/>
      <c r="C85" s="3087" t="s">
        <v>2680</v>
      </c>
      <c r="D85" s="3087" t="s">
        <v>2681</v>
      </c>
      <c r="E85" s="3113">
        <v>0.1</v>
      </c>
      <c r="F85" s="3113">
        <v>15</v>
      </c>
    </row>
    <row r="86" spans="1:6" ht="13.5">
      <c r="A86" s="3113">
        <v>14</v>
      </c>
      <c r="B86" s="3760"/>
      <c r="C86" s="3087" t="s">
        <v>2682</v>
      </c>
      <c r="D86" s="3087" t="s">
        <v>2683</v>
      </c>
      <c r="E86" s="3113">
        <v>0.1</v>
      </c>
      <c r="F86" s="3113">
        <v>15</v>
      </c>
    </row>
    <row r="87" spans="1:6" ht="13.5">
      <c r="A87" s="3113">
        <v>15</v>
      </c>
      <c r="B87" s="3760"/>
      <c r="C87" s="3087" t="s">
        <v>2684</v>
      </c>
      <c r="D87" s="3087" t="s">
        <v>2685</v>
      </c>
      <c r="E87" s="3113">
        <v>0.1</v>
      </c>
      <c r="F87" s="3113">
        <v>15</v>
      </c>
    </row>
    <row r="88" spans="1:6" ht="24">
      <c r="A88" s="3113">
        <v>16</v>
      </c>
      <c r="B88" s="3760"/>
      <c r="C88" s="3087" t="s">
        <v>2686</v>
      </c>
      <c r="D88" s="3087" t="s">
        <v>2687</v>
      </c>
      <c r="E88" s="3113">
        <v>0.1</v>
      </c>
      <c r="F88" s="3113">
        <v>15</v>
      </c>
    </row>
    <row r="89" spans="1:6" ht="24">
      <c r="A89" s="3113">
        <v>17</v>
      </c>
      <c r="B89" s="3769"/>
      <c r="C89" s="3087" t="s">
        <v>2688</v>
      </c>
      <c r="D89" s="3087" t="s">
        <v>2689</v>
      </c>
      <c r="E89" s="3113">
        <v>0.1</v>
      </c>
      <c r="F89" s="3113">
        <v>15</v>
      </c>
    </row>
    <row r="90" spans="1:6" ht="13.5">
      <c r="A90" s="3113">
        <v>18</v>
      </c>
      <c r="B90" s="3765" t="s">
        <v>2690</v>
      </c>
      <c r="C90" s="3087" t="s">
        <v>2691</v>
      </c>
      <c r="D90" s="3087" t="s">
        <v>2692</v>
      </c>
      <c r="E90" s="3113">
        <v>0.2</v>
      </c>
      <c r="F90" s="3113">
        <v>25</v>
      </c>
    </row>
    <row r="91" spans="1:6" ht="24">
      <c r="A91" s="3113">
        <v>19</v>
      </c>
      <c r="B91" s="3760"/>
      <c r="C91" s="3087" t="s">
        <v>2693</v>
      </c>
      <c r="D91" s="3087" t="s">
        <v>2694</v>
      </c>
      <c r="E91" s="3113">
        <v>0.2</v>
      </c>
      <c r="F91" s="3113">
        <v>25</v>
      </c>
    </row>
    <row r="92" spans="1:6" ht="13.5">
      <c r="A92" s="3113">
        <v>20</v>
      </c>
      <c r="B92" s="3760"/>
      <c r="C92" s="3087" t="s">
        <v>2695</v>
      </c>
      <c r="D92" s="3087" t="s">
        <v>2696</v>
      </c>
      <c r="E92" s="3113">
        <v>0.15</v>
      </c>
      <c r="F92" s="3113">
        <v>20</v>
      </c>
    </row>
    <row r="93" spans="1:6" ht="13.5">
      <c r="A93" s="3113">
        <v>21</v>
      </c>
      <c r="B93" s="3760"/>
      <c r="C93" s="3087" t="s">
        <v>2697</v>
      </c>
      <c r="D93" s="3087" t="s">
        <v>2698</v>
      </c>
      <c r="E93" s="3113">
        <v>0.15</v>
      </c>
      <c r="F93" s="3113">
        <v>20</v>
      </c>
    </row>
    <row r="94" spans="1:6" ht="13.5">
      <c r="A94" s="3113">
        <v>22</v>
      </c>
      <c r="B94" s="3760"/>
      <c r="C94" s="3087" t="s">
        <v>2699</v>
      </c>
      <c r="D94" s="3087" t="s">
        <v>2700</v>
      </c>
      <c r="E94" s="3113">
        <v>0.15</v>
      </c>
      <c r="F94" s="3113">
        <v>20</v>
      </c>
    </row>
    <row r="95" spans="1:6" ht="36">
      <c r="A95" s="3113">
        <v>23</v>
      </c>
      <c r="B95" s="3760"/>
      <c r="C95" s="3087" t="s">
        <v>2701</v>
      </c>
      <c r="D95" s="3087" t="s">
        <v>2702</v>
      </c>
      <c r="E95" s="3113">
        <v>0.15</v>
      </c>
      <c r="F95" s="3113">
        <v>20</v>
      </c>
    </row>
    <row r="96" spans="1:6" ht="13.5">
      <c r="A96" s="3113">
        <v>24</v>
      </c>
      <c r="B96" s="3760"/>
      <c r="C96" s="3087" t="s">
        <v>2703</v>
      </c>
      <c r="D96" s="3087" t="s">
        <v>2704</v>
      </c>
      <c r="E96" s="3113">
        <v>0.1</v>
      </c>
      <c r="F96" s="3113">
        <v>15</v>
      </c>
    </row>
    <row r="97" spans="1:6" ht="13.5">
      <c r="A97" s="3113">
        <v>25</v>
      </c>
      <c r="B97" s="3760"/>
      <c r="C97" s="3087" t="s">
        <v>2705</v>
      </c>
      <c r="D97" s="3087" t="s">
        <v>2706</v>
      </c>
      <c r="E97" s="3113">
        <v>0.1</v>
      </c>
      <c r="F97" s="3113">
        <v>15</v>
      </c>
    </row>
    <row r="98" spans="1:6" ht="24">
      <c r="A98" s="3113">
        <v>26</v>
      </c>
      <c r="B98" s="3760"/>
      <c r="C98" s="3087" t="s">
        <v>2707</v>
      </c>
      <c r="D98" s="3087" t="s">
        <v>2708</v>
      </c>
      <c r="E98" s="3113">
        <v>0.1</v>
      </c>
      <c r="F98" s="3113">
        <v>15</v>
      </c>
    </row>
    <row r="99" spans="1:6" ht="24">
      <c r="A99" s="3113">
        <v>27</v>
      </c>
      <c r="B99" s="3760"/>
      <c r="C99" s="3087" t="s">
        <v>2709</v>
      </c>
      <c r="D99" s="3087" t="s">
        <v>2710</v>
      </c>
      <c r="E99" s="3113">
        <v>0.1</v>
      </c>
      <c r="F99" s="3113">
        <v>15</v>
      </c>
    </row>
    <row r="100" spans="1:6" ht="13.5">
      <c r="A100" s="3113">
        <v>28</v>
      </c>
      <c r="B100" s="3760"/>
      <c r="C100" s="3087" t="s">
        <v>2711</v>
      </c>
      <c r="D100" s="3087" t="s">
        <v>2712</v>
      </c>
      <c r="E100" s="3113">
        <v>0.1</v>
      </c>
      <c r="F100" s="3113">
        <v>15</v>
      </c>
    </row>
    <row r="101" spans="1:6" ht="13.5">
      <c r="A101" s="3113">
        <v>29</v>
      </c>
      <c r="B101" s="3760"/>
      <c r="C101" s="3087" t="s">
        <v>2713</v>
      </c>
      <c r="D101" s="3087" t="s">
        <v>2714</v>
      </c>
      <c r="E101" s="3113">
        <v>0.1</v>
      </c>
      <c r="F101" s="3113">
        <v>15</v>
      </c>
    </row>
    <row r="102" spans="1:6" ht="13.5">
      <c r="A102" s="3113">
        <v>30</v>
      </c>
      <c r="B102" s="3760"/>
      <c r="C102" s="3087" t="s">
        <v>2715</v>
      </c>
      <c r="D102" s="3087" t="s">
        <v>2716</v>
      </c>
      <c r="E102" s="3113">
        <v>0.1</v>
      </c>
      <c r="F102" s="3113">
        <v>15</v>
      </c>
    </row>
    <row r="103" spans="1:6" ht="24">
      <c r="A103" s="3113">
        <v>31</v>
      </c>
      <c r="B103" s="3760"/>
      <c r="C103" s="3087" t="s">
        <v>2717</v>
      </c>
      <c r="D103" s="3087" t="s">
        <v>2718</v>
      </c>
      <c r="E103" s="3113">
        <v>0.1</v>
      </c>
      <c r="F103" s="3113">
        <v>15</v>
      </c>
    </row>
    <row r="104" spans="1:6" ht="24">
      <c r="A104" s="3113">
        <v>32</v>
      </c>
      <c r="B104" s="3760"/>
      <c r="C104" s="3087" t="s">
        <v>2719</v>
      </c>
      <c r="D104" s="3087" t="s">
        <v>2720</v>
      </c>
      <c r="E104" s="3113">
        <v>0.1</v>
      </c>
      <c r="F104" s="3113">
        <v>15</v>
      </c>
    </row>
    <row r="105" spans="1:6" ht="24">
      <c r="A105" s="3113">
        <v>33</v>
      </c>
      <c r="B105" s="3760"/>
      <c r="C105" s="3087" t="s">
        <v>2721</v>
      </c>
      <c r="D105" s="3087" t="s">
        <v>2722</v>
      </c>
      <c r="E105" s="3113">
        <v>0.1</v>
      </c>
      <c r="F105" s="3113">
        <v>15</v>
      </c>
    </row>
    <row r="106" spans="1:6" ht="24">
      <c r="A106" s="3113">
        <v>34</v>
      </c>
      <c r="B106" s="3769"/>
      <c r="C106" s="3087" t="s">
        <v>2723</v>
      </c>
      <c r="D106" s="3087" t="s">
        <v>2724</v>
      </c>
      <c r="E106" s="3113">
        <v>0.1</v>
      </c>
      <c r="F106" s="3113">
        <v>15</v>
      </c>
    </row>
    <row r="107" spans="1:6" ht="24">
      <c r="A107" s="3113">
        <v>35</v>
      </c>
      <c r="B107" s="3765" t="s">
        <v>2725</v>
      </c>
      <c r="C107" s="3113" t="s">
        <v>2726</v>
      </c>
      <c r="D107" s="3087" t="s">
        <v>2727</v>
      </c>
      <c r="E107" s="3113">
        <v>0.15</v>
      </c>
      <c r="F107" s="3113">
        <v>20</v>
      </c>
    </row>
    <row r="108" spans="1:6" ht="13.5">
      <c r="A108" s="3113">
        <v>36</v>
      </c>
      <c r="B108" s="3760"/>
      <c r="C108" s="3113" t="s">
        <v>2728</v>
      </c>
      <c r="D108" s="3087" t="s">
        <v>2729</v>
      </c>
      <c r="E108" s="3113">
        <v>0.15</v>
      </c>
      <c r="F108" s="3113">
        <v>20</v>
      </c>
    </row>
    <row r="109" spans="1:6" ht="13.5">
      <c r="A109" s="3113">
        <v>37</v>
      </c>
      <c r="B109" s="3760"/>
      <c r="C109" s="3113" t="s">
        <v>2730</v>
      </c>
      <c r="D109" s="3087" t="s">
        <v>2731</v>
      </c>
      <c r="E109" s="3113">
        <v>0.15</v>
      </c>
      <c r="F109" s="3113">
        <v>20</v>
      </c>
    </row>
    <row r="110" spans="1:6" ht="13.5">
      <c r="A110" s="3113">
        <v>38</v>
      </c>
      <c r="B110" s="3760"/>
      <c r="C110" s="3113" t="s">
        <v>2732</v>
      </c>
      <c r="D110" s="3087" t="s">
        <v>2733</v>
      </c>
      <c r="E110" s="3113">
        <v>0.1</v>
      </c>
      <c r="F110" s="3113">
        <v>15</v>
      </c>
    </row>
    <row r="111" spans="1:6" ht="24">
      <c r="A111" s="3113">
        <v>39</v>
      </c>
      <c r="B111" s="3760"/>
      <c r="C111" s="3113" t="s">
        <v>2734</v>
      </c>
      <c r="D111" s="3087" t="s">
        <v>2735</v>
      </c>
      <c r="E111" s="3113">
        <v>0.1</v>
      </c>
      <c r="F111" s="3113">
        <v>15</v>
      </c>
    </row>
    <row r="112" spans="1:6" ht="24">
      <c r="A112" s="3113">
        <v>40</v>
      </c>
      <c r="B112" s="3769"/>
      <c r="C112" s="3113" t="s">
        <v>2736</v>
      </c>
      <c r="D112" s="3087" t="s">
        <v>2737</v>
      </c>
      <c r="E112" s="3113">
        <v>0.1</v>
      </c>
      <c r="F112" s="3113">
        <v>15</v>
      </c>
    </row>
    <row r="113" spans="1:6" ht="13.5">
      <c r="A113" s="3113">
        <v>41</v>
      </c>
      <c r="B113" s="3770" t="s">
        <v>2738</v>
      </c>
      <c r="C113" s="3113" t="s">
        <v>2739</v>
      </c>
      <c r="D113" s="3087" t="s">
        <v>2740</v>
      </c>
      <c r="E113" s="3113">
        <v>0.1</v>
      </c>
      <c r="F113" s="3113">
        <v>15</v>
      </c>
    </row>
    <row r="114" spans="1:6" ht="13.5">
      <c r="A114" s="3113">
        <v>42</v>
      </c>
      <c r="B114" s="3770"/>
      <c r="C114" s="3113" t="s">
        <v>2741</v>
      </c>
      <c r="D114" s="3087" t="s">
        <v>2742</v>
      </c>
      <c r="E114" s="3113">
        <v>0.1</v>
      </c>
      <c r="F114" s="3113">
        <v>15</v>
      </c>
    </row>
    <row r="115" spans="1:6" ht="24">
      <c r="A115" s="3113">
        <v>43</v>
      </c>
      <c r="B115" s="3770"/>
      <c r="C115" s="3113" t="s">
        <v>2743</v>
      </c>
      <c r="D115" s="3087" t="s">
        <v>2744</v>
      </c>
      <c r="E115" s="3113">
        <v>0.1</v>
      </c>
      <c r="F115" s="3113">
        <v>15</v>
      </c>
    </row>
    <row r="116" spans="1:6" ht="13.5">
      <c r="A116" s="3113">
        <v>44</v>
      </c>
      <c r="B116" s="3765" t="s">
        <v>2745</v>
      </c>
      <c r="C116" s="3113" t="s">
        <v>2746</v>
      </c>
      <c r="D116" s="3087" t="s">
        <v>2747</v>
      </c>
      <c r="E116" s="3113">
        <v>0.1</v>
      </c>
      <c r="F116" s="3113">
        <v>15</v>
      </c>
    </row>
    <row r="117" spans="1:6" ht="24">
      <c r="A117" s="3113">
        <v>45</v>
      </c>
      <c r="B117" s="3769"/>
      <c r="C117" s="3087" t="s">
        <v>2748</v>
      </c>
      <c r="D117" s="3087" t="s">
        <v>2749</v>
      </c>
      <c r="E117" s="3113">
        <v>0.1</v>
      </c>
      <c r="F117" s="3113">
        <v>15</v>
      </c>
    </row>
    <row r="118" spans="1:6" ht="24">
      <c r="A118" s="3113">
        <v>46</v>
      </c>
      <c r="B118" s="3765" t="s">
        <v>2750</v>
      </c>
      <c r="C118" s="3113" t="s">
        <v>2751</v>
      </c>
      <c r="D118" s="3087" t="s">
        <v>2752</v>
      </c>
      <c r="E118" s="3113">
        <v>0.1</v>
      </c>
      <c r="F118" s="3113">
        <v>15</v>
      </c>
    </row>
    <row r="119" spans="1:6" ht="24">
      <c r="A119" s="3113">
        <v>47</v>
      </c>
      <c r="B119" s="3769"/>
      <c r="C119" s="3113" t="s">
        <v>2753</v>
      </c>
      <c r="D119" s="3087" t="s">
        <v>2754</v>
      </c>
      <c r="E119" s="3113">
        <v>0.1</v>
      </c>
      <c r="F119" s="3113">
        <v>15</v>
      </c>
    </row>
    <row r="120" spans="1:6" ht="13.5">
      <c r="A120" s="3113">
        <v>48</v>
      </c>
      <c r="B120" s="3765" t="s">
        <v>2755</v>
      </c>
      <c r="C120" s="3113" t="s">
        <v>2756</v>
      </c>
      <c r="D120" s="3087" t="s">
        <v>2757</v>
      </c>
      <c r="E120" s="3113">
        <v>0.1</v>
      </c>
      <c r="F120" s="3113">
        <v>15</v>
      </c>
    </row>
    <row r="121" spans="1:6" ht="13.5">
      <c r="A121" s="3113">
        <v>49</v>
      </c>
      <c r="B121" s="3769"/>
      <c r="C121" s="3113" t="s">
        <v>2758</v>
      </c>
      <c r="D121" s="3087" t="s">
        <v>2759</v>
      </c>
      <c r="E121" s="3113">
        <v>0.1</v>
      </c>
      <c r="F121" s="3113">
        <v>15</v>
      </c>
    </row>
    <row r="122" spans="1:6" ht="24">
      <c r="A122" s="3113">
        <v>50</v>
      </c>
      <c r="B122" s="3770" t="s">
        <v>2760</v>
      </c>
      <c r="C122" s="3113" t="s">
        <v>2761</v>
      </c>
      <c r="D122" s="3087" t="s">
        <v>2762</v>
      </c>
      <c r="E122" s="3113">
        <v>0.1</v>
      </c>
      <c r="F122" s="3113">
        <v>15</v>
      </c>
    </row>
    <row r="123" spans="1:6" ht="24">
      <c r="A123" s="3113">
        <v>51</v>
      </c>
      <c r="B123" s="3770"/>
      <c r="C123" s="3113" t="s">
        <v>2763</v>
      </c>
      <c r="D123" s="3087" t="s">
        <v>2764</v>
      </c>
      <c r="E123" s="3113">
        <v>0.1</v>
      </c>
      <c r="F123" s="3113">
        <v>15</v>
      </c>
    </row>
    <row r="124" spans="1:6" ht="24">
      <c r="A124" s="3113">
        <v>52</v>
      </c>
      <c r="B124" s="3770" t="s">
        <v>2765</v>
      </c>
      <c r="C124" s="3113" t="s">
        <v>2766</v>
      </c>
      <c r="D124" s="3087" t="s">
        <v>2767</v>
      </c>
      <c r="E124" s="3113">
        <v>0.1</v>
      </c>
      <c r="F124" s="3113">
        <v>15</v>
      </c>
    </row>
    <row r="125" spans="1:6" ht="24">
      <c r="A125" s="3113">
        <v>53</v>
      </c>
      <c r="B125" s="3770"/>
      <c r="C125" s="3113" t="s">
        <v>2768</v>
      </c>
      <c r="D125" s="3087" t="s">
        <v>2769</v>
      </c>
      <c r="E125" s="3113">
        <v>0.1</v>
      </c>
      <c r="F125" s="3113">
        <v>15</v>
      </c>
    </row>
    <row r="126" spans="1:6" ht="13.5">
      <c r="A126" s="3113">
        <v>54</v>
      </c>
      <c r="B126" s="3113" t="s">
        <v>2770</v>
      </c>
      <c r="C126" s="3113" t="s">
        <v>2771</v>
      </c>
      <c r="D126" s="3087" t="s">
        <v>2772</v>
      </c>
      <c r="E126" s="3113">
        <v>0.1</v>
      </c>
      <c r="F126" s="3113">
        <v>15</v>
      </c>
    </row>
    <row r="127" spans="1:6" ht="13.5">
      <c r="A127" s="3113">
        <v>55</v>
      </c>
      <c r="B127" s="3770" t="s">
        <v>2773</v>
      </c>
      <c r="C127" s="3113" t="s">
        <v>2774</v>
      </c>
      <c r="D127" s="3087" t="s">
        <v>2775</v>
      </c>
      <c r="E127" s="3113">
        <v>0.1</v>
      </c>
      <c r="F127" s="3113">
        <v>15</v>
      </c>
    </row>
    <row r="128" spans="1:6" ht="13.5">
      <c r="A128" s="3113">
        <v>56</v>
      </c>
      <c r="B128" s="3770"/>
      <c r="C128" s="3113" t="s">
        <v>2776</v>
      </c>
      <c r="D128" s="3087" t="s">
        <v>2777</v>
      </c>
      <c r="E128" s="3113">
        <v>0.1</v>
      </c>
      <c r="F128" s="3113">
        <v>15</v>
      </c>
    </row>
    <row r="129" spans="1:6" ht="24">
      <c r="A129" s="3113">
        <v>57</v>
      </c>
      <c r="B129" s="3770"/>
      <c r="C129" s="3113" t="s">
        <v>2778</v>
      </c>
      <c r="D129" s="3087" t="s">
        <v>2779</v>
      </c>
      <c r="E129" s="3113">
        <v>0.1</v>
      </c>
      <c r="F129" s="3113">
        <v>15</v>
      </c>
    </row>
    <row r="130" spans="1:6" ht="24">
      <c r="A130" s="3113">
        <v>58</v>
      </c>
      <c r="B130" s="3770" t="s">
        <v>2780</v>
      </c>
      <c r="C130" s="3113" t="s">
        <v>2781</v>
      </c>
      <c r="D130" s="3087" t="s">
        <v>2782</v>
      </c>
      <c r="E130" s="3113">
        <v>0.1</v>
      </c>
      <c r="F130" s="3113">
        <v>15</v>
      </c>
    </row>
    <row r="131" spans="1:6" ht="13.5">
      <c r="A131" s="3113">
        <v>59</v>
      </c>
      <c r="B131" s="3770"/>
      <c r="C131" s="3113" t="s">
        <v>2783</v>
      </c>
      <c r="D131" s="3087" t="s">
        <v>2784</v>
      </c>
      <c r="E131" s="3113">
        <v>0.1</v>
      </c>
      <c r="F131" s="3113">
        <v>15</v>
      </c>
    </row>
    <row r="132" spans="1:6" ht="13.5">
      <c r="A132" s="3113">
        <v>60</v>
      </c>
      <c r="B132" s="3765" t="s">
        <v>2785</v>
      </c>
      <c r="C132" s="3113" t="s">
        <v>2786</v>
      </c>
      <c r="D132" s="3087" t="s">
        <v>2787</v>
      </c>
      <c r="E132" s="3113">
        <v>0.1</v>
      </c>
      <c r="F132" s="3113">
        <v>15</v>
      </c>
    </row>
    <row r="133" spans="1:6" ht="13.5">
      <c r="A133" s="3113">
        <v>61</v>
      </c>
      <c r="B133" s="3769"/>
      <c r="C133" s="3113" t="s">
        <v>2788</v>
      </c>
      <c r="D133" s="3087" t="s">
        <v>2789</v>
      </c>
      <c r="E133" s="3113">
        <v>0.1</v>
      </c>
      <c r="F133" s="3113">
        <v>15</v>
      </c>
    </row>
    <row r="134" spans="1:6" ht="24">
      <c r="A134" s="3113">
        <v>62</v>
      </c>
      <c r="B134" s="3113" t="s">
        <v>2790</v>
      </c>
      <c r="C134" s="3113" t="s">
        <v>2791</v>
      </c>
      <c r="D134" s="3087" t="s">
        <v>2792</v>
      </c>
      <c r="E134" s="3113">
        <v>0.1</v>
      </c>
      <c r="F134" s="3113">
        <v>15</v>
      </c>
    </row>
    <row r="135" spans="1:6" ht="13.5">
      <c r="A135" s="3113">
        <v>63</v>
      </c>
      <c r="B135" s="3770" t="s">
        <v>2793</v>
      </c>
      <c r="C135" s="3113" t="s">
        <v>2794</v>
      </c>
      <c r="D135" s="3087" t="s">
        <v>2795</v>
      </c>
      <c r="E135" s="3113">
        <v>0.1</v>
      </c>
      <c r="F135" s="3113">
        <v>15</v>
      </c>
    </row>
    <row r="136" spans="1:6" ht="13.5">
      <c r="A136" s="3113">
        <v>64</v>
      </c>
      <c r="B136" s="3770"/>
      <c r="C136" s="3113" t="s">
        <v>2796</v>
      </c>
      <c r="D136" s="3087" t="s">
        <v>2797</v>
      </c>
      <c r="E136" s="3113">
        <v>0.1</v>
      </c>
      <c r="F136" s="3113">
        <v>15</v>
      </c>
    </row>
    <row r="137" spans="1:6" ht="13.5">
      <c r="A137" s="3113">
        <v>65</v>
      </c>
      <c r="B137" s="3113" t="s">
        <v>2798</v>
      </c>
      <c r="C137" s="3113" t="s">
        <v>2799</v>
      </c>
      <c r="D137" s="3087" t="s">
        <v>2800</v>
      </c>
      <c r="E137" s="3113">
        <v>0.1</v>
      </c>
      <c r="F137" s="3113">
        <v>15</v>
      </c>
    </row>
    <row r="138" spans="1:6" ht="13.5">
      <c r="A138" s="3113"/>
      <c r="B138" s="3113"/>
      <c r="C138" s="3113"/>
      <c r="D138" s="3113"/>
      <c r="E138" s="3113" t="s">
        <v>2801</v>
      </c>
      <c r="F138" s="3113"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2802</v>
      </c>
      <c r="B1" s="3122"/>
      <c r="C1" s="3122"/>
      <c r="D1" s="3122"/>
      <c r="E1" s="3122"/>
      <c r="F1" s="3122"/>
      <c r="G1" s="3122"/>
      <c r="H1" s="3122"/>
      <c r="I1" s="3122"/>
      <c r="J1" s="3122"/>
      <c r="K1" s="3122"/>
      <c r="L1" s="3122"/>
      <c r="M1" s="3122"/>
      <c r="N1" s="745"/>
    </row>
    <row r="2" spans="1:20">
      <c r="A2" s="3123" t="s">
        <v>2803</v>
      </c>
      <c r="B2" s="3124" t="s">
        <v>2599</v>
      </c>
      <c r="C2" s="3124" t="s">
        <v>2600</v>
      </c>
      <c r="D2" s="3124" t="s">
        <v>2601</v>
      </c>
      <c r="E2" s="3124" t="s">
        <v>2602</v>
      </c>
      <c r="F2" s="3124" t="s">
        <v>2603</v>
      </c>
      <c r="G2" s="3124" t="s">
        <v>2604</v>
      </c>
      <c r="H2" s="3125" t="s">
        <v>2605</v>
      </c>
      <c r="I2" s="3125" t="s">
        <v>2606</v>
      </c>
      <c r="J2" s="3126" t="s">
        <v>2607</v>
      </c>
      <c r="K2" s="3126" t="s">
        <v>2608</v>
      </c>
      <c r="L2" s="3126" t="s">
        <v>2609</v>
      </c>
      <c r="M2" s="3127" t="s">
        <v>2610</v>
      </c>
      <c r="Q2" s="3137" t="s">
        <v>2808</v>
      </c>
      <c r="R2" s="3137" t="s">
        <v>2809</v>
      </c>
      <c r="S2" s="3137" t="s">
        <v>2810</v>
      </c>
      <c r="T2" s="3137" t="s">
        <v>2811</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2804</v>
      </c>
      <c r="B93" s="3122"/>
      <c r="C93" s="3122"/>
      <c r="D93" s="3122"/>
      <c r="E93" s="3122"/>
      <c r="F93" s="3122"/>
      <c r="G93" s="3122"/>
      <c r="H93" s="3122"/>
      <c r="I93" s="3122"/>
      <c r="J93" s="3122"/>
      <c r="K93" s="3122"/>
      <c r="L93" s="3122"/>
      <c r="M93" s="3122"/>
    </row>
    <row r="94" spans="1:20">
      <c r="A94" s="3123" t="s">
        <v>2803</v>
      </c>
      <c r="B94" s="3124" t="s">
        <v>2599</v>
      </c>
      <c r="C94" s="3124" t="s">
        <v>2600</v>
      </c>
      <c r="D94" s="3124" t="s">
        <v>2601</v>
      </c>
      <c r="E94" s="3124" t="s">
        <v>2602</v>
      </c>
      <c r="F94" s="3124" t="s">
        <v>2603</v>
      </c>
      <c r="G94" s="3124" t="s">
        <v>2604</v>
      </c>
      <c r="H94" s="3125" t="s">
        <v>2605</v>
      </c>
      <c r="I94" s="3125" t="s">
        <v>2606</v>
      </c>
      <c r="J94" s="3126" t="s">
        <v>2607</v>
      </c>
      <c r="K94" s="3126" t="s">
        <v>2608</v>
      </c>
      <c r="L94" s="3126" t="s">
        <v>2609</v>
      </c>
      <c r="M94" s="3127" t="s">
        <v>2610</v>
      </c>
      <c r="N94" s="746">
        <f>SUMPRODUCT((A95:A184=ROUNDDOWN(基准地价修正!G3,1))*(B94:M94=基准地价修正!G2)*(B95:M184))</f>
        <v>0</v>
      </c>
      <c r="Q94" s="3137" t="s">
        <v>2808</v>
      </c>
      <c r="R94" s="3137" t="s">
        <v>2809</v>
      </c>
      <c r="S94" s="3137" t="s">
        <v>2810</v>
      </c>
      <c r="T94" s="3137" t="s">
        <v>2811</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2805</v>
      </c>
      <c r="B185" s="3122"/>
      <c r="C185" s="3122"/>
      <c r="D185" s="3122"/>
      <c r="E185" s="3122"/>
      <c r="F185" s="3122"/>
      <c r="G185" s="3122"/>
      <c r="H185" s="3122"/>
      <c r="I185" s="3122"/>
      <c r="J185" s="3122"/>
      <c r="K185" s="3122"/>
      <c r="L185" s="3122"/>
      <c r="M185" s="3122"/>
    </row>
    <row r="186" spans="1:20">
      <c r="A186" s="3123" t="s">
        <v>2803</v>
      </c>
      <c r="B186" s="3124" t="s">
        <v>2599</v>
      </c>
      <c r="C186" s="3124" t="s">
        <v>2600</v>
      </c>
      <c r="D186" s="3124" t="s">
        <v>2601</v>
      </c>
      <c r="E186" s="3124" t="s">
        <v>2602</v>
      </c>
      <c r="F186" s="3124" t="s">
        <v>2603</v>
      </c>
      <c r="G186" s="3124" t="s">
        <v>2604</v>
      </c>
      <c r="H186" s="3125" t="s">
        <v>2605</v>
      </c>
      <c r="I186" s="3125" t="s">
        <v>2606</v>
      </c>
      <c r="J186" s="3126" t="s">
        <v>2607</v>
      </c>
      <c r="K186" s="3126" t="s">
        <v>2608</v>
      </c>
      <c r="L186" s="3126" t="s">
        <v>2609</v>
      </c>
      <c r="M186" s="3127" t="s">
        <v>2610</v>
      </c>
      <c r="Q186" s="3137" t="s">
        <v>2808</v>
      </c>
      <c r="R186" s="3137" t="s">
        <v>2809</v>
      </c>
      <c r="S186" s="3137" t="s">
        <v>2810</v>
      </c>
      <c r="T186" s="3137" t="s">
        <v>2811</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2806</v>
      </c>
      <c r="B277" s="3122"/>
      <c r="C277" s="3122"/>
      <c r="D277" s="3122"/>
      <c r="E277" s="3122"/>
      <c r="F277" s="3122"/>
      <c r="G277" s="3122"/>
      <c r="H277" s="3122"/>
      <c r="I277" s="3122"/>
      <c r="J277" s="3122"/>
      <c r="K277" s="3122"/>
      <c r="L277" s="3122"/>
      <c r="M277" s="3122"/>
    </row>
    <row r="278" spans="1:21">
      <c r="A278" s="3123" t="s">
        <v>2803</v>
      </c>
      <c r="B278" s="3124" t="s">
        <v>2599</v>
      </c>
      <c r="C278" s="3124" t="s">
        <v>2600</v>
      </c>
      <c r="D278" s="3124" t="s">
        <v>2601</v>
      </c>
      <c r="E278" s="3124" t="s">
        <v>2602</v>
      </c>
      <c r="F278" s="3124" t="s">
        <v>2603</v>
      </c>
      <c r="G278" s="3124" t="s">
        <v>2604</v>
      </c>
      <c r="H278" s="3125" t="s">
        <v>2605</v>
      </c>
      <c r="I278" s="3125" t="s">
        <v>2606</v>
      </c>
      <c r="J278" s="3126" t="s">
        <v>2607</v>
      </c>
      <c r="K278" s="3126" t="s">
        <v>2608</v>
      </c>
      <c r="L278" s="3126" t="s">
        <v>2609</v>
      </c>
      <c r="M278" s="3127" t="s">
        <v>2610</v>
      </c>
      <c r="Q278" s="3137" t="s">
        <v>2808</v>
      </c>
      <c r="R278" s="3137" t="s">
        <v>2809</v>
      </c>
      <c r="S278" s="3137" t="s">
        <v>2812</v>
      </c>
      <c r="T278" s="3137" t="s">
        <v>2813</v>
      </c>
      <c r="U278" s="3137" t="s">
        <v>2811</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2807</v>
      </c>
      <c r="B369" s="3135"/>
      <c r="C369" s="3135"/>
      <c r="D369" s="3135"/>
      <c r="E369" s="3135"/>
      <c r="F369" s="3135"/>
      <c r="G369" s="3135"/>
      <c r="H369" s="3135"/>
      <c r="I369" s="3135"/>
      <c r="J369" s="3135"/>
      <c r="K369" s="3135"/>
      <c r="L369" s="3135"/>
      <c r="M369" s="3135"/>
    </row>
    <row r="370" spans="1:20">
      <c r="A370" s="3123" t="s">
        <v>2803</v>
      </c>
      <c r="B370" s="3124" t="s">
        <v>2599</v>
      </c>
      <c r="C370" s="3124" t="s">
        <v>2600</v>
      </c>
      <c r="D370" s="3124" t="s">
        <v>2601</v>
      </c>
      <c r="E370" s="3124" t="s">
        <v>2602</v>
      </c>
      <c r="F370" s="3124" t="s">
        <v>2603</v>
      </c>
      <c r="G370" s="3124" t="s">
        <v>2604</v>
      </c>
      <c r="H370" s="3125" t="s">
        <v>2605</v>
      </c>
      <c r="I370" s="3125" t="s">
        <v>2606</v>
      </c>
      <c r="J370" s="3126" t="s">
        <v>2607</v>
      </c>
      <c r="K370" s="3126" t="s">
        <v>2608</v>
      </c>
      <c r="L370" s="3126" t="s">
        <v>2609</v>
      </c>
      <c r="M370" s="3127" t="s">
        <v>2610</v>
      </c>
      <c r="N370" s="746">
        <f>SUMPRODUCT((A371:A460=ROUNDDOWN(基准地价修正!G3,1))*(B370:M370=基准地价修正!G2)*(B371:M460))</f>
        <v>0</v>
      </c>
      <c r="Q370" s="3137" t="s">
        <v>2808</v>
      </c>
      <c r="R370" s="3137" t="s">
        <v>2809</v>
      </c>
      <c r="S370" s="3137" t="s">
        <v>2810</v>
      </c>
      <c r="T370" s="3137" t="s">
        <v>2811</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29206</v>
      </c>
      <c r="C2" s="2" t="s">
        <v>106</v>
      </c>
      <c r="D2" s="199"/>
      <c r="E2" s="199"/>
      <c r="F2" s="199"/>
      <c r="G2" s="199"/>
    </row>
    <row r="3" spans="1:7" s="200" customFormat="1" ht="18" customHeight="1" thickBot="1">
      <c r="A3" s="203" t="s">
        <v>58</v>
      </c>
      <c r="B3" s="204">
        <f ca="1">ROUND(B2*10000/'数据-汇总表'!E3,0)</f>
        <v>509463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0</v>
      </c>
      <c r="F9" s="221"/>
      <c r="G9" s="226"/>
    </row>
    <row r="10" spans="1:7" s="214" customFormat="1" ht="13.5" customHeight="1">
      <c r="A10" s="775" t="s">
        <v>356</v>
      </c>
      <c r="B10" s="224" t="s">
        <v>67</v>
      </c>
      <c r="C10" s="225">
        <f>ROUND(D10*E10/10000,0)</f>
        <v>11</v>
      </c>
      <c r="D10" s="841">
        <f>'数据-汇总表'!E6</f>
        <v>573.27</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11</v>
      </c>
      <c r="D19" s="845">
        <f>'数据-汇总表'!E3</f>
        <v>573.27</v>
      </c>
      <c r="E19" s="211">
        <f>'数据-取费表'!B31</f>
        <v>200</v>
      </c>
      <c r="F19" s="231"/>
      <c r="G19" s="1" t="s">
        <v>436</v>
      </c>
    </row>
    <row r="20" spans="1:7" s="214" customFormat="1" ht="13.5" customHeight="1">
      <c r="A20" s="773" t="s">
        <v>419</v>
      </c>
      <c r="B20" s="210" t="s">
        <v>77</v>
      </c>
      <c r="C20" s="232">
        <f>ROUND((C5+C19)*F20,0)</f>
        <v>412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4207</v>
      </c>
      <c r="D27" s="235">
        <f>C29</f>
        <v>4.0000000000000001E-3</v>
      </c>
      <c r="E27" s="236" t="s">
        <v>99</v>
      </c>
      <c r="F27" s="246">
        <f>'数据-取费表'!Q16</f>
        <v>0.2</v>
      </c>
      <c r="G27" s="247" t="s">
        <v>431</v>
      </c>
    </row>
    <row r="28" spans="1:7" s="214" customFormat="1" ht="13.5" customHeight="1">
      <c r="A28" s="776" t="s">
        <v>349</v>
      </c>
      <c r="B28" s="248" t="s">
        <v>424</v>
      </c>
      <c r="C28" s="249">
        <f>ROUND((C5+C19+C20)*F27*'数据-取费表'!B21/'数据-取费表'!B20,0)</f>
        <v>4207</v>
      </c>
      <c r="D28" s="235"/>
      <c r="E28" s="236"/>
      <c r="F28" s="246"/>
      <c r="G28" s="247"/>
    </row>
    <row r="29" spans="1:7" s="214" customFormat="1" ht="13.5" customHeight="1">
      <c r="A29" s="776" t="s">
        <v>347</v>
      </c>
      <c r="B29" s="248" t="s">
        <v>425</v>
      </c>
      <c r="C29" s="238">
        <f>ROUND(C21*F27*'数据-取费表'!B21/'数据-取费表'!B20,4)</f>
        <v>4.0000000000000001E-3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254</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229</v>
      </c>
      <c r="D34" s="217"/>
      <c r="E34" s="220"/>
      <c r="F34" s="257">
        <f>IF('数据-取费表'!B24=0,1,'数据-取费表'!N16)</f>
        <v>1</v>
      </c>
      <c r="G34" s="219" t="s">
        <v>89</v>
      </c>
    </row>
    <row r="35" spans="1:7" ht="13.5" customHeight="1">
      <c r="A35" s="776" t="s">
        <v>351</v>
      </c>
      <c r="B35" s="215" t="s">
        <v>33</v>
      </c>
      <c r="C35" s="220">
        <f>ROUND(C34*F35,0)</f>
        <v>9</v>
      </c>
      <c r="D35" s="220"/>
      <c r="E35" s="220"/>
      <c r="F35" s="259">
        <f>'数据-取费表'!B33</f>
        <v>0.04</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11</v>
      </c>
      <c r="D37" s="217">
        <f>'数据-汇总表'!E3</f>
        <v>573.27</v>
      </c>
      <c r="E37" s="249">
        <f>'数据-取费表'!B35</f>
        <v>200</v>
      </c>
      <c r="F37" s="259"/>
      <c r="G37" s="261" t="s">
        <v>92</v>
      </c>
    </row>
    <row r="38" spans="1:7" ht="13.5" customHeight="1">
      <c r="A38" s="776" t="s">
        <v>354</v>
      </c>
      <c r="B38" s="215" t="s">
        <v>36</v>
      </c>
      <c r="C38" s="220">
        <f>ROUND(C34*F38,0)</f>
        <v>5</v>
      </c>
      <c r="D38" s="220"/>
      <c r="E38" s="220"/>
      <c r="F38" s="259">
        <f>'数据-取费表'!B36</f>
        <v>0.02</v>
      </c>
      <c r="G38" s="219" t="s">
        <v>90</v>
      </c>
    </row>
    <row r="39" spans="1:7" s="214" customFormat="1" ht="13.5" customHeight="1">
      <c r="A39" s="773" t="s">
        <v>338</v>
      </c>
      <c r="B39" s="210" t="s">
        <v>77</v>
      </c>
      <c r="C39" s="232">
        <f>ROUND(C33*F20,0)</f>
        <v>5</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9</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9</v>
      </c>
      <c r="D42" s="238"/>
      <c r="E42" s="238"/>
      <c r="F42" s="239"/>
      <c r="G42" s="3635" t="s">
        <v>94</v>
      </c>
    </row>
    <row r="43" spans="1:7" ht="13.5" customHeight="1">
      <c r="A43" s="776" t="s">
        <v>347</v>
      </c>
      <c r="B43" s="215" t="s">
        <v>426</v>
      </c>
      <c r="C43" s="238">
        <f ca="1">ROUND(IF('数据-取费表'!B22&lt;=1,C39*F22*'数据-取费表'!B21/2,C39*(POWER((1+F22),'数据-取费表'!B21/2)-1)),0)</f>
        <v>0</v>
      </c>
      <c r="D43" s="238"/>
      <c r="E43" s="238"/>
      <c r="F43" s="239"/>
      <c r="G43" s="3636"/>
    </row>
    <row r="44" spans="1:7" ht="13.5" customHeight="1">
      <c r="A44" s="776"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3" t="s">
        <v>341</v>
      </c>
      <c r="B45" s="244" t="s">
        <v>85</v>
      </c>
      <c r="C45" s="245">
        <f>C46</f>
        <v>52</v>
      </c>
      <c r="D45" s="235">
        <f>C47</f>
        <v>4.0000000000000001E-3</v>
      </c>
      <c r="E45" s="236" t="s">
        <v>102</v>
      </c>
      <c r="F45" s="246"/>
      <c r="G45" s="247" t="s">
        <v>434</v>
      </c>
    </row>
    <row r="46" spans="1:7" s="214" customFormat="1" ht="13.5" customHeight="1">
      <c r="A46" s="776" t="s">
        <v>349</v>
      </c>
      <c r="B46" s="248" t="s">
        <v>427</v>
      </c>
      <c r="C46" s="249">
        <f>ROUND((C33+C39)*F27,0)</f>
        <v>52</v>
      </c>
      <c r="D46" s="263"/>
      <c r="E46" s="236"/>
      <c r="F46" s="246"/>
      <c r="G46" s="247"/>
    </row>
    <row r="47" spans="1:7" s="214" customFormat="1" ht="13.5" customHeight="1">
      <c r="A47" s="776" t="s">
        <v>347</v>
      </c>
      <c r="B47" s="248" t="s">
        <v>429</v>
      </c>
      <c r="C47" s="238">
        <f>ROUND(C40*F27,4)</f>
        <v>4.0000000000000001E-3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347</v>
      </c>
      <c r="D49" s="232"/>
      <c r="E49" s="232"/>
      <c r="F49" s="264"/>
      <c r="G49" s="234" t="s">
        <v>435</v>
      </c>
    </row>
    <row r="50" spans="1:7" s="258" customFormat="1" ht="24">
      <c r="A50" s="773" t="s">
        <v>344</v>
      </c>
      <c r="B50" s="210" t="s">
        <v>97</v>
      </c>
      <c r="C50" s="232"/>
      <c r="D50" s="232"/>
      <c r="E50" s="232"/>
      <c r="F50" s="264">
        <f>IF('数据-取费表'!B24=0,'数据-取费表'!N16,1)</f>
        <v>0.79</v>
      </c>
      <c r="G50" s="247" t="s">
        <v>98</v>
      </c>
    </row>
    <row r="51" spans="1:7" ht="16.5" customHeight="1">
      <c r="A51" s="773" t="s">
        <v>345</v>
      </c>
      <c r="B51" s="210" t="s">
        <v>105</v>
      </c>
      <c r="C51" s="232">
        <f ca="1">ROUND(C49*F50,0)</f>
        <v>274</v>
      </c>
      <c r="D51" s="232"/>
      <c r="E51" s="232"/>
      <c r="F51" s="264"/>
      <c r="G51" s="234" t="s">
        <v>37</v>
      </c>
    </row>
    <row r="52" spans="1:7" s="208" customFormat="1" ht="16.5" thickBot="1">
      <c r="A52" s="265" t="s">
        <v>38</v>
      </c>
      <c r="B52" s="266"/>
      <c r="C52" s="267">
        <f ca="1">C31+C51</f>
        <v>29206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88"/>
      <c r="B4" s="3456" t="s">
        <v>917</v>
      </c>
      <c r="C4" s="3456"/>
      <c r="D4" s="3456"/>
      <c r="E4" s="1488"/>
    </row>
    <row r="5" spans="1:5" ht="16.5" thickTop="1">
      <c r="A5" s="1486"/>
      <c r="B5" s="3454" t="s">
        <v>909</v>
      </c>
      <c r="C5" s="1489" t="s">
        <v>910</v>
      </c>
      <c r="D5" s="846">
        <f ca="1">结果表!H101</f>
        <v>1001</v>
      </c>
      <c r="E5" s="1486"/>
    </row>
    <row r="6" spans="1:5" ht="15.75">
      <c r="A6" s="1486"/>
      <c r="B6" s="3454"/>
      <c r="C6" s="1489" t="s">
        <v>911</v>
      </c>
      <c r="D6" s="846" t="str">
        <f ca="1">NUMBERSTRING(INT(D5*10000),2)&amp;"元整"</f>
        <v>壹仟零壹万元整</v>
      </c>
      <c r="E6" s="1486"/>
    </row>
    <row r="7" spans="1:5" ht="15.75">
      <c r="A7" s="1486"/>
      <c r="B7" s="3459"/>
      <c r="C7" s="1490" t="s">
        <v>912</v>
      </c>
      <c r="D7" s="847">
        <f ca="1">结果表!H102</f>
        <v>17469</v>
      </c>
      <c r="E7" s="1486"/>
    </row>
    <row r="8" spans="1:5" ht="15.75">
      <c r="A8" s="1486"/>
      <c r="B8" s="3460" t="str">
        <f>结果表!E103</f>
        <v>2.估价师知悉的法定优先受偿款</v>
      </c>
      <c r="C8" s="1491" t="s">
        <v>913</v>
      </c>
      <c r="D8" s="847">
        <f>结果表!H103</f>
        <v>0</v>
      </c>
      <c r="E8" s="1486"/>
    </row>
    <row r="9" spans="1:5" ht="15.75">
      <c r="A9" s="1486"/>
      <c r="B9" s="3462"/>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453" t="str">
        <f>结果表!E107</f>
        <v>3.房地产抵押价值</v>
      </c>
      <c r="C13" s="1494" t="s">
        <v>910</v>
      </c>
      <c r="D13" s="849">
        <f ca="1">结果表!H107</f>
        <v>1001</v>
      </c>
      <c r="E13" s="1486"/>
    </row>
    <row r="14" spans="1:5" ht="15.75">
      <c r="A14" s="1486"/>
      <c r="B14" s="3454"/>
      <c r="C14" s="1489" t="s">
        <v>911</v>
      </c>
      <c r="D14" s="846" t="str">
        <f ca="1">NUMBERSTRING(INT(D13*10000),2)&amp;"元整"</f>
        <v>壹仟零壹万元整</v>
      </c>
      <c r="E14" s="1486"/>
    </row>
    <row r="15" spans="1:5" ht="15">
      <c r="A15" s="1486"/>
      <c r="B15" s="3459"/>
      <c r="C15" s="1490" t="s">
        <v>921</v>
      </c>
      <c r="D15" s="855">
        <f ca="1">结果表!H108</f>
        <v>17469</v>
      </c>
      <c r="E15" s="1486"/>
    </row>
    <row r="16" spans="1:5" ht="15">
      <c r="A16" s="1486"/>
      <c r="B16" s="3460" t="str">
        <f>结果表!E109</f>
        <v>——</v>
      </c>
      <c r="C16" s="1494" t="s">
        <v>922</v>
      </c>
      <c r="D16" s="1495" t="str">
        <f>结果表!H109</f>
        <v>——</v>
      </c>
      <c r="E16" s="1486"/>
    </row>
    <row r="17" spans="1:5" ht="15.75">
      <c r="A17" s="1486"/>
      <c r="B17" s="3461"/>
      <c r="C17" s="1489" t="s">
        <v>923</v>
      </c>
      <c r="D17" s="846" t="e">
        <f>NUMBERSTRING(INT(D16*10000),2)&amp;"元整"</f>
        <v>#VALUE!</v>
      </c>
      <c r="E17" s="1486"/>
    </row>
    <row r="18" spans="1:5" ht="15">
      <c r="A18" s="1486"/>
      <c r="B18" s="3462"/>
      <c r="C18" s="1490" t="s">
        <v>912</v>
      </c>
      <c r="D18" s="855" t="str">
        <f>结果表!H110</f>
        <v>——</v>
      </c>
      <c r="E18" s="1486"/>
    </row>
    <row r="19" spans="1:5" ht="15.75">
      <c r="A19" s="1486"/>
      <c r="B19" s="3453" t="str">
        <f>结果表!E111</f>
        <v>——</v>
      </c>
      <c r="C19" s="1494" t="s">
        <v>910</v>
      </c>
      <c r="D19" s="847" t="str">
        <f>结果表!H111</f>
        <v>——</v>
      </c>
      <c r="E19" s="1486"/>
    </row>
    <row r="20" spans="1:5" ht="15.75">
      <c r="A20" s="1486"/>
      <c r="B20" s="3454"/>
      <c r="C20" s="1489" t="s">
        <v>923</v>
      </c>
      <c r="D20" s="846" t="e">
        <f>NUMBERSTRING(INT(D19*10000),2)&amp;"元整"</f>
        <v>#VALUE!</v>
      </c>
      <c r="E20" s="1486"/>
    </row>
    <row r="21" spans="1:5" ht="15.75" thickBot="1">
      <c r="A21" s="1486"/>
      <c r="B21" s="3455"/>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52" sqref="M52"/>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3" t="s">
        <v>2843</v>
      </c>
      <c r="B1" s="3773"/>
      <c r="C1" s="3773"/>
      <c r="D1" s="3773"/>
      <c r="E1" s="3773"/>
      <c r="F1" s="3773"/>
      <c r="G1" s="3774"/>
      <c r="I1" s="3218" t="s">
        <v>2844</v>
      </c>
      <c r="J1" s="3219" t="s">
        <v>2845</v>
      </c>
      <c r="K1" s="3219" t="s">
        <v>2846</v>
      </c>
      <c r="L1" s="3219" t="s">
        <v>2847</v>
      </c>
      <c r="M1" s="3219" t="s">
        <v>2848</v>
      </c>
      <c r="N1" s="3219" t="s">
        <v>2849</v>
      </c>
      <c r="O1" s="3219" t="s">
        <v>2850</v>
      </c>
      <c r="P1" s="3219" t="s">
        <v>2851</v>
      </c>
      <c r="Q1" s="3219" t="s">
        <v>2852</v>
      </c>
      <c r="R1" s="3219" t="s">
        <v>2853</v>
      </c>
      <c r="S1" s="3219" t="s">
        <v>2854</v>
      </c>
      <c r="T1" s="3220" t="s">
        <v>2855</v>
      </c>
    </row>
    <row r="2" spans="1:20" ht="12" thickBot="1">
      <c r="A2" s="3222" t="s">
        <v>2856</v>
      </c>
      <c r="B2" s="3222"/>
      <c r="C2" s="3222"/>
      <c r="D2" s="3222"/>
      <c r="E2" s="3222"/>
      <c r="F2" s="3222"/>
      <c r="G2" s="3223" t="s">
        <v>2857</v>
      </c>
      <c r="I2" s="3224" t="s">
        <v>2858</v>
      </c>
      <c r="J2" s="3224" t="s">
        <v>2859</v>
      </c>
      <c r="K2" s="3224" t="s">
        <v>2860</v>
      </c>
      <c r="L2" s="3224" t="s">
        <v>2861</v>
      </c>
      <c r="M2" s="3224" t="s">
        <v>2862</v>
      </c>
      <c r="N2" s="3224" t="s">
        <v>2863</v>
      </c>
      <c r="O2" s="3224" t="s">
        <v>2864</v>
      </c>
      <c r="P2" s="3224" t="s">
        <v>2865</v>
      </c>
      <c r="Q2" s="3224" t="s">
        <v>2866</v>
      </c>
      <c r="R2" s="3224" t="s">
        <v>2867</v>
      </c>
      <c r="S2" s="3224" t="s">
        <v>2868</v>
      </c>
      <c r="T2" s="3224" t="s">
        <v>2869</v>
      </c>
    </row>
    <row r="3" spans="1:20" s="3230" customFormat="1">
      <c r="A3" s="3771" t="s">
        <v>2870</v>
      </c>
      <c r="B3" s="3225"/>
      <c r="C3" s="3226" t="s">
        <v>2815</v>
      </c>
      <c r="D3" s="3226" t="s">
        <v>2871</v>
      </c>
      <c r="E3" s="3226" t="s">
        <v>2817</v>
      </c>
      <c r="F3" s="3226" t="s">
        <v>2872</v>
      </c>
      <c r="G3" s="3226" t="s">
        <v>2635</v>
      </c>
      <c r="H3" s="3227"/>
      <c r="I3" s="3228" t="s">
        <v>2873</v>
      </c>
      <c r="J3" s="3229" t="s">
        <v>128</v>
      </c>
      <c r="K3" s="3229" t="s">
        <v>129</v>
      </c>
      <c r="L3" s="3228" t="s">
        <v>130</v>
      </c>
      <c r="M3" s="3228" t="s">
        <v>131</v>
      </c>
      <c r="N3" s="3228" t="s">
        <v>132</v>
      </c>
      <c r="O3" s="3228" t="s">
        <v>133</v>
      </c>
      <c r="P3" s="3228" t="s">
        <v>134</v>
      </c>
      <c r="Q3" s="3228" t="s">
        <v>135</v>
      </c>
      <c r="R3" s="3228" t="s">
        <v>136</v>
      </c>
      <c r="S3" s="3228" t="s">
        <v>2874</v>
      </c>
      <c r="T3" s="3228" t="s">
        <v>2875</v>
      </c>
    </row>
    <row r="4" spans="1:20" s="3230" customFormat="1" ht="12" thickBot="1">
      <c r="A4" s="3772"/>
      <c r="B4" s="3231" t="s">
        <v>2876</v>
      </c>
      <c r="C4" s="3231" t="s">
        <v>2877</v>
      </c>
      <c r="D4" s="3231" t="s">
        <v>2877</v>
      </c>
      <c r="E4" s="3231" t="s">
        <v>2877</v>
      </c>
      <c r="F4" s="3232" t="s">
        <v>2877</v>
      </c>
      <c r="G4" s="3232" t="s">
        <v>2877</v>
      </c>
      <c r="H4" s="3227"/>
      <c r="I4" s="3229" t="s">
        <v>137</v>
      </c>
      <c r="J4" s="3229" t="s">
        <v>111</v>
      </c>
      <c r="K4" s="3229" t="s">
        <v>138</v>
      </c>
      <c r="L4" s="3228" t="s">
        <v>139</v>
      </c>
      <c r="M4" s="3228" t="s">
        <v>140</v>
      </c>
      <c r="N4" s="3228" t="s">
        <v>141</v>
      </c>
      <c r="O4" s="3228" t="s">
        <v>142</v>
      </c>
      <c r="P4" s="3228" t="s">
        <v>143</v>
      </c>
      <c r="Q4" s="3228" t="s">
        <v>2878</v>
      </c>
      <c r="R4" s="3228" t="s">
        <v>2879</v>
      </c>
      <c r="S4" s="3228" t="s">
        <v>2880</v>
      </c>
      <c r="T4" s="3228" t="s">
        <v>2881</v>
      </c>
    </row>
    <row r="5" spans="1:20">
      <c r="A5" s="3233" t="s">
        <v>2844</v>
      </c>
      <c r="B5" s="3224" t="s">
        <v>2858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2882</v>
      </c>
      <c r="R5" s="3228" t="s">
        <v>2883</v>
      </c>
      <c r="S5" s="3228" t="s">
        <v>153</v>
      </c>
      <c r="T5" s="3228" t="s">
        <v>2884</v>
      </c>
    </row>
    <row r="6" spans="1:20" ht="12" thickBot="1">
      <c r="A6" s="3228" t="s">
        <v>144</v>
      </c>
      <c r="B6" s="3228" t="s">
        <v>2873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2885</v>
      </c>
      <c r="Q6" s="3228" t="s">
        <v>2886</v>
      </c>
      <c r="R6" s="3228" t="s">
        <v>161</v>
      </c>
      <c r="S6" s="3228" t="s">
        <v>2887</v>
      </c>
      <c r="T6" s="3228" t="s">
        <v>2888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2889</v>
      </c>
      <c r="Q7" s="3228" t="s">
        <v>2890</v>
      </c>
      <c r="R7" s="3228" t="s">
        <v>2891</v>
      </c>
      <c r="S7" s="3228" t="s">
        <v>2892</v>
      </c>
      <c r="T7" s="3228" t="s">
        <v>2893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2894</v>
      </c>
      <c r="Q8" s="3228" t="s">
        <v>174</v>
      </c>
      <c r="R8" s="3228" t="s">
        <v>2895</v>
      </c>
      <c r="S8" s="3228" t="s">
        <v>2896</v>
      </c>
      <c r="T8" s="3235" t="s">
        <v>2897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2898</v>
      </c>
      <c r="Q9" s="3228" t="s">
        <v>182</v>
      </c>
      <c r="R9" s="3228" t="s">
        <v>183</v>
      </c>
      <c r="S9" s="3228" t="s">
        <v>200</v>
      </c>
    </row>
    <row r="10" spans="1:20">
      <c r="A10" s="3233" t="s">
        <v>184</v>
      </c>
      <c r="B10" s="3224" t="s">
        <v>2859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2900</v>
      </c>
      <c r="P11" s="3228" t="s">
        <v>191</v>
      </c>
      <c r="Q11" s="3228" t="s">
        <v>199</v>
      </c>
      <c r="R11" s="3228" t="s">
        <v>2901</v>
      </c>
      <c r="S11" s="3228" t="s">
        <v>2902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2903</v>
      </c>
      <c r="P12" s="3228" t="s">
        <v>2904</v>
      </c>
      <c r="Q12" s="3228" t="s">
        <v>2905</v>
      </c>
      <c r="R12" s="3228" t="s">
        <v>2906</v>
      </c>
      <c r="S12" s="3228" t="s">
        <v>2907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2909</v>
      </c>
      <c r="K14" s="3229" t="s">
        <v>215</v>
      </c>
      <c r="L14" s="3228" t="s">
        <v>216</v>
      </c>
      <c r="M14" s="3228" t="s">
        <v>217</v>
      </c>
      <c r="N14" s="3228" t="s">
        <v>218</v>
      </c>
      <c r="O14" s="3228" t="s">
        <v>240</v>
      </c>
      <c r="P14" s="3228" t="s">
        <v>213</v>
      </c>
      <c r="Q14" s="3228" t="s">
        <v>2910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2911</v>
      </c>
      <c r="P15" s="3228" t="s">
        <v>2912</v>
      </c>
      <c r="Q15" s="3228" t="s">
        <v>242</v>
      </c>
      <c r="R15" s="3228" t="s">
        <v>2913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2914</v>
      </c>
      <c r="P16" s="3228" t="s">
        <v>227</v>
      </c>
      <c r="Q16" s="3228" t="s">
        <v>250</v>
      </c>
      <c r="R16" s="3228" t="s">
        <v>207</v>
      </c>
      <c r="S16" s="3228" t="s">
        <v>2915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2916</v>
      </c>
      <c r="P17" s="3228" t="s">
        <v>2917</v>
      </c>
      <c r="Q17" s="3228" t="s">
        <v>256</v>
      </c>
      <c r="R17" s="3228" t="s">
        <v>2918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2919</v>
      </c>
      <c r="P18" s="3228" t="s">
        <v>241</v>
      </c>
      <c r="Q18" s="3228" t="s">
        <v>2920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2921</v>
      </c>
      <c r="P19" s="3228" t="s">
        <v>249</v>
      </c>
      <c r="Q19" s="3228" t="s">
        <v>2922</v>
      </c>
      <c r="R19" s="3228" t="s">
        <v>265</v>
      </c>
      <c r="S19" s="3228" t="s">
        <v>2923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2924</v>
      </c>
      <c r="P20" s="3228" t="s">
        <v>2925</v>
      </c>
      <c r="Q20" s="3228" t="s">
        <v>290</v>
      </c>
      <c r="R20" s="3228" t="s">
        <v>2926</v>
      </c>
      <c r="S20" s="3228" t="s">
        <v>277</v>
      </c>
    </row>
    <row r="21" spans="1:19" ht="14.25" customHeight="1" thickBot="1">
      <c r="A21" s="3228" t="s">
        <v>184</v>
      </c>
      <c r="B21" s="3229" t="s">
        <v>208</v>
      </c>
      <c r="C21" s="3228">
        <v>32370</v>
      </c>
      <c r="D21" s="3228">
        <v>26730</v>
      </c>
      <c r="E21" s="3228">
        <v>26640</v>
      </c>
      <c r="F21" s="3228"/>
      <c r="G21" s="3228">
        <v>19440</v>
      </c>
      <c r="J21" s="3235" t="s">
        <v>2927</v>
      </c>
      <c r="K21" s="3229" t="s">
        <v>267</v>
      </c>
      <c r="L21" s="3228" t="s">
        <v>268</v>
      </c>
      <c r="M21" s="3228" t="s">
        <v>269</v>
      </c>
      <c r="N21" s="3228" t="s">
        <v>270</v>
      </c>
      <c r="O21" s="3228" t="s">
        <v>264</v>
      </c>
      <c r="P21" s="3228" t="s">
        <v>283</v>
      </c>
      <c r="Q21" s="3228" t="s">
        <v>293</v>
      </c>
      <c r="R21" s="3228" t="s">
        <v>2928</v>
      </c>
      <c r="S21" s="3235" t="s">
        <v>2929</v>
      </c>
    </row>
    <row r="22" spans="1:19" ht="14.25" customHeight="1">
      <c r="A22" s="3228" t="s">
        <v>184</v>
      </c>
      <c r="B22" s="3229" t="s">
        <v>2909</v>
      </c>
      <c r="C22" s="3228">
        <v>29830</v>
      </c>
      <c r="D22" s="3228">
        <v>27600</v>
      </c>
      <c r="E22" s="3228">
        <v>28150</v>
      </c>
      <c r="F22" s="3228"/>
      <c r="G22" s="3228">
        <v>20080</v>
      </c>
      <c r="K22" s="3229" t="s">
        <v>2930</v>
      </c>
      <c r="L22" s="3228" t="s">
        <v>272</v>
      </c>
      <c r="M22" s="3228" t="s">
        <v>273</v>
      </c>
      <c r="N22" s="3228" t="s">
        <v>274</v>
      </c>
      <c r="O22" s="3228" t="s">
        <v>2931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2932</v>
      </c>
      <c r="L23" s="3228" t="s">
        <v>278</v>
      </c>
      <c r="M23" s="3228" t="s">
        <v>279</v>
      </c>
      <c r="N23" s="3228" t="s">
        <v>2933</v>
      </c>
      <c r="O23" s="3228" t="s">
        <v>2934</v>
      </c>
      <c r="P23" s="3228" t="s">
        <v>289</v>
      </c>
      <c r="Q23" s="3228" t="s">
        <v>298</v>
      </c>
      <c r="R23" s="3228" t="s">
        <v>2935</v>
      </c>
    </row>
    <row r="24" spans="1:19" ht="14.25" customHeight="1">
      <c r="A24" s="3228" t="s">
        <v>184</v>
      </c>
      <c r="B24" s="3229" t="s">
        <v>230</v>
      </c>
      <c r="C24" s="3228">
        <v>27930</v>
      </c>
      <c r="D24" s="3228">
        <v>32260</v>
      </c>
      <c r="E24" s="3228">
        <v>32120</v>
      </c>
      <c r="F24" s="3228"/>
      <c r="G24" s="3228">
        <v>23470</v>
      </c>
      <c r="K24" s="3229" t="s">
        <v>2936</v>
      </c>
      <c r="L24" s="3228" t="s">
        <v>281</v>
      </c>
      <c r="M24" s="3228" t="s">
        <v>282</v>
      </c>
      <c r="N24" s="3228" t="s">
        <v>2937</v>
      </c>
      <c r="O24" s="3228" t="s">
        <v>285</v>
      </c>
      <c r="P24" s="3228" t="s">
        <v>2938</v>
      </c>
      <c r="Q24" s="3237" t="s">
        <v>2939</v>
      </c>
      <c r="R24" s="3228" t="s">
        <v>2940</v>
      </c>
    </row>
    <row r="25" spans="1:19" ht="14.25" customHeight="1">
      <c r="A25" s="3228" t="s">
        <v>184</v>
      </c>
      <c r="B25" s="3229" t="s">
        <v>235</v>
      </c>
      <c r="C25" s="3228">
        <v>32230</v>
      </c>
      <c r="D25" s="3228">
        <v>29640</v>
      </c>
      <c r="E25" s="3228">
        <v>29510</v>
      </c>
      <c r="F25" s="3228"/>
      <c r="G25" s="3228">
        <v>21560</v>
      </c>
      <c r="K25" s="3229" t="s">
        <v>2941</v>
      </c>
      <c r="L25" s="3228" t="s">
        <v>2942</v>
      </c>
      <c r="M25" s="3228" t="s">
        <v>284</v>
      </c>
      <c r="N25" s="3228" t="s">
        <v>292</v>
      </c>
      <c r="O25" s="3228" t="s">
        <v>288</v>
      </c>
      <c r="P25" s="3228" t="s">
        <v>275</v>
      </c>
      <c r="Q25" s="3237" t="s">
        <v>271</v>
      </c>
      <c r="R25" s="3228" t="s">
        <v>2943</v>
      </c>
    </row>
    <row r="26" spans="1:19" ht="14.25" customHeight="1" thickBot="1">
      <c r="A26" s="3228" t="s">
        <v>184</v>
      </c>
      <c r="B26" s="3229" t="s">
        <v>244</v>
      </c>
      <c r="C26" s="3228">
        <v>31690</v>
      </c>
      <c r="D26" s="3228">
        <v>27650</v>
      </c>
      <c r="E26" s="3228">
        <v>28200</v>
      </c>
      <c r="F26" s="3228"/>
      <c r="G26" s="3228">
        <v>20110</v>
      </c>
      <c r="K26" s="3234" t="s">
        <v>2944</v>
      </c>
      <c r="L26" s="3228" t="s">
        <v>2945</v>
      </c>
      <c r="M26" s="3228" t="s">
        <v>287</v>
      </c>
      <c r="N26" s="3228" t="s">
        <v>294</v>
      </c>
      <c r="O26" s="3228" t="s">
        <v>2946</v>
      </c>
      <c r="P26" s="3228" t="s">
        <v>2947</v>
      </c>
      <c r="Q26" s="3237" t="s">
        <v>276</v>
      </c>
      <c r="R26" s="3228" t="s">
        <v>2948</v>
      </c>
    </row>
    <row r="27" spans="1:19" ht="14.25" customHeight="1">
      <c r="A27" s="3228" t="s">
        <v>184</v>
      </c>
      <c r="B27" s="3229" t="s">
        <v>251</v>
      </c>
      <c r="C27" s="3228">
        <v>29610</v>
      </c>
      <c r="D27" s="3228">
        <v>27770</v>
      </c>
      <c r="E27" s="3228">
        <v>28300</v>
      </c>
      <c r="F27" s="3228"/>
      <c r="G27" s="3228">
        <v>20210</v>
      </c>
      <c r="L27" s="3228" t="s">
        <v>2949</v>
      </c>
      <c r="M27" s="3228" t="s">
        <v>291</v>
      </c>
      <c r="N27" s="3228" t="s">
        <v>297</v>
      </c>
      <c r="O27" s="3228" t="s">
        <v>2950</v>
      </c>
      <c r="P27" s="3228" t="s">
        <v>2951</v>
      </c>
      <c r="Q27" s="3228" t="s">
        <v>2952</v>
      </c>
      <c r="R27" s="3228" t="s">
        <v>2953</v>
      </c>
    </row>
    <row r="28" spans="1:19" ht="14.25" customHeight="1">
      <c r="A28" s="3228" t="s">
        <v>184</v>
      </c>
      <c r="B28" s="3229" t="s">
        <v>259</v>
      </c>
      <c r="C28" s="3228"/>
      <c r="D28" s="3228">
        <v>31520</v>
      </c>
      <c r="E28" s="3228">
        <v>31410</v>
      </c>
      <c r="F28" s="3228"/>
      <c r="G28" s="3228">
        <v>22940</v>
      </c>
      <c r="L28" s="3228" t="s">
        <v>2954</v>
      </c>
      <c r="M28" s="3228" t="s">
        <v>2955</v>
      </c>
      <c r="N28" s="3228" t="s">
        <v>2956</v>
      </c>
      <c r="O28" s="3228" t="s">
        <v>2957</v>
      </c>
      <c r="P28" s="3228" t="s">
        <v>2958</v>
      </c>
      <c r="Q28" s="3228" t="s">
        <v>2959</v>
      </c>
      <c r="R28" s="3228" t="s">
        <v>2960</v>
      </c>
    </row>
    <row r="29" spans="1:19" ht="14.25" customHeight="1" thickBot="1">
      <c r="A29" s="3236" t="s">
        <v>184</v>
      </c>
      <c r="B29" s="3238" t="s">
        <v>2927</v>
      </c>
      <c r="C29" s="3239"/>
      <c r="D29" s="3239">
        <v>29460</v>
      </c>
      <c r="E29" s="3239">
        <v>28640</v>
      </c>
      <c r="F29" s="3239"/>
      <c r="G29" s="3239">
        <v>21430</v>
      </c>
      <c r="L29" s="3228" t="s">
        <v>2961</v>
      </c>
      <c r="M29" s="3228" t="s">
        <v>2962</v>
      </c>
      <c r="N29" s="3228" t="s">
        <v>2963</v>
      </c>
      <c r="O29" s="3228" t="s">
        <v>2964</v>
      </c>
      <c r="P29" s="3228" t="s">
        <v>2965</v>
      </c>
      <c r="Q29" s="3228" t="s">
        <v>2966</v>
      </c>
      <c r="R29" s="3228" t="s">
        <v>280</v>
      </c>
    </row>
    <row r="30" spans="1:19" ht="14.25" customHeight="1">
      <c r="A30" s="3233" t="s">
        <v>296</v>
      </c>
      <c r="B30" s="3224" t="s">
        <v>2860</v>
      </c>
      <c r="C30" s="3224">
        <v>26890</v>
      </c>
      <c r="D30" s="3224">
        <v>26770</v>
      </c>
      <c r="E30" s="3224">
        <v>25700</v>
      </c>
      <c r="F30" s="3224">
        <v>8180</v>
      </c>
      <c r="G30" s="3240">
        <v>18740</v>
      </c>
      <c r="L30" s="3228" t="s">
        <v>2967</v>
      </c>
      <c r="M30" s="3228" t="s">
        <v>2968</v>
      </c>
      <c r="N30" s="3228" t="s">
        <v>2969</v>
      </c>
      <c r="O30" s="3228" t="s">
        <v>2970</v>
      </c>
      <c r="P30" s="3228" t="s">
        <v>2971</v>
      </c>
      <c r="Q30" s="3228" t="s">
        <v>2972</v>
      </c>
      <c r="R30" s="3228" t="s">
        <v>2973</v>
      </c>
    </row>
    <row r="31" spans="1:19" ht="14.25" customHeight="1">
      <c r="A31" s="3228" t="s">
        <v>296</v>
      </c>
      <c r="B31" s="3229" t="s">
        <v>129</v>
      </c>
      <c r="C31" s="3228">
        <v>24550</v>
      </c>
      <c r="D31" s="3228">
        <v>23990</v>
      </c>
      <c r="E31" s="3228">
        <v>22930</v>
      </c>
      <c r="F31" s="3228">
        <v>7470</v>
      </c>
      <c r="G31" s="3241">
        <v>16790</v>
      </c>
      <c r="L31" s="3228" t="s">
        <v>2974</v>
      </c>
      <c r="M31" s="3228" t="s">
        <v>2975</v>
      </c>
      <c r="N31" s="3228" t="s">
        <v>2976</v>
      </c>
      <c r="O31" s="3228" t="s">
        <v>2977</v>
      </c>
      <c r="P31" s="3228" t="s">
        <v>2978</v>
      </c>
      <c r="Q31" s="3228" t="s">
        <v>2979</v>
      </c>
      <c r="R31" s="3228" t="s">
        <v>2980</v>
      </c>
    </row>
    <row r="32" spans="1:19" ht="14.25" customHeight="1" thickBot="1">
      <c r="A32" s="3228" t="s">
        <v>296</v>
      </c>
      <c r="B32" s="3229" t="s">
        <v>138</v>
      </c>
      <c r="C32" s="3228">
        <v>27210</v>
      </c>
      <c r="D32" s="3228">
        <v>23240</v>
      </c>
      <c r="E32" s="3228">
        <v>23260</v>
      </c>
      <c r="F32" s="3228">
        <v>7130</v>
      </c>
      <c r="G32" s="3241">
        <v>16270</v>
      </c>
      <c r="L32" s="3228" t="s">
        <v>2981</v>
      </c>
      <c r="M32" s="3228" t="s">
        <v>2982</v>
      </c>
      <c r="N32" s="3228" t="s">
        <v>300</v>
      </c>
      <c r="O32" s="3228" t="s">
        <v>2983</v>
      </c>
      <c r="P32" s="3228" t="s">
        <v>299</v>
      </c>
      <c r="Q32" s="3228" t="s">
        <v>2984</v>
      </c>
      <c r="R32" s="3235" t="s">
        <v>2985</v>
      </c>
    </row>
    <row r="33" spans="1:17" ht="14.25" customHeight="1" thickBot="1">
      <c r="A33" s="3228" t="s">
        <v>296</v>
      </c>
      <c r="B33" s="3229" t="s">
        <v>147</v>
      </c>
      <c r="C33" s="3228">
        <v>27300</v>
      </c>
      <c r="D33" s="3228">
        <v>22980</v>
      </c>
      <c r="E33" s="3228">
        <v>24260</v>
      </c>
      <c r="F33" s="3228">
        <v>5860</v>
      </c>
      <c r="G33" s="3241">
        <v>16090</v>
      </c>
      <c r="L33" s="3235" t="s">
        <v>2986</v>
      </c>
      <c r="M33" s="3228" t="s">
        <v>2987</v>
      </c>
      <c r="N33" s="3228" t="s">
        <v>301</v>
      </c>
      <c r="O33" s="3228" t="s">
        <v>2988</v>
      </c>
      <c r="P33" s="3228" t="s">
        <v>2989</v>
      </c>
      <c r="Q33" s="3228" t="s">
        <v>2990</v>
      </c>
    </row>
    <row r="34" spans="1:17" ht="14.25" customHeight="1">
      <c r="A34" s="3228" t="s">
        <v>296</v>
      </c>
      <c r="B34" s="3229" t="s">
        <v>156</v>
      </c>
      <c r="C34" s="3228">
        <v>23090</v>
      </c>
      <c r="D34" s="3228">
        <v>23390</v>
      </c>
      <c r="E34" s="3228">
        <v>23510</v>
      </c>
      <c r="F34" s="3228">
        <v>6700</v>
      </c>
      <c r="G34" s="3241">
        <v>16370</v>
      </c>
      <c r="M34" s="3228" t="s">
        <v>2991</v>
      </c>
      <c r="N34" s="3228" t="s">
        <v>302</v>
      </c>
      <c r="O34" s="3228" t="s">
        <v>2992</v>
      </c>
      <c r="P34" s="3228" t="s">
        <v>2993</v>
      </c>
      <c r="Q34" s="3228" t="s">
        <v>2994</v>
      </c>
    </row>
    <row r="35" spans="1:17" ht="14.25" customHeight="1">
      <c r="A35" s="3228" t="s">
        <v>296</v>
      </c>
      <c r="B35" s="3229" t="s">
        <v>163</v>
      </c>
      <c r="C35" s="3228">
        <v>27270</v>
      </c>
      <c r="D35" s="3228">
        <v>24270</v>
      </c>
      <c r="E35" s="3228">
        <v>24950</v>
      </c>
      <c r="F35" s="3228">
        <v>6600</v>
      </c>
      <c r="G35" s="3241">
        <v>16990</v>
      </c>
      <c r="M35" s="3228" t="s">
        <v>2995</v>
      </c>
      <c r="N35" s="3228" t="s">
        <v>2996</v>
      </c>
      <c r="O35" s="3228" t="s">
        <v>2997</v>
      </c>
      <c r="P35" s="3228" t="s">
        <v>2998</v>
      </c>
      <c r="Q35" s="3228" t="s">
        <v>2999</v>
      </c>
    </row>
    <row r="36" spans="1:17" ht="14.25" customHeight="1">
      <c r="A36" s="3228" t="s">
        <v>296</v>
      </c>
      <c r="B36" s="3229" t="s">
        <v>169</v>
      </c>
      <c r="C36" s="3228">
        <v>23490</v>
      </c>
      <c r="D36" s="3228">
        <v>23020</v>
      </c>
      <c r="E36" s="3228">
        <v>25230</v>
      </c>
      <c r="F36" s="3228">
        <v>6780</v>
      </c>
      <c r="G36" s="3241">
        <v>16120</v>
      </c>
      <c r="M36" s="3228" t="s">
        <v>3000</v>
      </c>
      <c r="N36" s="3228" t="s">
        <v>3001</v>
      </c>
      <c r="O36" s="3228" t="s">
        <v>3002</v>
      </c>
      <c r="P36" s="3228" t="s">
        <v>3003</v>
      </c>
      <c r="Q36" s="3228" t="s">
        <v>3004</v>
      </c>
    </row>
    <row r="37" spans="1:17" ht="14.25" customHeight="1">
      <c r="A37" s="3228" t="s">
        <v>296</v>
      </c>
      <c r="B37" s="3229" t="s">
        <v>176</v>
      </c>
      <c r="C37" s="3228">
        <v>24380</v>
      </c>
      <c r="D37" s="3228">
        <v>22240</v>
      </c>
      <c r="E37" s="3228">
        <v>25980</v>
      </c>
      <c r="F37" s="3228">
        <v>8160</v>
      </c>
      <c r="G37" s="3241">
        <v>15570</v>
      </c>
      <c r="M37" s="3228" t="s">
        <v>3005</v>
      </c>
      <c r="N37" s="3228" t="s">
        <v>3006</v>
      </c>
      <c r="O37" s="3228" t="s">
        <v>3007</v>
      </c>
      <c r="P37" s="3228" t="s">
        <v>3008</v>
      </c>
      <c r="Q37" s="3228" t="s">
        <v>3009</v>
      </c>
    </row>
    <row r="38" spans="1:17" ht="14.25" customHeight="1">
      <c r="A38" s="3228" t="s">
        <v>296</v>
      </c>
      <c r="B38" s="3229" t="s">
        <v>186</v>
      </c>
      <c r="C38" s="3228">
        <v>23120</v>
      </c>
      <c r="D38" s="3228">
        <v>24630</v>
      </c>
      <c r="E38" s="3228">
        <v>25030</v>
      </c>
      <c r="F38" s="3228">
        <v>7710</v>
      </c>
      <c r="G38" s="3241">
        <v>17240</v>
      </c>
      <c r="M38" s="3228" t="s">
        <v>3010</v>
      </c>
      <c r="N38" s="3228" t="s">
        <v>3011</v>
      </c>
      <c r="O38" s="3228" t="s">
        <v>3012</v>
      </c>
      <c r="P38" s="3228" t="s">
        <v>3013</v>
      </c>
      <c r="Q38" s="3228" t="s">
        <v>3014</v>
      </c>
    </row>
    <row r="39" spans="1:17" ht="14.25" customHeight="1">
      <c r="A39" s="3228" t="s">
        <v>296</v>
      </c>
      <c r="B39" s="3229" t="s">
        <v>195</v>
      </c>
      <c r="C39" s="3228">
        <v>22330</v>
      </c>
      <c r="D39" s="3228">
        <v>21140</v>
      </c>
      <c r="E39" s="3228">
        <v>23970</v>
      </c>
      <c r="F39" s="3228">
        <v>7940</v>
      </c>
      <c r="G39" s="3241">
        <v>14790</v>
      </c>
      <c r="M39" s="3228" t="s">
        <v>3015</v>
      </c>
      <c r="N39" s="3228" t="s">
        <v>3016</v>
      </c>
      <c r="O39" s="3228" t="s">
        <v>3017</v>
      </c>
      <c r="P39" s="3228" t="s">
        <v>3018</v>
      </c>
      <c r="Q39" s="3228" t="s">
        <v>3019</v>
      </c>
    </row>
    <row r="40" spans="1:17" ht="14.25" customHeight="1">
      <c r="A40" s="3228" t="s">
        <v>296</v>
      </c>
      <c r="B40" s="3229" t="s">
        <v>202</v>
      </c>
      <c r="C40" s="3228">
        <v>24740</v>
      </c>
      <c r="D40" s="3228">
        <v>24690</v>
      </c>
      <c r="E40" s="3228">
        <v>22610</v>
      </c>
      <c r="F40" s="3228"/>
      <c r="G40" s="3241">
        <v>17280</v>
      </c>
      <c r="M40" s="3228" t="s">
        <v>3020</v>
      </c>
      <c r="N40" s="3228" t="s">
        <v>3021</v>
      </c>
      <c r="O40" s="3228" t="s">
        <v>3022</v>
      </c>
      <c r="P40" s="3228" t="s">
        <v>3023</v>
      </c>
      <c r="Q40" s="3228" t="s">
        <v>3024</v>
      </c>
    </row>
    <row r="41" spans="1:17" ht="14.25" customHeight="1" thickBot="1">
      <c r="A41" s="3228" t="s">
        <v>296</v>
      </c>
      <c r="B41" s="3229" t="s">
        <v>209</v>
      </c>
      <c r="C41" s="3228">
        <v>21220</v>
      </c>
      <c r="D41" s="3228">
        <v>21120</v>
      </c>
      <c r="E41" s="3228">
        <v>22590</v>
      </c>
      <c r="F41" s="3228"/>
      <c r="G41" s="3241">
        <v>14780</v>
      </c>
      <c r="M41" s="3235" t="s">
        <v>3025</v>
      </c>
      <c r="N41" s="3228" t="s">
        <v>3026</v>
      </c>
      <c r="O41" s="3228" t="s">
        <v>3027</v>
      </c>
      <c r="P41" s="3228" t="s">
        <v>3028</v>
      </c>
      <c r="Q41" s="3228" t="s">
        <v>3029</v>
      </c>
    </row>
    <row r="42" spans="1:17" ht="14.25" customHeight="1">
      <c r="A42" s="3228" t="s">
        <v>296</v>
      </c>
      <c r="B42" s="3229" t="s">
        <v>215</v>
      </c>
      <c r="C42" s="3228">
        <v>24800</v>
      </c>
      <c r="D42" s="3228">
        <v>22280</v>
      </c>
      <c r="E42" s="3228">
        <v>24350</v>
      </c>
      <c r="F42" s="3228"/>
      <c r="G42" s="3241">
        <v>15590</v>
      </c>
      <c r="N42" s="3228" t="s">
        <v>3030</v>
      </c>
      <c r="O42" s="3228" t="s">
        <v>3031</v>
      </c>
      <c r="P42" s="3228" t="s">
        <v>3032</v>
      </c>
      <c r="Q42" s="3228" t="s">
        <v>3033</v>
      </c>
    </row>
    <row r="43" spans="1:17" ht="14.25" customHeight="1">
      <c r="A43" s="3228" t="s">
        <v>3034</v>
      </c>
      <c r="B43" s="3229" t="s">
        <v>223</v>
      </c>
      <c r="C43" s="3228">
        <v>21210</v>
      </c>
      <c r="D43" s="3228">
        <v>21160</v>
      </c>
      <c r="E43" s="3228">
        <v>22650</v>
      </c>
      <c r="F43" s="3228"/>
      <c r="G43" s="3241">
        <v>14800</v>
      </c>
      <c r="N43" s="3228" t="s">
        <v>3035</v>
      </c>
      <c r="O43" s="3228" t="s">
        <v>3036</v>
      </c>
      <c r="P43" s="3228" t="s">
        <v>3037</v>
      </c>
      <c r="Q43" s="3228" t="s">
        <v>3038</v>
      </c>
    </row>
    <row r="44" spans="1:17" ht="14.25" customHeight="1" thickBot="1">
      <c r="A44" s="3228" t="s">
        <v>296</v>
      </c>
      <c r="B44" s="3229" t="s">
        <v>231</v>
      </c>
      <c r="C44" s="3228">
        <v>22370</v>
      </c>
      <c r="D44" s="3228">
        <v>23140</v>
      </c>
      <c r="E44" s="3228">
        <v>25090</v>
      </c>
      <c r="F44" s="3228"/>
      <c r="G44" s="3241">
        <v>16190</v>
      </c>
      <c r="N44" s="3228" t="s">
        <v>3039</v>
      </c>
      <c r="O44" s="3228" t="s">
        <v>3040</v>
      </c>
      <c r="P44" s="3235" t="s">
        <v>3041</v>
      </c>
      <c r="Q44" s="3228" t="s">
        <v>3042</v>
      </c>
    </row>
    <row r="45" spans="1:17" ht="14.25" customHeight="1" thickBot="1">
      <c r="A45" s="3228" t="s">
        <v>296</v>
      </c>
      <c r="B45" s="3229" t="s">
        <v>236</v>
      </c>
      <c r="C45" s="3228">
        <v>21240</v>
      </c>
      <c r="D45" s="3228">
        <v>27050</v>
      </c>
      <c r="E45" s="3228">
        <v>28000</v>
      </c>
      <c r="F45" s="3228"/>
      <c r="G45" s="3241">
        <v>18940</v>
      </c>
      <c r="N45" s="3228" t="s">
        <v>3043</v>
      </c>
      <c r="O45" s="3235" t="s">
        <v>3044</v>
      </c>
      <c r="Q45" s="3228" t="s">
        <v>3045</v>
      </c>
    </row>
    <row r="46" spans="1:17" ht="14.25" customHeight="1">
      <c r="A46" s="3228" t="s">
        <v>296</v>
      </c>
      <c r="B46" s="3229" t="s">
        <v>245</v>
      </c>
      <c r="C46" s="3228">
        <v>23240</v>
      </c>
      <c r="D46" s="3228">
        <v>23000</v>
      </c>
      <c r="E46" s="3228">
        <v>24980</v>
      </c>
      <c r="F46" s="3228"/>
      <c r="G46" s="3241">
        <v>16100</v>
      </c>
      <c r="N46" s="3228" t="s">
        <v>3046</v>
      </c>
      <c r="Q46" s="3228" t="s">
        <v>3047</v>
      </c>
    </row>
    <row r="47" spans="1:17" ht="14.25" customHeight="1">
      <c r="A47" s="3228" t="s">
        <v>296</v>
      </c>
      <c r="B47" s="3229" t="s">
        <v>252</v>
      </c>
      <c r="C47" s="3228">
        <v>27150</v>
      </c>
      <c r="D47" s="3228">
        <v>23310</v>
      </c>
      <c r="E47" s="3228">
        <v>25150</v>
      </c>
      <c r="F47" s="3228"/>
      <c r="G47" s="3241">
        <v>16310</v>
      </c>
      <c r="N47" s="3228" t="s">
        <v>3048</v>
      </c>
      <c r="Q47" s="3228" t="s">
        <v>3049</v>
      </c>
    </row>
    <row r="48" spans="1:17" ht="14.25" customHeight="1">
      <c r="A48" s="3228" t="s">
        <v>296</v>
      </c>
      <c r="B48" s="3229" t="s">
        <v>260</v>
      </c>
      <c r="C48" s="3228">
        <v>23100</v>
      </c>
      <c r="D48" s="3228">
        <v>21110</v>
      </c>
      <c r="E48" s="3228">
        <v>23080</v>
      </c>
      <c r="F48" s="3228"/>
      <c r="G48" s="3241">
        <v>14780</v>
      </c>
      <c r="N48" s="3228" t="s">
        <v>3050</v>
      </c>
      <c r="Q48" s="3228" t="s">
        <v>3051</v>
      </c>
    </row>
    <row r="49" spans="1:17" ht="14.25" customHeight="1">
      <c r="A49" s="3228" t="s">
        <v>296</v>
      </c>
      <c r="B49" s="3229" t="s">
        <v>267</v>
      </c>
      <c r="C49" s="3228">
        <v>23400</v>
      </c>
      <c r="D49" s="3228">
        <v>22920</v>
      </c>
      <c r="E49" s="3228">
        <v>24900</v>
      </c>
      <c r="F49" s="3228"/>
      <c r="G49" s="3241">
        <v>16040</v>
      </c>
      <c r="N49" s="3228" t="s">
        <v>3052</v>
      </c>
      <c r="Q49" s="3228" t="s">
        <v>3053</v>
      </c>
    </row>
    <row r="50" spans="1:17" ht="14.25" customHeight="1">
      <c r="A50" s="3228" t="s">
        <v>296</v>
      </c>
      <c r="B50" s="3229" t="s">
        <v>2930</v>
      </c>
      <c r="C50" s="3228">
        <v>21200</v>
      </c>
      <c r="D50" s="3228">
        <v>26540</v>
      </c>
      <c r="E50" s="3228">
        <v>23200</v>
      </c>
      <c r="F50" s="3228"/>
      <c r="G50" s="3241">
        <v>18580</v>
      </c>
      <c r="N50" s="3228" t="s">
        <v>3054</v>
      </c>
      <c r="Q50" s="3229" t="s">
        <v>3055</v>
      </c>
    </row>
    <row r="51" spans="1:17" ht="14.25" customHeight="1" thickBot="1">
      <c r="A51" s="3228" t="s">
        <v>296</v>
      </c>
      <c r="B51" s="3229" t="s">
        <v>2932</v>
      </c>
      <c r="C51" s="3228">
        <v>23000</v>
      </c>
      <c r="D51" s="3228">
        <v>23460</v>
      </c>
      <c r="E51" s="3228">
        <v>25290</v>
      </c>
      <c r="F51" s="3228"/>
      <c r="G51" s="3241">
        <v>16420</v>
      </c>
      <c r="N51" s="3228" t="s">
        <v>3056</v>
      </c>
      <c r="Q51" s="3235" t="s">
        <v>3057</v>
      </c>
    </row>
    <row r="52" spans="1:17" ht="14.25" customHeight="1">
      <c r="A52" s="3228" t="s">
        <v>296</v>
      </c>
      <c r="B52" s="3229" t="s">
        <v>2936</v>
      </c>
      <c r="C52" s="3228">
        <v>26660</v>
      </c>
      <c r="D52" s="3228">
        <v>22350</v>
      </c>
      <c r="E52" s="3228">
        <v>22920</v>
      </c>
      <c r="F52" s="3228"/>
      <c r="G52" s="3241">
        <v>15640</v>
      </c>
      <c r="N52" s="3228" t="s">
        <v>3058</v>
      </c>
    </row>
    <row r="53" spans="1:17" ht="14.25" customHeight="1">
      <c r="A53" s="3228" t="s">
        <v>296</v>
      </c>
      <c r="B53" s="3229" t="s">
        <v>2941</v>
      </c>
      <c r="C53" s="3228">
        <v>23580</v>
      </c>
      <c r="D53" s="3228"/>
      <c r="E53" s="3228">
        <v>24280</v>
      </c>
      <c r="F53" s="3228"/>
      <c r="G53" s="3241"/>
      <c r="N53" s="3228" t="s">
        <v>3059</v>
      </c>
    </row>
    <row r="54" spans="1:17" ht="14.25" customHeight="1" thickBot="1">
      <c r="A54" s="3242" t="s">
        <v>296</v>
      </c>
      <c r="B54" s="3234" t="s">
        <v>2944</v>
      </c>
      <c r="C54" s="3235">
        <v>22460</v>
      </c>
      <c r="D54" s="3235"/>
      <c r="E54" s="3235"/>
      <c r="F54" s="3235"/>
      <c r="G54" s="3243"/>
      <c r="N54" s="3228" t="s">
        <v>3060</v>
      </c>
    </row>
    <row r="55" spans="1:17" ht="14.25" customHeight="1">
      <c r="A55" s="3233" t="s">
        <v>110</v>
      </c>
      <c r="B55" s="3224" t="s">
        <v>3061</v>
      </c>
      <c r="C55" s="3228">
        <v>21970</v>
      </c>
      <c r="D55" s="3228">
        <v>20370</v>
      </c>
      <c r="E55" s="3228">
        <v>20180</v>
      </c>
      <c r="F55" s="3228">
        <v>5730</v>
      </c>
      <c r="G55" s="3228">
        <v>13820</v>
      </c>
      <c r="N55" s="3228" t="s">
        <v>3062</v>
      </c>
    </row>
    <row r="56" spans="1:17" ht="14.25" customHeight="1">
      <c r="A56" s="3228" t="s">
        <v>110</v>
      </c>
      <c r="B56" s="3228" t="s">
        <v>130</v>
      </c>
      <c r="C56" s="3228">
        <v>20470</v>
      </c>
      <c r="D56" s="3228">
        <v>20700</v>
      </c>
      <c r="E56" s="3228">
        <v>20380</v>
      </c>
      <c r="F56" s="3228">
        <v>4760</v>
      </c>
      <c r="G56" s="3228">
        <v>14050</v>
      </c>
      <c r="N56" s="3228" t="s">
        <v>3063</v>
      </c>
    </row>
    <row r="57" spans="1:17" ht="14.25" customHeight="1">
      <c r="A57" s="3228" t="s">
        <v>110</v>
      </c>
      <c r="B57" s="3228" t="s">
        <v>139</v>
      </c>
      <c r="C57" s="3228">
        <v>20790</v>
      </c>
      <c r="D57" s="3228">
        <v>21370</v>
      </c>
      <c r="E57" s="3228">
        <v>20890</v>
      </c>
      <c r="F57" s="3228">
        <v>4910</v>
      </c>
      <c r="G57" s="3228">
        <v>14510</v>
      </c>
      <c r="N57" s="3228" t="s">
        <v>3064</v>
      </c>
    </row>
    <row r="58" spans="1:17" ht="14.25" customHeight="1">
      <c r="A58" s="3228" t="s">
        <v>110</v>
      </c>
      <c r="B58" s="3228" t="s">
        <v>148</v>
      </c>
      <c r="C58" s="3228">
        <v>21460</v>
      </c>
      <c r="D58" s="3228">
        <v>20920</v>
      </c>
      <c r="E58" s="3228">
        <v>23410</v>
      </c>
      <c r="F58" s="3228">
        <v>5100</v>
      </c>
      <c r="G58" s="3228">
        <v>14200</v>
      </c>
      <c r="N58" s="3228" t="s">
        <v>3065</v>
      </c>
    </row>
    <row r="59" spans="1:17" ht="14.25" customHeight="1">
      <c r="A59" s="3228" t="s">
        <v>110</v>
      </c>
      <c r="B59" s="3228" t="s">
        <v>157</v>
      </c>
      <c r="C59" s="3228">
        <v>21000</v>
      </c>
      <c r="D59" s="3228">
        <v>21550</v>
      </c>
      <c r="E59" s="3228">
        <v>21150</v>
      </c>
      <c r="F59" s="3228">
        <v>5250</v>
      </c>
      <c r="G59" s="3228">
        <v>14630</v>
      </c>
      <c r="N59" s="3228" t="s">
        <v>3066</v>
      </c>
    </row>
    <row r="60" spans="1:17" ht="14.25" customHeight="1">
      <c r="A60" s="3228" t="s">
        <v>110</v>
      </c>
      <c r="B60" s="3228" t="s">
        <v>164</v>
      </c>
      <c r="C60" s="3228">
        <v>21640</v>
      </c>
      <c r="D60" s="3228">
        <v>21260</v>
      </c>
      <c r="E60" s="3228">
        <v>24040</v>
      </c>
      <c r="F60" s="3228">
        <v>4470</v>
      </c>
      <c r="G60" s="3228">
        <v>14430</v>
      </c>
      <c r="N60" s="3228" t="s">
        <v>3067</v>
      </c>
    </row>
    <row r="61" spans="1:17" ht="14.25" customHeight="1">
      <c r="A61" s="3228" t="s">
        <v>110</v>
      </c>
      <c r="B61" s="3228" t="s">
        <v>170</v>
      </c>
      <c r="C61" s="3228">
        <v>21330</v>
      </c>
      <c r="D61" s="3228">
        <v>18640</v>
      </c>
      <c r="E61" s="3228">
        <v>21190</v>
      </c>
      <c r="F61" s="3228">
        <v>4180</v>
      </c>
      <c r="G61" s="3228">
        <v>12650</v>
      </c>
      <c r="N61" s="3228" t="s">
        <v>3068</v>
      </c>
    </row>
    <row r="62" spans="1:17" ht="14.25" customHeight="1">
      <c r="A62" s="3228" t="s">
        <v>110</v>
      </c>
      <c r="B62" s="3228" t="s">
        <v>177</v>
      </c>
      <c r="C62" s="3228">
        <v>18710</v>
      </c>
      <c r="D62" s="3228">
        <v>19400</v>
      </c>
      <c r="E62" s="3228">
        <v>23750</v>
      </c>
      <c r="F62" s="3228">
        <v>4860</v>
      </c>
      <c r="G62" s="3228">
        <v>13170</v>
      </c>
      <c r="N62" s="3228" t="s">
        <v>3069</v>
      </c>
    </row>
    <row r="63" spans="1:17" ht="14.25" customHeight="1">
      <c r="A63" s="3228" t="s">
        <v>110</v>
      </c>
      <c r="B63" s="3228" t="s">
        <v>187</v>
      </c>
      <c r="C63" s="3228">
        <v>19480</v>
      </c>
      <c r="D63" s="3228">
        <v>16830</v>
      </c>
      <c r="E63" s="3228">
        <v>21590</v>
      </c>
      <c r="F63" s="3228">
        <v>4560</v>
      </c>
      <c r="G63" s="3228">
        <v>11420</v>
      </c>
      <c r="N63" s="3228" t="s">
        <v>3070</v>
      </c>
    </row>
    <row r="64" spans="1:17" ht="14.25" customHeight="1" thickBot="1">
      <c r="A64" s="3228" t="s">
        <v>110</v>
      </c>
      <c r="B64" s="3228" t="s">
        <v>196</v>
      </c>
      <c r="C64" s="3228">
        <v>16920</v>
      </c>
      <c r="D64" s="3228">
        <v>19190</v>
      </c>
      <c r="E64" s="3228">
        <v>22200</v>
      </c>
      <c r="F64" s="3228">
        <v>4390</v>
      </c>
      <c r="G64" s="3228">
        <v>13030</v>
      </c>
      <c r="N64" s="3235" t="s">
        <v>3071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2942</v>
      </c>
      <c r="C78" s="3228">
        <v>19820</v>
      </c>
      <c r="D78" s="3228">
        <v>19780</v>
      </c>
      <c r="E78" s="3228">
        <v>18560</v>
      </c>
      <c r="F78" s="3228"/>
      <c r="G78" s="3228">
        <v>13430</v>
      </c>
    </row>
    <row r="79" spans="1:7" s="3217" customFormat="1" ht="14.25" customHeight="1">
      <c r="A79" s="3228" t="s">
        <v>110</v>
      </c>
      <c r="B79" s="3228" t="s">
        <v>2945</v>
      </c>
      <c r="C79" s="3228">
        <v>21660</v>
      </c>
      <c r="D79" s="3228">
        <v>18000</v>
      </c>
      <c r="E79" s="3228">
        <v>22570</v>
      </c>
      <c r="F79" s="3228"/>
      <c r="G79" s="3228">
        <v>12220</v>
      </c>
    </row>
    <row r="80" spans="1:7" s="3217" customFormat="1" ht="14.25" customHeight="1">
      <c r="A80" s="3228" t="s">
        <v>110</v>
      </c>
      <c r="B80" s="3228" t="s">
        <v>2949</v>
      </c>
      <c r="C80" s="3228">
        <v>19850</v>
      </c>
      <c r="D80" s="3228"/>
      <c r="E80" s="3228">
        <v>21700</v>
      </c>
      <c r="F80" s="3228"/>
      <c r="G80" s="3228"/>
    </row>
    <row r="81" spans="1:7" s="3217" customFormat="1" ht="14.25" customHeight="1">
      <c r="A81" s="3228" t="s">
        <v>110</v>
      </c>
      <c r="B81" s="3228" t="s">
        <v>2954</v>
      </c>
      <c r="C81" s="3228">
        <v>18080</v>
      </c>
      <c r="D81" s="3228"/>
      <c r="E81" s="3228">
        <v>20900</v>
      </c>
      <c r="F81" s="3228"/>
      <c r="G81" s="3228"/>
    </row>
    <row r="82" spans="1:7" s="3217" customFormat="1" ht="14.25" customHeight="1">
      <c r="A82" s="3228" t="s">
        <v>110</v>
      </c>
      <c r="B82" s="3228" t="s">
        <v>2961</v>
      </c>
      <c r="C82" s="3228"/>
      <c r="D82" s="3228"/>
      <c r="E82" s="3228">
        <v>20840</v>
      </c>
      <c r="F82" s="3228"/>
      <c r="G82" s="3228"/>
    </row>
    <row r="83" spans="1:7" s="3217" customFormat="1" ht="14.25" customHeight="1">
      <c r="A83" s="3228" t="s">
        <v>110</v>
      </c>
      <c r="B83" s="3228" t="s">
        <v>3072</v>
      </c>
      <c r="C83" s="3228"/>
      <c r="D83" s="3228"/>
      <c r="E83" s="3228"/>
      <c r="F83" s="3228">
        <v>4770</v>
      </c>
      <c r="G83" s="3228"/>
    </row>
    <row r="84" spans="1:7" s="3217" customFormat="1" ht="14.25" customHeight="1">
      <c r="A84" s="3228" t="s">
        <v>110</v>
      </c>
      <c r="B84" s="3228" t="s">
        <v>3073</v>
      </c>
      <c r="C84" s="3228"/>
      <c r="D84" s="3228"/>
      <c r="E84" s="3228"/>
      <c r="F84" s="3228">
        <v>4600</v>
      </c>
      <c r="G84" s="3228"/>
    </row>
    <row r="85" spans="1:7" s="3217" customFormat="1" ht="14.25" customHeight="1">
      <c r="A85" s="3228" t="s">
        <v>110</v>
      </c>
      <c r="B85" s="3228" t="s">
        <v>3074</v>
      </c>
      <c r="C85" s="3228"/>
      <c r="D85" s="3228"/>
      <c r="E85" s="3228"/>
      <c r="F85" s="3228">
        <v>4680</v>
      </c>
      <c r="G85" s="3228"/>
    </row>
    <row r="86" spans="1:7" s="3217" customFormat="1" ht="14.25" customHeight="1" thickBot="1">
      <c r="A86" s="3236" t="s">
        <v>110</v>
      </c>
      <c r="B86" s="3238" t="s">
        <v>3075</v>
      </c>
      <c r="C86" s="3239">
        <v>16610</v>
      </c>
      <c r="D86" s="3239">
        <v>16540</v>
      </c>
      <c r="E86" s="3239">
        <v>18850</v>
      </c>
      <c r="F86" s="3239"/>
      <c r="G86" s="3239">
        <v>11220</v>
      </c>
    </row>
    <row r="87" spans="1:7" s="3217" customFormat="1" ht="14.25" customHeight="1">
      <c r="A87" s="3233" t="s">
        <v>303</v>
      </c>
      <c r="B87" s="3224" t="s">
        <v>3076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2955</v>
      </c>
      <c r="C113" s="3228">
        <v>15520</v>
      </c>
      <c r="D113" s="3228">
        <v>15450</v>
      </c>
      <c r="E113" s="3228"/>
      <c r="F113" s="3228"/>
      <c r="G113" s="3241">
        <v>10210</v>
      </c>
    </row>
    <row r="114" spans="1:7" s="3217" customFormat="1" ht="14.25" customHeight="1">
      <c r="A114" s="3228" t="s">
        <v>303</v>
      </c>
      <c r="B114" s="3228" t="s">
        <v>2962</v>
      </c>
      <c r="C114" s="3228">
        <v>13110</v>
      </c>
      <c r="D114" s="3228">
        <v>13050</v>
      </c>
      <c r="E114" s="3228"/>
      <c r="F114" s="3228"/>
      <c r="G114" s="3241">
        <v>8620</v>
      </c>
    </row>
    <row r="115" spans="1:7" s="3217" customFormat="1" ht="14.25" customHeight="1">
      <c r="A115" s="3228" t="s">
        <v>303</v>
      </c>
      <c r="B115" s="3228" t="s">
        <v>2968</v>
      </c>
      <c r="C115" s="3228">
        <v>12460</v>
      </c>
      <c r="D115" s="3228">
        <v>12390</v>
      </c>
      <c r="E115" s="3228"/>
      <c r="F115" s="3228"/>
      <c r="G115" s="3241">
        <v>8190</v>
      </c>
    </row>
    <row r="116" spans="1:7" s="3217" customFormat="1" ht="14.25" customHeight="1">
      <c r="A116" s="3228" t="s">
        <v>303</v>
      </c>
      <c r="B116" s="3228" t="s">
        <v>2975</v>
      </c>
      <c r="C116" s="3228">
        <v>13580</v>
      </c>
      <c r="D116" s="3228">
        <v>13520</v>
      </c>
      <c r="E116" s="3228"/>
      <c r="F116" s="3228"/>
      <c r="G116" s="3241">
        <v>8930</v>
      </c>
    </row>
    <row r="117" spans="1:7" s="3217" customFormat="1" ht="14.25" customHeight="1">
      <c r="A117" s="3228" t="s">
        <v>303</v>
      </c>
      <c r="B117" s="3228" t="s">
        <v>2982</v>
      </c>
      <c r="C117" s="3228">
        <v>17120</v>
      </c>
      <c r="D117" s="3228">
        <v>17040</v>
      </c>
      <c r="E117" s="3228"/>
      <c r="F117" s="3228"/>
      <c r="G117" s="3241">
        <v>11260</v>
      </c>
    </row>
    <row r="118" spans="1:7" s="3217" customFormat="1" ht="14.25" customHeight="1">
      <c r="A118" s="3228" t="s">
        <v>303</v>
      </c>
      <c r="B118" s="3228" t="s">
        <v>2987</v>
      </c>
      <c r="C118" s="3228">
        <v>14860</v>
      </c>
      <c r="D118" s="3228">
        <v>14790</v>
      </c>
      <c r="E118" s="3228"/>
      <c r="F118" s="3228"/>
      <c r="G118" s="3241">
        <v>9780</v>
      </c>
    </row>
    <row r="119" spans="1:7" s="3217" customFormat="1" ht="14.25" customHeight="1">
      <c r="A119" s="3228" t="s">
        <v>303</v>
      </c>
      <c r="B119" s="3228" t="s">
        <v>2991</v>
      </c>
      <c r="C119" s="3228">
        <v>16470</v>
      </c>
      <c r="D119" s="3228">
        <v>16400</v>
      </c>
      <c r="E119" s="3228"/>
      <c r="F119" s="3228"/>
      <c r="G119" s="3241">
        <v>10840</v>
      </c>
    </row>
    <row r="120" spans="1:7" s="3217" customFormat="1" ht="14.25" customHeight="1">
      <c r="A120" s="3228" t="s">
        <v>303</v>
      </c>
      <c r="B120" s="3228" t="s">
        <v>3077</v>
      </c>
      <c r="C120" s="3228"/>
      <c r="D120" s="3228"/>
      <c r="E120" s="3228"/>
      <c r="F120" s="3228">
        <v>4160</v>
      </c>
      <c r="G120" s="3241"/>
    </row>
    <row r="121" spans="1:7" s="3217" customFormat="1" ht="14.25" customHeight="1">
      <c r="A121" s="3228" t="s">
        <v>303</v>
      </c>
      <c r="B121" s="3228" t="s">
        <v>3078</v>
      </c>
      <c r="C121" s="3228"/>
      <c r="D121" s="3228"/>
      <c r="E121" s="3228"/>
      <c r="F121" s="3228">
        <v>3880</v>
      </c>
      <c r="G121" s="3241"/>
    </row>
    <row r="122" spans="1:7" s="3217" customFormat="1" ht="14.25" customHeight="1">
      <c r="A122" s="3228" t="s">
        <v>303</v>
      </c>
      <c r="B122" s="3228" t="s">
        <v>3079</v>
      </c>
      <c r="C122" s="3228">
        <v>13750</v>
      </c>
      <c r="D122" s="3228">
        <v>13680</v>
      </c>
      <c r="E122" s="3228">
        <v>16460</v>
      </c>
      <c r="F122" s="3228">
        <v>2880</v>
      </c>
      <c r="G122" s="3241">
        <v>9040</v>
      </c>
    </row>
    <row r="123" spans="1:7" s="3217" customFormat="1" ht="14.25" customHeight="1">
      <c r="A123" s="3228" t="s">
        <v>303</v>
      </c>
      <c r="B123" s="3228" t="s">
        <v>3010</v>
      </c>
      <c r="C123" s="3228">
        <v>13590</v>
      </c>
      <c r="D123" s="3228">
        <v>13520</v>
      </c>
      <c r="E123" s="3228">
        <v>16290</v>
      </c>
      <c r="F123" s="3228">
        <v>2790</v>
      </c>
      <c r="G123" s="3241">
        <v>8930</v>
      </c>
    </row>
    <row r="124" spans="1:7" s="3217" customFormat="1" ht="14.25" customHeight="1">
      <c r="A124" s="3228" t="s">
        <v>303</v>
      </c>
      <c r="B124" s="3228" t="s">
        <v>3015</v>
      </c>
      <c r="C124" s="3228">
        <v>13400</v>
      </c>
      <c r="D124" s="3228">
        <v>13320</v>
      </c>
      <c r="E124" s="3228">
        <v>16100</v>
      </c>
      <c r="F124" s="3228">
        <v>2320</v>
      </c>
      <c r="G124" s="3241">
        <v>8800</v>
      </c>
    </row>
    <row r="125" spans="1:7" s="3217" customFormat="1" ht="14.25" customHeight="1">
      <c r="A125" s="3228" t="s">
        <v>303</v>
      </c>
      <c r="B125" s="3228" t="s">
        <v>3020</v>
      </c>
      <c r="C125" s="3228">
        <v>12860</v>
      </c>
      <c r="D125" s="3228">
        <v>12790</v>
      </c>
      <c r="E125" s="3228">
        <v>15370</v>
      </c>
      <c r="F125" s="3228">
        <v>2280</v>
      </c>
      <c r="G125" s="3241">
        <v>8450</v>
      </c>
    </row>
    <row r="126" spans="1:7" s="3217" customFormat="1" ht="14.25" customHeight="1" thickBot="1">
      <c r="A126" s="3242" t="s">
        <v>303</v>
      </c>
      <c r="B126" s="3235" t="s">
        <v>3025</v>
      </c>
      <c r="C126" s="3235">
        <v>12960</v>
      </c>
      <c r="D126" s="3235">
        <v>12890</v>
      </c>
      <c r="E126" s="3235">
        <v>15530</v>
      </c>
      <c r="F126" s="3235">
        <v>2910</v>
      </c>
      <c r="G126" s="3243">
        <v>8520</v>
      </c>
    </row>
    <row r="127" spans="1:7" s="3217" customFormat="1" ht="14.25" customHeight="1">
      <c r="A127" s="3233" t="s">
        <v>29</v>
      </c>
      <c r="B127" s="3224" t="s">
        <v>3080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3081</v>
      </c>
      <c r="C148" s="3228">
        <v>10370</v>
      </c>
      <c r="D148" s="3228">
        <v>10310</v>
      </c>
      <c r="E148" s="3228">
        <v>12970</v>
      </c>
      <c r="F148" s="3228"/>
      <c r="G148" s="3228">
        <v>6630</v>
      </c>
    </row>
    <row r="149" spans="1:7" s="3217" customFormat="1" ht="14.25" customHeight="1">
      <c r="A149" s="3228" t="s">
        <v>29</v>
      </c>
      <c r="B149" s="3228" t="s">
        <v>3082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2956</v>
      </c>
      <c r="C153" s="3228">
        <v>10880</v>
      </c>
      <c r="D153" s="3228">
        <v>10820</v>
      </c>
      <c r="E153" s="3228">
        <v>13660</v>
      </c>
      <c r="F153" s="3228">
        <v>2260</v>
      </c>
      <c r="G153" s="3228">
        <v>6970</v>
      </c>
    </row>
    <row r="154" spans="1:7" s="3217" customFormat="1" ht="14.25" customHeight="1">
      <c r="A154" s="3228" t="s">
        <v>29</v>
      </c>
      <c r="B154" s="3228" t="s">
        <v>3083</v>
      </c>
      <c r="C154" s="3228">
        <v>11220</v>
      </c>
      <c r="D154" s="3228">
        <v>11160</v>
      </c>
      <c r="E154" s="3228">
        <v>14130</v>
      </c>
      <c r="F154" s="3228">
        <v>2230</v>
      </c>
      <c r="G154" s="3228">
        <v>7180</v>
      </c>
    </row>
    <row r="155" spans="1:7" s="3217" customFormat="1" ht="14.25" customHeight="1">
      <c r="A155" s="3228" t="s">
        <v>29</v>
      </c>
      <c r="B155" s="3228" t="s">
        <v>2969</v>
      </c>
      <c r="C155" s="3228">
        <v>10430</v>
      </c>
      <c r="D155" s="3228">
        <v>10380</v>
      </c>
      <c r="E155" s="3228">
        <v>13140</v>
      </c>
      <c r="F155" s="3228">
        <v>2080</v>
      </c>
      <c r="G155" s="3228">
        <v>6650</v>
      </c>
    </row>
    <row r="156" spans="1:7" s="3217" customFormat="1" ht="14.25" customHeight="1">
      <c r="A156" s="3228" t="s">
        <v>29</v>
      </c>
      <c r="B156" s="3228" t="s">
        <v>3084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3085</v>
      </c>
      <c r="C160" s="3228">
        <v>11180</v>
      </c>
      <c r="D160" s="3228">
        <v>11140</v>
      </c>
      <c r="E160" s="3228">
        <v>14050</v>
      </c>
      <c r="F160" s="3228">
        <v>2270</v>
      </c>
      <c r="G160" s="3228">
        <v>7170</v>
      </c>
    </row>
    <row r="161" spans="1:7" s="3217" customFormat="1" ht="14.25" customHeight="1">
      <c r="A161" s="3228" t="s">
        <v>29</v>
      </c>
      <c r="B161" s="3228" t="s">
        <v>3001</v>
      </c>
      <c r="C161" s="3228">
        <v>11160</v>
      </c>
      <c r="D161" s="3228">
        <v>11120</v>
      </c>
      <c r="E161" s="3228">
        <v>14020</v>
      </c>
      <c r="F161" s="3228">
        <v>2150</v>
      </c>
      <c r="G161" s="3228">
        <v>7160</v>
      </c>
    </row>
    <row r="162" spans="1:7" s="3217" customFormat="1" ht="14.25" customHeight="1">
      <c r="A162" s="3228" t="s">
        <v>29</v>
      </c>
      <c r="B162" s="3228" t="s">
        <v>3006</v>
      </c>
      <c r="C162" s="3228">
        <v>9620</v>
      </c>
      <c r="D162" s="3228">
        <v>9570</v>
      </c>
      <c r="E162" s="3228">
        <v>12320</v>
      </c>
      <c r="F162" s="3228">
        <v>2010</v>
      </c>
      <c r="G162" s="3228">
        <v>6160</v>
      </c>
    </row>
    <row r="163" spans="1:7" s="3217" customFormat="1" ht="14.25" customHeight="1">
      <c r="A163" s="3228" t="s">
        <v>29</v>
      </c>
      <c r="B163" s="3228" t="s">
        <v>3011</v>
      </c>
      <c r="C163" s="3228">
        <v>9320</v>
      </c>
      <c r="D163" s="3228">
        <v>9270</v>
      </c>
      <c r="E163" s="3228">
        <v>11790</v>
      </c>
      <c r="F163" s="3228">
        <v>1920</v>
      </c>
      <c r="G163" s="3228">
        <v>5960</v>
      </c>
    </row>
    <row r="164" spans="1:7" s="3217" customFormat="1" ht="14.25" customHeight="1">
      <c r="A164" s="3228" t="s">
        <v>29</v>
      </c>
      <c r="B164" s="3228" t="s">
        <v>3016</v>
      </c>
      <c r="C164" s="3228"/>
      <c r="D164" s="3228"/>
      <c r="E164" s="3228"/>
      <c r="F164" s="3228">
        <v>1980</v>
      </c>
      <c r="G164" s="3228"/>
    </row>
    <row r="165" spans="1:7" s="3217" customFormat="1" ht="14.25" customHeight="1">
      <c r="A165" s="3228" t="s">
        <v>29</v>
      </c>
      <c r="B165" s="3228" t="s">
        <v>3086</v>
      </c>
      <c r="C165" s="3228">
        <v>11060</v>
      </c>
      <c r="D165" s="3228">
        <v>11030</v>
      </c>
      <c r="E165" s="3228">
        <v>13850</v>
      </c>
      <c r="F165" s="3228">
        <v>2170</v>
      </c>
      <c r="G165" s="3228">
        <v>7090</v>
      </c>
    </row>
    <row r="166" spans="1:7" s="3217" customFormat="1" ht="14.25" customHeight="1">
      <c r="A166" s="3228" t="s">
        <v>29</v>
      </c>
      <c r="B166" s="3228" t="s">
        <v>3026</v>
      </c>
      <c r="C166" s="3228">
        <v>11050</v>
      </c>
      <c r="D166" s="3228">
        <v>11010</v>
      </c>
      <c r="E166" s="3228">
        <v>13920</v>
      </c>
      <c r="F166" s="3228">
        <v>2140</v>
      </c>
      <c r="G166" s="3228">
        <v>7080</v>
      </c>
    </row>
    <row r="167" spans="1:7" s="3217" customFormat="1" ht="14.25" customHeight="1">
      <c r="A167" s="3228" t="s">
        <v>29</v>
      </c>
      <c r="B167" s="3228" t="s">
        <v>3030</v>
      </c>
      <c r="C167" s="3228">
        <v>10930</v>
      </c>
      <c r="D167" s="3228">
        <v>10890</v>
      </c>
      <c r="E167" s="3228">
        <v>13790</v>
      </c>
      <c r="F167" s="3228">
        <v>2010</v>
      </c>
      <c r="G167" s="3228">
        <v>7000</v>
      </c>
    </row>
    <row r="168" spans="1:7" s="3217" customFormat="1" ht="14.25" customHeight="1">
      <c r="A168" s="3228" t="s">
        <v>29</v>
      </c>
      <c r="B168" s="3228" t="s">
        <v>3035</v>
      </c>
      <c r="C168" s="3228">
        <v>9420</v>
      </c>
      <c r="D168" s="3228">
        <v>9380</v>
      </c>
      <c r="E168" s="3228">
        <v>11970</v>
      </c>
      <c r="F168" s="3228"/>
      <c r="G168" s="3228">
        <v>6040</v>
      </c>
    </row>
    <row r="169" spans="1:7" s="3217" customFormat="1" ht="14.25" customHeight="1">
      <c r="A169" s="3228" t="s">
        <v>29</v>
      </c>
      <c r="B169" s="3228" t="s">
        <v>3087</v>
      </c>
      <c r="C169" s="3228"/>
      <c r="D169" s="3228"/>
      <c r="E169" s="3228"/>
      <c r="F169" s="3228">
        <v>2880</v>
      </c>
      <c r="G169" s="3228"/>
    </row>
    <row r="170" spans="1:7" s="3217" customFormat="1" ht="14.25" customHeight="1">
      <c r="A170" s="3228" t="s">
        <v>29</v>
      </c>
      <c r="B170" s="3228" t="s">
        <v>3043</v>
      </c>
      <c r="C170" s="3228"/>
      <c r="D170" s="3228"/>
      <c r="E170" s="3228"/>
      <c r="F170" s="3228">
        <v>2880</v>
      </c>
      <c r="G170" s="3228"/>
    </row>
    <row r="171" spans="1:7" s="3217" customFormat="1" ht="14.25" customHeight="1">
      <c r="A171" s="3228" t="s">
        <v>29</v>
      </c>
      <c r="B171" s="3228" t="s">
        <v>3046</v>
      </c>
      <c r="C171" s="3228"/>
      <c r="D171" s="3228"/>
      <c r="E171" s="3228"/>
      <c r="F171" s="3228">
        <v>2880</v>
      </c>
      <c r="G171" s="3228"/>
    </row>
    <row r="172" spans="1:7" s="3217" customFormat="1" ht="14.25" customHeight="1">
      <c r="A172" s="3228" t="s">
        <v>29</v>
      </c>
      <c r="B172" s="3228" t="s">
        <v>3048</v>
      </c>
      <c r="C172" s="3228"/>
      <c r="D172" s="3228"/>
      <c r="E172" s="3228"/>
      <c r="F172" s="3228">
        <v>2880</v>
      </c>
      <c r="G172" s="3228"/>
    </row>
    <row r="173" spans="1:7" s="3217" customFormat="1" ht="14.25" customHeight="1">
      <c r="A173" s="3228" t="s">
        <v>29</v>
      </c>
      <c r="B173" s="3228" t="s">
        <v>3050</v>
      </c>
      <c r="C173" s="3228"/>
      <c r="D173" s="3228"/>
      <c r="E173" s="3228"/>
      <c r="F173" s="3228">
        <v>2150</v>
      </c>
      <c r="G173" s="3228"/>
    </row>
    <row r="174" spans="1:7" s="3217" customFormat="1" ht="14.25" customHeight="1">
      <c r="A174" s="3228" t="s">
        <v>29</v>
      </c>
      <c r="B174" s="3228" t="s">
        <v>3052</v>
      </c>
      <c r="C174" s="3228"/>
      <c r="D174" s="3228"/>
      <c r="E174" s="3228"/>
      <c r="F174" s="3228">
        <v>2030</v>
      </c>
      <c r="G174" s="3228"/>
    </row>
    <row r="175" spans="1:7" s="3217" customFormat="1" ht="14.25" customHeight="1">
      <c r="A175" s="3228" t="s">
        <v>29</v>
      </c>
      <c r="B175" s="3228" t="s">
        <v>3054</v>
      </c>
      <c r="C175" s="3228"/>
      <c r="D175" s="3228"/>
      <c r="E175" s="3228"/>
      <c r="F175" s="3228">
        <v>2780</v>
      </c>
      <c r="G175" s="3228"/>
    </row>
    <row r="176" spans="1:7" s="3217" customFormat="1" ht="14.25" customHeight="1">
      <c r="A176" s="3228" t="s">
        <v>29</v>
      </c>
      <c r="B176" s="3228" t="s">
        <v>3056</v>
      </c>
      <c r="C176" s="3228"/>
      <c r="D176" s="3228"/>
      <c r="E176" s="3228"/>
      <c r="F176" s="3228">
        <v>2780</v>
      </c>
      <c r="G176" s="3228"/>
    </row>
    <row r="177" spans="1:7" s="3217" customFormat="1" ht="14.25" customHeight="1">
      <c r="A177" s="3228" t="s">
        <v>29</v>
      </c>
      <c r="B177" s="3228" t="s">
        <v>3088</v>
      </c>
      <c r="C177" s="3228"/>
      <c r="D177" s="3228"/>
      <c r="E177" s="3228"/>
      <c r="F177" s="3228">
        <v>2780</v>
      </c>
      <c r="G177" s="3228"/>
    </row>
    <row r="178" spans="1:7" s="3217" customFormat="1" ht="14.25" customHeight="1">
      <c r="A178" s="3228" t="s">
        <v>29</v>
      </c>
      <c r="B178" s="3228" t="s">
        <v>3089</v>
      </c>
      <c r="C178" s="3228"/>
      <c r="D178" s="3228"/>
      <c r="E178" s="3228"/>
      <c r="F178" s="3228">
        <v>2060</v>
      </c>
      <c r="G178" s="3228"/>
    </row>
    <row r="179" spans="1:7" s="3217" customFormat="1" ht="14.25" customHeight="1">
      <c r="A179" s="3228" t="s">
        <v>29</v>
      </c>
      <c r="B179" s="3228" t="s">
        <v>3090</v>
      </c>
      <c r="C179" s="3228"/>
      <c r="D179" s="3228"/>
      <c r="E179" s="3228"/>
      <c r="F179" s="3228">
        <v>2120</v>
      </c>
      <c r="G179" s="3228"/>
    </row>
    <row r="180" spans="1:7" s="3217" customFormat="1" ht="14.25" customHeight="1">
      <c r="A180" s="3228" t="s">
        <v>29</v>
      </c>
      <c r="B180" s="3228" t="s">
        <v>3062</v>
      </c>
      <c r="C180" s="3228"/>
      <c r="D180" s="3228"/>
      <c r="E180" s="3228"/>
      <c r="F180" s="3228">
        <v>2340</v>
      </c>
      <c r="G180" s="3228"/>
    </row>
    <row r="181" spans="1:7" s="3217" customFormat="1" ht="14.25" customHeight="1">
      <c r="A181" s="3228" t="s">
        <v>29</v>
      </c>
      <c r="B181" s="3228" t="s">
        <v>3063</v>
      </c>
      <c r="C181" s="3228"/>
      <c r="D181" s="3228"/>
      <c r="E181" s="3228"/>
      <c r="F181" s="3228">
        <v>2340</v>
      </c>
      <c r="G181" s="3228"/>
    </row>
    <row r="182" spans="1:7" s="3217" customFormat="1" ht="14.25" customHeight="1">
      <c r="A182" s="3228" t="s">
        <v>29</v>
      </c>
      <c r="B182" s="3228" t="s">
        <v>3064</v>
      </c>
      <c r="C182" s="3228"/>
      <c r="D182" s="3228"/>
      <c r="E182" s="3228"/>
      <c r="F182" s="3228">
        <v>2340</v>
      </c>
      <c r="G182" s="3228"/>
    </row>
    <row r="183" spans="1:7" s="3217" customFormat="1" ht="14.25" customHeight="1">
      <c r="A183" s="3228" t="s">
        <v>29</v>
      </c>
      <c r="B183" s="3228" t="s">
        <v>3065</v>
      </c>
      <c r="C183" s="3228"/>
      <c r="D183" s="3228"/>
      <c r="E183" s="3228"/>
      <c r="F183" s="3228">
        <v>2340</v>
      </c>
      <c r="G183" s="3228"/>
    </row>
    <row r="184" spans="1:7" s="3217" customFormat="1" ht="14.25" customHeight="1">
      <c r="A184" s="3228" t="s">
        <v>29</v>
      </c>
      <c r="B184" s="3228" t="s">
        <v>3066</v>
      </c>
      <c r="C184" s="3228"/>
      <c r="D184" s="3228"/>
      <c r="E184" s="3228"/>
      <c r="F184" s="3228">
        <v>2340</v>
      </c>
      <c r="G184" s="3228"/>
    </row>
    <row r="185" spans="1:7" s="3217" customFormat="1" ht="14.25" customHeight="1">
      <c r="A185" s="3228" t="s">
        <v>29</v>
      </c>
      <c r="B185" s="3228" t="s">
        <v>3067</v>
      </c>
      <c r="C185" s="3228"/>
      <c r="D185" s="3228"/>
      <c r="E185" s="3228"/>
      <c r="F185" s="3228">
        <v>2530</v>
      </c>
      <c r="G185" s="3228"/>
    </row>
    <row r="186" spans="1:7" s="3217" customFormat="1" ht="14.25" customHeight="1">
      <c r="A186" s="3228" t="s">
        <v>29</v>
      </c>
      <c r="B186" s="3228" t="s">
        <v>3068</v>
      </c>
      <c r="C186" s="3228"/>
      <c r="D186" s="3228"/>
      <c r="E186" s="3228"/>
      <c r="F186" s="3228">
        <v>2550</v>
      </c>
      <c r="G186" s="3228"/>
    </row>
    <row r="187" spans="1:7" s="3217" customFormat="1" ht="14.25" customHeight="1">
      <c r="A187" s="3228" t="s">
        <v>29</v>
      </c>
      <c r="B187" s="3228" t="s">
        <v>3069</v>
      </c>
      <c r="C187" s="3228"/>
      <c r="D187" s="3228"/>
      <c r="E187" s="3228"/>
      <c r="F187" s="3228">
        <v>2070</v>
      </c>
      <c r="G187" s="3228"/>
    </row>
    <row r="188" spans="1:7" s="3217" customFormat="1" ht="14.25" customHeight="1">
      <c r="A188" s="3228" t="s">
        <v>29</v>
      </c>
      <c r="B188" s="3228" t="s">
        <v>3070</v>
      </c>
      <c r="C188" s="3228"/>
      <c r="D188" s="3228"/>
      <c r="E188" s="3228"/>
      <c r="F188" s="3228">
        <v>2340</v>
      </c>
      <c r="G188" s="3228"/>
    </row>
    <row r="189" spans="1:7" s="3217" customFormat="1" ht="14.25" customHeight="1" thickBot="1">
      <c r="A189" s="3236" t="s">
        <v>29</v>
      </c>
      <c r="B189" s="3239" t="s">
        <v>3071</v>
      </c>
      <c r="C189" s="3239"/>
      <c r="D189" s="3239"/>
      <c r="E189" s="3239"/>
      <c r="F189" s="3239">
        <v>2050</v>
      </c>
      <c r="G189" s="3239"/>
    </row>
    <row r="190" spans="1:7" s="3217" customFormat="1" ht="14.25" customHeight="1">
      <c r="A190" s="3233" t="s">
        <v>304</v>
      </c>
      <c r="B190" s="3224" t="s">
        <v>3091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3092</v>
      </c>
      <c r="C199" s="3228">
        <v>8690</v>
      </c>
      <c r="D199" s="3228">
        <v>8630</v>
      </c>
      <c r="E199" s="3228">
        <v>11350</v>
      </c>
      <c r="F199" s="3228">
        <v>1600</v>
      </c>
      <c r="G199" s="3241">
        <v>5450</v>
      </c>
    </row>
    <row r="200" spans="1:7" s="3217" customFormat="1" ht="14.25" customHeight="1">
      <c r="A200" s="3228" t="s">
        <v>304</v>
      </c>
      <c r="B200" s="3228" t="s">
        <v>2903</v>
      </c>
      <c r="C200" s="3228"/>
      <c r="D200" s="3228"/>
      <c r="E200" s="3228"/>
      <c r="F200" s="3228">
        <v>1510</v>
      </c>
      <c r="G200" s="3241"/>
    </row>
    <row r="201" spans="1:7" s="3217" customFormat="1" ht="14.25" customHeight="1">
      <c r="A201" s="3228" t="s">
        <v>304</v>
      </c>
      <c r="B201" s="3228" t="s">
        <v>3093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3094</v>
      </c>
      <c r="C203" s="3228">
        <v>8130</v>
      </c>
      <c r="D203" s="3228">
        <v>8070</v>
      </c>
      <c r="E203" s="3228">
        <v>10820</v>
      </c>
      <c r="F203" s="3228">
        <v>1690</v>
      </c>
      <c r="G203" s="3241">
        <v>5100</v>
      </c>
    </row>
    <row r="204" spans="1:7" s="3217" customFormat="1" ht="14.25" customHeight="1">
      <c r="A204" s="3228" t="s">
        <v>304</v>
      </c>
      <c r="B204" s="3228" t="s">
        <v>2914</v>
      </c>
      <c r="C204" s="3228">
        <v>8350</v>
      </c>
      <c r="D204" s="3228">
        <v>8290</v>
      </c>
      <c r="E204" s="3228">
        <v>11080</v>
      </c>
      <c r="F204" s="3228">
        <v>1450</v>
      </c>
      <c r="G204" s="3241">
        <v>5240</v>
      </c>
    </row>
    <row r="205" spans="1:7" s="3217" customFormat="1" ht="14.25" customHeight="1">
      <c r="A205" s="3228" t="s">
        <v>304</v>
      </c>
      <c r="B205" s="3228" t="s">
        <v>2916</v>
      </c>
      <c r="C205" s="3228">
        <v>7190</v>
      </c>
      <c r="D205" s="3228">
        <v>7130</v>
      </c>
      <c r="E205" s="3228">
        <v>9490</v>
      </c>
      <c r="F205" s="3228">
        <v>1470</v>
      </c>
      <c r="G205" s="3241">
        <v>4510</v>
      </c>
    </row>
    <row r="206" spans="1:7" s="3217" customFormat="1" ht="14.25" customHeight="1">
      <c r="A206" s="3228" t="s">
        <v>304</v>
      </c>
      <c r="B206" s="3228" t="s">
        <v>2919</v>
      </c>
      <c r="C206" s="3228">
        <v>7000</v>
      </c>
      <c r="D206" s="3228">
        <v>6950</v>
      </c>
      <c r="E206" s="3228">
        <v>9170</v>
      </c>
      <c r="F206" s="3228">
        <v>1400</v>
      </c>
      <c r="G206" s="3241">
        <v>4380</v>
      </c>
    </row>
    <row r="207" spans="1:7" s="3217" customFormat="1" ht="14.25" customHeight="1">
      <c r="A207" s="3228" t="s">
        <v>304</v>
      </c>
      <c r="B207" s="3228" t="s">
        <v>2921</v>
      </c>
      <c r="C207" s="3228">
        <v>6950</v>
      </c>
      <c r="D207" s="3228">
        <v>6900</v>
      </c>
      <c r="E207" s="3228">
        <v>9110</v>
      </c>
      <c r="F207" s="3228">
        <v>1790</v>
      </c>
      <c r="G207" s="3241">
        <v>4360</v>
      </c>
    </row>
    <row r="208" spans="1:7" s="3217" customFormat="1" ht="14.25" customHeight="1">
      <c r="A208" s="3228" t="s">
        <v>304</v>
      </c>
      <c r="B208" s="3228" t="s">
        <v>3095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2931</v>
      </c>
      <c r="C210" s="3228">
        <v>8710</v>
      </c>
      <c r="D210" s="3228">
        <v>8660</v>
      </c>
      <c r="E210" s="3228">
        <v>11440</v>
      </c>
      <c r="F210" s="3228">
        <v>1740</v>
      </c>
      <c r="G210" s="3241">
        <v>5470</v>
      </c>
    </row>
    <row r="211" spans="1:7" s="3217" customFormat="1" ht="14.25" customHeight="1">
      <c r="A211" s="3228" t="s">
        <v>304</v>
      </c>
      <c r="B211" s="3228" t="s">
        <v>3096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3097</v>
      </c>
      <c r="C214" s="3228">
        <v>8090</v>
      </c>
      <c r="D214" s="3228">
        <v>8030</v>
      </c>
      <c r="E214" s="3228">
        <v>10780</v>
      </c>
      <c r="F214" s="3228">
        <v>1570</v>
      </c>
      <c r="G214" s="3241">
        <v>5070</v>
      </c>
    </row>
    <row r="215" spans="1:7" s="3217" customFormat="1" ht="14.25" customHeight="1">
      <c r="A215" s="3228" t="s">
        <v>304</v>
      </c>
      <c r="B215" s="3228" t="s">
        <v>3098</v>
      </c>
      <c r="C215" s="3228">
        <v>7950</v>
      </c>
      <c r="D215" s="3228">
        <v>7900</v>
      </c>
      <c r="E215" s="3228">
        <v>10560</v>
      </c>
      <c r="F215" s="3228">
        <v>1630</v>
      </c>
      <c r="G215" s="3241">
        <v>4990</v>
      </c>
    </row>
    <row r="216" spans="1:7" s="3217" customFormat="1" ht="14.25" customHeight="1">
      <c r="A216" s="3228" t="s">
        <v>304</v>
      </c>
      <c r="B216" s="3228" t="s">
        <v>3099</v>
      </c>
      <c r="C216" s="3228">
        <v>8490</v>
      </c>
      <c r="D216" s="3228">
        <v>8440</v>
      </c>
      <c r="E216" s="3228">
        <v>11260</v>
      </c>
      <c r="F216" s="3228">
        <v>1690</v>
      </c>
      <c r="G216" s="3241">
        <v>5330</v>
      </c>
    </row>
    <row r="217" spans="1:7" s="3217" customFormat="1" ht="14.25" customHeight="1">
      <c r="A217" s="3228" t="s">
        <v>304</v>
      </c>
      <c r="B217" s="3228" t="s">
        <v>2964</v>
      </c>
      <c r="C217" s="3228">
        <v>8200</v>
      </c>
      <c r="D217" s="3228">
        <v>8150</v>
      </c>
      <c r="E217" s="3228">
        <v>10910</v>
      </c>
      <c r="F217" s="3228">
        <v>1670</v>
      </c>
      <c r="G217" s="3241">
        <v>5150</v>
      </c>
    </row>
    <row r="218" spans="1:7" s="3217" customFormat="1" ht="14.25" customHeight="1">
      <c r="A218" s="3228" t="s">
        <v>304</v>
      </c>
      <c r="B218" s="3228" t="s">
        <v>3100</v>
      </c>
      <c r="C218" s="3228"/>
      <c r="D218" s="3228"/>
      <c r="E218" s="3228"/>
      <c r="F218" s="3228">
        <v>2040</v>
      </c>
      <c r="G218" s="3241"/>
    </row>
    <row r="219" spans="1:7" s="3217" customFormat="1" ht="14.25" customHeight="1">
      <c r="A219" s="3228" t="s">
        <v>304</v>
      </c>
      <c r="B219" s="3228" t="s">
        <v>3101</v>
      </c>
      <c r="C219" s="3228"/>
      <c r="D219" s="3228"/>
      <c r="E219" s="3228"/>
      <c r="F219" s="3228">
        <v>2040</v>
      </c>
      <c r="G219" s="3241"/>
    </row>
    <row r="220" spans="1:7" s="3217" customFormat="1" ht="14.25" customHeight="1">
      <c r="A220" s="3228" t="s">
        <v>304</v>
      </c>
      <c r="B220" s="3228" t="s">
        <v>3102</v>
      </c>
      <c r="C220" s="3228"/>
      <c r="D220" s="3228"/>
      <c r="E220" s="3228"/>
      <c r="F220" s="3228">
        <v>2040</v>
      </c>
      <c r="G220" s="3241"/>
    </row>
    <row r="221" spans="1:7" s="3217" customFormat="1" ht="14.25" customHeight="1">
      <c r="A221" s="3228" t="s">
        <v>304</v>
      </c>
      <c r="B221" s="3228" t="s">
        <v>3103</v>
      </c>
      <c r="C221" s="3228"/>
      <c r="D221" s="3228"/>
      <c r="E221" s="3228"/>
      <c r="F221" s="3228">
        <v>2040</v>
      </c>
      <c r="G221" s="3241"/>
    </row>
    <row r="222" spans="1:7" s="3217" customFormat="1" ht="14.25" customHeight="1">
      <c r="A222" s="3228" t="s">
        <v>304</v>
      </c>
      <c r="B222" s="3228" t="s">
        <v>3104</v>
      </c>
      <c r="C222" s="3228"/>
      <c r="D222" s="3228"/>
      <c r="E222" s="3228"/>
      <c r="F222" s="3228">
        <v>2040</v>
      </c>
      <c r="G222" s="3241"/>
    </row>
    <row r="223" spans="1:7" s="3217" customFormat="1" ht="14.25" customHeight="1">
      <c r="A223" s="3228" t="s">
        <v>304</v>
      </c>
      <c r="B223" s="3228" t="s">
        <v>3105</v>
      </c>
      <c r="C223" s="3228"/>
      <c r="D223" s="3228"/>
      <c r="E223" s="3228"/>
      <c r="F223" s="3228">
        <v>1930</v>
      </c>
      <c r="G223" s="3241"/>
    </row>
    <row r="224" spans="1:7" s="3217" customFormat="1" ht="14.25" customHeight="1">
      <c r="A224" s="3228" t="s">
        <v>304</v>
      </c>
      <c r="B224" s="3228" t="s">
        <v>3106</v>
      </c>
      <c r="C224" s="3228"/>
      <c r="D224" s="3228"/>
      <c r="E224" s="3228"/>
      <c r="F224" s="3228">
        <v>1930</v>
      </c>
      <c r="G224" s="3241"/>
    </row>
    <row r="225" spans="1:7" s="3217" customFormat="1" ht="14.25" customHeight="1">
      <c r="A225" s="3228" t="s">
        <v>304</v>
      </c>
      <c r="B225" s="3228" t="s">
        <v>3107</v>
      </c>
      <c r="C225" s="3228"/>
      <c r="D225" s="3228"/>
      <c r="E225" s="3228"/>
      <c r="F225" s="3228">
        <v>1930</v>
      </c>
      <c r="G225" s="3241"/>
    </row>
    <row r="226" spans="1:7" s="3217" customFormat="1" ht="14.25" customHeight="1">
      <c r="A226" s="3228" t="s">
        <v>304</v>
      </c>
      <c r="B226" s="3228" t="s">
        <v>3108</v>
      </c>
      <c r="C226" s="3228"/>
      <c r="D226" s="3228"/>
      <c r="E226" s="3228"/>
      <c r="F226" s="3228">
        <v>1700</v>
      </c>
      <c r="G226" s="3241"/>
    </row>
    <row r="227" spans="1:7" s="3217" customFormat="1" ht="14.25" customHeight="1">
      <c r="A227" s="3228" t="s">
        <v>304</v>
      </c>
      <c r="B227" s="3228" t="s">
        <v>3109</v>
      </c>
      <c r="C227" s="3228"/>
      <c r="D227" s="3228"/>
      <c r="E227" s="3228"/>
      <c r="F227" s="3228">
        <v>1520</v>
      </c>
      <c r="G227" s="3241"/>
    </row>
    <row r="228" spans="1:7" s="3217" customFormat="1" ht="14.25" customHeight="1">
      <c r="A228" s="3228" t="s">
        <v>304</v>
      </c>
      <c r="B228" s="3228" t="s">
        <v>3110</v>
      </c>
      <c r="C228" s="3228"/>
      <c r="D228" s="3228"/>
      <c r="E228" s="3228"/>
      <c r="F228" s="3228">
        <v>1520</v>
      </c>
      <c r="G228" s="3241"/>
    </row>
    <row r="229" spans="1:7" s="3217" customFormat="1" ht="14.25" customHeight="1">
      <c r="A229" s="3228" t="s">
        <v>304</v>
      </c>
      <c r="B229" s="3228" t="s">
        <v>3027</v>
      </c>
      <c r="C229" s="3228"/>
      <c r="D229" s="3228"/>
      <c r="E229" s="3228"/>
      <c r="F229" s="3228">
        <v>1520</v>
      </c>
      <c r="G229" s="3241"/>
    </row>
    <row r="230" spans="1:7" s="3217" customFormat="1" ht="14.25" customHeight="1">
      <c r="A230" s="3228" t="s">
        <v>304</v>
      </c>
      <c r="B230" s="3228" t="s">
        <v>3111</v>
      </c>
      <c r="C230" s="3228"/>
      <c r="D230" s="3228"/>
      <c r="E230" s="3228"/>
      <c r="F230" s="3228">
        <v>1820</v>
      </c>
      <c r="G230" s="3241"/>
    </row>
    <row r="231" spans="1:7" s="3217" customFormat="1" ht="14.25" customHeight="1">
      <c r="A231" s="3228" t="s">
        <v>304</v>
      </c>
      <c r="B231" s="3228" t="s">
        <v>3112</v>
      </c>
      <c r="C231" s="3228"/>
      <c r="D231" s="3228"/>
      <c r="E231" s="3228"/>
      <c r="F231" s="3228">
        <v>1760</v>
      </c>
      <c r="G231" s="3241"/>
    </row>
    <row r="232" spans="1:7" s="3217" customFormat="1" ht="14.25" customHeight="1">
      <c r="A232" s="3228" t="s">
        <v>304</v>
      </c>
      <c r="B232" s="3228" t="s">
        <v>3113</v>
      </c>
      <c r="C232" s="3228"/>
      <c r="D232" s="3228"/>
      <c r="E232" s="3228"/>
      <c r="F232" s="3228">
        <v>1840</v>
      </c>
      <c r="G232" s="3241"/>
    </row>
    <row r="233" spans="1:7" s="3217" customFormat="1" ht="14.25" customHeight="1" thickBot="1">
      <c r="A233" s="3242" t="s">
        <v>304</v>
      </c>
      <c r="B233" s="3235" t="s">
        <v>3044</v>
      </c>
      <c r="C233" s="3235"/>
      <c r="D233" s="3235"/>
      <c r="E233" s="3235"/>
      <c r="F233" s="3235">
        <v>1770</v>
      </c>
      <c r="G233" s="3243"/>
    </row>
    <row r="234" spans="1:7" s="3217" customFormat="1" ht="14.25" customHeight="1">
      <c r="A234" s="3233" t="s">
        <v>305</v>
      </c>
      <c r="B234" s="3224" t="s">
        <v>3114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2885</v>
      </c>
      <c r="C238" s="3228">
        <v>6920</v>
      </c>
      <c r="D238" s="3228">
        <v>6890</v>
      </c>
      <c r="E238" s="3228">
        <v>8640</v>
      </c>
      <c r="F238" s="3228">
        <v>1310</v>
      </c>
      <c r="G238" s="3228">
        <v>4230</v>
      </c>
    </row>
    <row r="239" spans="1:7" s="3217" customFormat="1" ht="14.25" customHeight="1">
      <c r="A239" s="3228" t="s">
        <v>305</v>
      </c>
      <c r="B239" s="3228" t="s">
        <v>3115</v>
      </c>
      <c r="C239" s="3228">
        <v>6780</v>
      </c>
      <c r="D239" s="3228">
        <v>6750</v>
      </c>
      <c r="E239" s="3228">
        <v>8440</v>
      </c>
      <c r="F239" s="3228">
        <v>1160</v>
      </c>
      <c r="G239" s="3228">
        <v>4140</v>
      </c>
    </row>
    <row r="240" spans="1:7" s="3217" customFormat="1" ht="14.25" customHeight="1">
      <c r="A240" s="3228" t="s">
        <v>305</v>
      </c>
      <c r="B240" s="3228" t="s">
        <v>3116</v>
      </c>
      <c r="C240" s="3228">
        <v>5420</v>
      </c>
      <c r="D240" s="3228">
        <v>5380</v>
      </c>
      <c r="E240" s="3228">
        <v>6640</v>
      </c>
      <c r="F240" s="3228">
        <v>1020</v>
      </c>
      <c r="G240" s="3228">
        <v>3300</v>
      </c>
    </row>
    <row r="241" spans="1:7" s="3217" customFormat="1" ht="14.25" customHeight="1">
      <c r="A241" s="3228" t="s">
        <v>305</v>
      </c>
      <c r="B241" s="3228" t="s">
        <v>3117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2947</v>
      </c>
      <c r="C258" s="3228">
        <v>6190</v>
      </c>
      <c r="D258" s="3228">
        <v>6160</v>
      </c>
      <c r="E258" s="3228">
        <v>7680</v>
      </c>
      <c r="F258" s="3228">
        <v>1170</v>
      </c>
      <c r="G258" s="3228">
        <v>3780</v>
      </c>
    </row>
    <row r="259" spans="1:7" s="3217" customFormat="1" ht="14.25" customHeight="1">
      <c r="A259" s="3228" t="s">
        <v>305</v>
      </c>
      <c r="B259" s="3228" t="s">
        <v>3123</v>
      </c>
      <c r="C259" s="3228">
        <v>7610</v>
      </c>
      <c r="D259" s="3228">
        <v>7570</v>
      </c>
      <c r="E259" s="3228">
        <v>9350</v>
      </c>
      <c r="F259" s="3228">
        <v>1350</v>
      </c>
      <c r="G259" s="3228">
        <v>4650</v>
      </c>
    </row>
    <row r="260" spans="1:7" s="3217" customFormat="1" ht="14.25" customHeight="1">
      <c r="A260" s="3228" t="s">
        <v>305</v>
      </c>
      <c r="B260" s="3228" t="s">
        <v>3124</v>
      </c>
      <c r="C260" s="3228">
        <v>6920</v>
      </c>
      <c r="D260" s="3228">
        <v>6880</v>
      </c>
      <c r="E260" s="3228">
        <v>8380</v>
      </c>
      <c r="F260" s="3228">
        <v>1160</v>
      </c>
      <c r="G260" s="3228">
        <v>4220</v>
      </c>
    </row>
    <row r="261" spans="1:7" s="3217" customFormat="1" ht="14.25" customHeight="1">
      <c r="A261" s="3228" t="s">
        <v>305</v>
      </c>
      <c r="B261" s="3228" t="s">
        <v>3125</v>
      </c>
      <c r="C261" s="3228">
        <v>6850</v>
      </c>
      <c r="D261" s="3228">
        <v>6810</v>
      </c>
      <c r="E261" s="3228">
        <v>8290</v>
      </c>
      <c r="F261" s="3228">
        <v>1130</v>
      </c>
      <c r="G261" s="3228">
        <v>4180</v>
      </c>
    </row>
    <row r="262" spans="1:7" s="3217" customFormat="1" ht="14.25" customHeight="1">
      <c r="A262" s="3228" t="s">
        <v>305</v>
      </c>
      <c r="B262" s="3228" t="s">
        <v>3126</v>
      </c>
      <c r="C262" s="3228">
        <v>5860</v>
      </c>
      <c r="D262" s="3228">
        <v>5820</v>
      </c>
      <c r="E262" s="3228">
        <v>7640</v>
      </c>
      <c r="F262" s="3228">
        <v>1070</v>
      </c>
      <c r="G262" s="3228">
        <v>3570</v>
      </c>
    </row>
    <row r="263" spans="1:7" s="3217" customFormat="1" ht="14.25" customHeight="1">
      <c r="A263" s="3228" t="s">
        <v>305</v>
      </c>
      <c r="B263" s="3228" t="s">
        <v>3127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3128</v>
      </c>
      <c r="C265" s="3228"/>
      <c r="D265" s="3228"/>
      <c r="E265" s="3228"/>
      <c r="F265" s="3228">
        <v>1500</v>
      </c>
      <c r="G265" s="3228"/>
    </row>
    <row r="266" spans="1:7" s="3217" customFormat="1" ht="14.25" customHeight="1">
      <c r="A266" s="3228" t="s">
        <v>305</v>
      </c>
      <c r="B266" s="3228" t="s">
        <v>3129</v>
      </c>
      <c r="C266" s="3228"/>
      <c r="D266" s="3228"/>
      <c r="E266" s="3228"/>
      <c r="F266" s="3228">
        <v>1500</v>
      </c>
      <c r="G266" s="3228"/>
    </row>
    <row r="267" spans="1:7" s="3217" customFormat="1" ht="14.25" customHeight="1">
      <c r="A267" s="3228" t="s">
        <v>305</v>
      </c>
      <c r="B267" s="3228" t="s">
        <v>3130</v>
      </c>
      <c r="C267" s="3228"/>
      <c r="D267" s="3228"/>
      <c r="E267" s="3228"/>
      <c r="F267" s="3228">
        <v>1500</v>
      </c>
      <c r="G267" s="3228"/>
    </row>
    <row r="268" spans="1:7" s="3217" customFormat="1" ht="14.25" customHeight="1">
      <c r="A268" s="3228" t="s">
        <v>305</v>
      </c>
      <c r="B268" s="3228" t="s">
        <v>3131</v>
      </c>
      <c r="C268" s="3228"/>
      <c r="D268" s="3228"/>
      <c r="E268" s="3228"/>
      <c r="F268" s="3228">
        <v>1290</v>
      </c>
      <c r="G268" s="3228"/>
    </row>
    <row r="269" spans="1:7" s="3217" customFormat="1" ht="14.25" customHeight="1">
      <c r="A269" s="3228" t="s">
        <v>305</v>
      </c>
      <c r="B269" s="3228" t="s">
        <v>3132</v>
      </c>
      <c r="C269" s="3228"/>
      <c r="D269" s="3228"/>
      <c r="E269" s="3228"/>
      <c r="F269" s="3228">
        <v>1150</v>
      </c>
      <c r="G269" s="3228"/>
    </row>
    <row r="270" spans="1:7" s="3217" customFormat="1" ht="14.25" customHeight="1">
      <c r="A270" s="3228" t="s">
        <v>305</v>
      </c>
      <c r="B270" s="3228" t="s">
        <v>3133</v>
      </c>
      <c r="C270" s="3228"/>
      <c r="D270" s="3228"/>
      <c r="E270" s="3228"/>
      <c r="F270" s="3228">
        <v>1380</v>
      </c>
      <c r="G270" s="3228"/>
    </row>
    <row r="271" spans="1:7" s="3217" customFormat="1" ht="14.25" customHeight="1">
      <c r="A271" s="3228" t="s">
        <v>305</v>
      </c>
      <c r="B271" s="3228" t="s">
        <v>3134</v>
      </c>
      <c r="C271" s="3228"/>
      <c r="D271" s="3228"/>
      <c r="E271" s="3228"/>
      <c r="F271" s="3228">
        <v>1460</v>
      </c>
      <c r="G271" s="3228"/>
    </row>
    <row r="272" spans="1:7" s="3217" customFormat="1" ht="14.25" customHeight="1">
      <c r="A272" s="3228" t="s">
        <v>305</v>
      </c>
      <c r="B272" s="3228" t="s">
        <v>3135</v>
      </c>
      <c r="C272" s="3228"/>
      <c r="D272" s="3228"/>
      <c r="E272" s="3228"/>
      <c r="F272" s="3228">
        <v>1460</v>
      </c>
      <c r="G272" s="3228"/>
    </row>
    <row r="273" spans="1:7" s="3217" customFormat="1" ht="14.25" customHeight="1">
      <c r="A273" s="3228" t="s">
        <v>305</v>
      </c>
      <c r="B273" s="3228" t="s">
        <v>3028</v>
      </c>
      <c r="C273" s="3228"/>
      <c r="D273" s="3228"/>
      <c r="E273" s="3228"/>
      <c r="F273" s="3228">
        <v>1490</v>
      </c>
      <c r="G273" s="3228"/>
    </row>
    <row r="274" spans="1:7" s="3217" customFormat="1" ht="14.25" customHeight="1">
      <c r="A274" s="3228" t="s">
        <v>305</v>
      </c>
      <c r="B274" s="3228" t="s">
        <v>3136</v>
      </c>
      <c r="C274" s="3228"/>
      <c r="D274" s="3228"/>
      <c r="E274" s="3228"/>
      <c r="F274" s="3228">
        <v>1490</v>
      </c>
      <c r="G274" s="3228"/>
    </row>
    <row r="275" spans="1:7" s="3217" customFormat="1" ht="14.25" customHeight="1">
      <c r="A275" s="3228" t="s">
        <v>305</v>
      </c>
      <c r="B275" s="3228" t="s">
        <v>3137</v>
      </c>
      <c r="C275" s="3228"/>
      <c r="D275" s="3228"/>
      <c r="E275" s="3228"/>
      <c r="F275" s="3228">
        <v>1220</v>
      </c>
      <c r="G275" s="3228"/>
    </row>
    <row r="276" spans="1:7" s="3217" customFormat="1" ht="14.25" customHeight="1" thickBot="1">
      <c r="A276" s="3236" t="s">
        <v>305</v>
      </c>
      <c r="B276" s="3238" t="s">
        <v>3138</v>
      </c>
      <c r="C276" s="3239"/>
      <c r="D276" s="3239"/>
      <c r="E276" s="3239"/>
      <c r="F276" s="3239">
        <v>1380</v>
      </c>
      <c r="G276" s="3239"/>
    </row>
    <row r="277" spans="1:7" s="3217" customFormat="1" ht="14.25" customHeight="1">
      <c r="A277" s="3233" t="s">
        <v>306</v>
      </c>
      <c r="B277" s="3224" t="s">
        <v>3139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3140</v>
      </c>
      <c r="C279" s="3228">
        <v>4760</v>
      </c>
      <c r="D279" s="3228">
        <v>4720</v>
      </c>
      <c r="E279" s="3228">
        <v>5540</v>
      </c>
      <c r="F279" s="3228">
        <v>810</v>
      </c>
      <c r="G279" s="3241">
        <v>2850</v>
      </c>
    </row>
    <row r="280" spans="1:7" s="3217" customFormat="1" ht="14.25" customHeight="1">
      <c r="A280" s="3228" t="s">
        <v>306</v>
      </c>
      <c r="B280" s="3228" t="s">
        <v>3141</v>
      </c>
      <c r="C280" s="3228">
        <v>4010</v>
      </c>
      <c r="D280" s="3228">
        <v>3950</v>
      </c>
      <c r="E280" s="3228">
        <v>4710</v>
      </c>
      <c r="F280" s="3228">
        <v>800</v>
      </c>
      <c r="G280" s="3241">
        <v>2390</v>
      </c>
    </row>
    <row r="281" spans="1:7" s="3217" customFormat="1" ht="14.25" customHeight="1">
      <c r="A281" s="3228" t="s">
        <v>306</v>
      </c>
      <c r="B281" s="3228" t="s">
        <v>3142</v>
      </c>
      <c r="C281" s="3228">
        <v>4480</v>
      </c>
      <c r="D281" s="3228">
        <v>4420</v>
      </c>
      <c r="E281" s="3228">
        <v>5230</v>
      </c>
      <c r="F281" s="3228">
        <v>870</v>
      </c>
      <c r="G281" s="3241">
        <v>2660</v>
      </c>
    </row>
    <row r="282" spans="1:7" s="3217" customFormat="1" ht="14.25" customHeight="1">
      <c r="A282" s="3228" t="s">
        <v>306</v>
      </c>
      <c r="B282" s="3228" t="s">
        <v>3143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2920</v>
      </c>
      <c r="C293" s="3228">
        <v>5320</v>
      </c>
      <c r="D293" s="3228">
        <v>5270</v>
      </c>
      <c r="E293" s="3228">
        <v>6160</v>
      </c>
      <c r="F293" s="3228">
        <v>990</v>
      </c>
      <c r="G293" s="3241">
        <v>3170</v>
      </c>
    </row>
    <row r="294" spans="1:7" s="3217" customFormat="1" ht="14.25" customHeight="1">
      <c r="A294" s="3228" t="s">
        <v>306</v>
      </c>
      <c r="B294" s="3228" t="s">
        <v>3146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3147</v>
      </c>
      <c r="C302" s="3228">
        <v>5520</v>
      </c>
      <c r="D302" s="3228">
        <v>5470</v>
      </c>
      <c r="E302" s="3228">
        <v>6410</v>
      </c>
      <c r="F302" s="3228">
        <v>950</v>
      </c>
      <c r="G302" s="3241">
        <v>3300</v>
      </c>
    </row>
    <row r="303" spans="1:7" s="3217" customFormat="1" ht="14.25" customHeight="1">
      <c r="A303" s="3228" t="s">
        <v>306</v>
      </c>
      <c r="B303" s="3228" t="s">
        <v>2959</v>
      </c>
      <c r="C303" s="3228">
        <v>5630</v>
      </c>
      <c r="D303" s="3228">
        <v>5590</v>
      </c>
      <c r="E303" s="3228">
        <v>6550</v>
      </c>
      <c r="F303" s="3228">
        <v>1010</v>
      </c>
      <c r="G303" s="3241">
        <v>3370</v>
      </c>
    </row>
    <row r="304" spans="1:7" s="3217" customFormat="1" ht="14.25" customHeight="1">
      <c r="A304" s="3228" t="s">
        <v>306</v>
      </c>
      <c r="B304" s="3228" t="s">
        <v>2966</v>
      </c>
      <c r="C304" s="3228">
        <v>5680</v>
      </c>
      <c r="D304" s="3228">
        <v>5620</v>
      </c>
      <c r="E304" s="3228">
        <v>6620</v>
      </c>
      <c r="F304" s="3228">
        <v>1050</v>
      </c>
      <c r="G304" s="3241">
        <v>3390</v>
      </c>
    </row>
    <row r="305" spans="1:7" s="3217" customFormat="1" ht="14.25" customHeight="1">
      <c r="A305" s="3228" t="s">
        <v>306</v>
      </c>
      <c r="B305" s="3228" t="s">
        <v>2972</v>
      </c>
      <c r="C305" s="3228">
        <v>5590</v>
      </c>
      <c r="D305" s="3228">
        <v>5530</v>
      </c>
      <c r="E305" s="3228">
        <v>6460</v>
      </c>
      <c r="F305" s="3228">
        <v>900</v>
      </c>
      <c r="G305" s="3241">
        <v>3340</v>
      </c>
    </row>
    <row r="306" spans="1:7" s="3217" customFormat="1" ht="14.25" customHeight="1">
      <c r="A306" s="3228" t="s">
        <v>306</v>
      </c>
      <c r="B306" s="3228" t="s">
        <v>3148</v>
      </c>
      <c r="C306" s="3228">
        <v>5560</v>
      </c>
      <c r="D306" s="3228">
        <v>5510</v>
      </c>
      <c r="E306" s="3228">
        <v>6440</v>
      </c>
      <c r="F306" s="3228">
        <v>900</v>
      </c>
      <c r="G306" s="3241">
        <v>3320</v>
      </c>
    </row>
    <row r="307" spans="1:7" s="3217" customFormat="1" ht="14.25" customHeight="1">
      <c r="A307" s="3228" t="s">
        <v>306</v>
      </c>
      <c r="B307" s="3228" t="s">
        <v>2984</v>
      </c>
      <c r="C307" s="3228">
        <v>5650</v>
      </c>
      <c r="D307" s="3228">
        <v>5600</v>
      </c>
      <c r="E307" s="3228">
        <v>6590</v>
      </c>
      <c r="F307" s="3228">
        <v>930</v>
      </c>
      <c r="G307" s="3241">
        <v>3380</v>
      </c>
    </row>
    <row r="308" spans="1:7" s="3217" customFormat="1" ht="14.25" customHeight="1">
      <c r="A308" s="3228" t="s">
        <v>306</v>
      </c>
      <c r="B308" s="3228" t="s">
        <v>3149</v>
      </c>
      <c r="C308" s="3228">
        <v>5620</v>
      </c>
      <c r="D308" s="3228">
        <v>5580</v>
      </c>
      <c r="E308" s="3228">
        <v>6540</v>
      </c>
      <c r="F308" s="3228">
        <v>910</v>
      </c>
      <c r="G308" s="3241">
        <v>3370</v>
      </c>
    </row>
    <row r="309" spans="1:7" s="3217" customFormat="1" ht="14.25" customHeight="1">
      <c r="A309" s="3228" t="s">
        <v>306</v>
      </c>
      <c r="B309" s="3228" t="s">
        <v>3150</v>
      </c>
      <c r="C309" s="3228">
        <v>5060</v>
      </c>
      <c r="D309" s="3228">
        <v>5020</v>
      </c>
      <c r="E309" s="3228">
        <v>6370</v>
      </c>
      <c r="F309" s="3228">
        <v>800</v>
      </c>
      <c r="G309" s="3241">
        <v>3020</v>
      </c>
    </row>
    <row r="310" spans="1:7" s="3217" customFormat="1" ht="14.25" customHeight="1">
      <c r="A310" s="3228" t="s">
        <v>306</v>
      </c>
      <c r="B310" s="3228" t="s">
        <v>2999</v>
      </c>
      <c r="C310" s="3228">
        <v>5150</v>
      </c>
      <c r="D310" s="3228">
        <v>5110</v>
      </c>
      <c r="E310" s="3228">
        <v>6500</v>
      </c>
      <c r="F310" s="3228">
        <v>880</v>
      </c>
      <c r="G310" s="3241">
        <v>3080</v>
      </c>
    </row>
    <row r="311" spans="1:7" s="3217" customFormat="1" ht="14.25" customHeight="1">
      <c r="A311" s="3228" t="s">
        <v>306</v>
      </c>
      <c r="B311" s="3228" t="s">
        <v>3151</v>
      </c>
      <c r="C311" s="3228">
        <v>4750</v>
      </c>
      <c r="D311" s="3228">
        <v>4710</v>
      </c>
      <c r="E311" s="3228">
        <v>5510</v>
      </c>
      <c r="F311" s="3228">
        <v>880</v>
      </c>
      <c r="G311" s="3241">
        <v>2840</v>
      </c>
    </row>
    <row r="312" spans="1:7" s="3217" customFormat="1" ht="14.25" customHeight="1">
      <c r="A312" s="3228" t="s">
        <v>306</v>
      </c>
      <c r="B312" s="3228" t="s">
        <v>3009</v>
      </c>
      <c r="C312" s="3228">
        <v>4690</v>
      </c>
      <c r="D312" s="3228">
        <v>4640</v>
      </c>
      <c r="E312" s="3228">
        <v>5420</v>
      </c>
      <c r="F312" s="3228">
        <v>800</v>
      </c>
      <c r="G312" s="3241">
        <v>2800</v>
      </c>
    </row>
    <row r="313" spans="1:7" s="3217" customFormat="1" ht="14.25" customHeight="1">
      <c r="A313" s="3228" t="s">
        <v>306</v>
      </c>
      <c r="B313" s="3228" t="s">
        <v>3014</v>
      </c>
      <c r="C313" s="3228">
        <v>4810</v>
      </c>
      <c r="D313" s="3228">
        <v>4760</v>
      </c>
      <c r="E313" s="3228">
        <v>5550</v>
      </c>
      <c r="F313" s="3228">
        <v>920</v>
      </c>
      <c r="G313" s="3241">
        <v>2870</v>
      </c>
    </row>
    <row r="314" spans="1:7" s="3217" customFormat="1" ht="14.25" customHeight="1">
      <c r="A314" s="3228" t="s">
        <v>306</v>
      </c>
      <c r="B314" s="3228" t="s">
        <v>3152</v>
      </c>
      <c r="C314" s="3228"/>
      <c r="D314" s="3228"/>
      <c r="E314" s="3228"/>
      <c r="F314" s="3228">
        <v>1020</v>
      </c>
      <c r="G314" s="3241"/>
    </row>
    <row r="315" spans="1:7" s="3217" customFormat="1" ht="14.25" customHeight="1">
      <c r="A315" s="3228" t="s">
        <v>306</v>
      </c>
      <c r="B315" s="3228" t="s">
        <v>3153</v>
      </c>
      <c r="C315" s="3228"/>
      <c r="D315" s="3228"/>
      <c r="E315" s="3228"/>
      <c r="F315" s="3228">
        <v>1050</v>
      </c>
      <c r="G315" s="3241"/>
    </row>
    <row r="316" spans="1:7" s="3217" customFormat="1" ht="14.25" customHeight="1">
      <c r="A316" s="3228" t="s">
        <v>306</v>
      </c>
      <c r="B316" s="3228" t="s">
        <v>3029</v>
      </c>
      <c r="C316" s="3228"/>
      <c r="D316" s="3228"/>
      <c r="E316" s="3228"/>
      <c r="F316" s="3228">
        <v>900</v>
      </c>
      <c r="G316" s="3241"/>
    </row>
    <row r="317" spans="1:7" s="3217" customFormat="1" ht="14.25" customHeight="1">
      <c r="A317" s="3228" t="s">
        <v>306</v>
      </c>
      <c r="B317" s="3228" t="s">
        <v>3154</v>
      </c>
      <c r="C317" s="3228"/>
      <c r="D317" s="3228"/>
      <c r="E317" s="3228"/>
      <c r="F317" s="3228">
        <v>920</v>
      </c>
      <c r="G317" s="3241"/>
    </row>
    <row r="318" spans="1:7" s="3217" customFormat="1" ht="14.25" customHeight="1">
      <c r="A318" s="3228" t="s">
        <v>306</v>
      </c>
      <c r="B318" s="3228" t="s">
        <v>3155</v>
      </c>
      <c r="C318" s="3228"/>
      <c r="D318" s="3228"/>
      <c r="E318" s="3228"/>
      <c r="F318" s="3228">
        <v>1080</v>
      </c>
      <c r="G318" s="3241"/>
    </row>
    <row r="319" spans="1:7" s="3217" customFormat="1" ht="14.25" customHeight="1">
      <c r="A319" s="3228" t="s">
        <v>306</v>
      </c>
      <c r="B319" s="3228" t="s">
        <v>3042</v>
      </c>
      <c r="C319" s="3228"/>
      <c r="D319" s="3228"/>
      <c r="E319" s="3228"/>
      <c r="F319" s="3228">
        <v>1020</v>
      </c>
      <c r="G319" s="3241"/>
    </row>
    <row r="320" spans="1:7" s="3217" customFormat="1" ht="14.25" customHeight="1">
      <c r="A320" s="3228" t="s">
        <v>306</v>
      </c>
      <c r="B320" s="3228" t="s">
        <v>3045</v>
      </c>
      <c r="C320" s="3228"/>
      <c r="D320" s="3228"/>
      <c r="E320" s="3228"/>
      <c r="F320" s="3228">
        <v>1050</v>
      </c>
      <c r="G320" s="3241"/>
    </row>
    <row r="321" spans="1:7" s="3217" customFormat="1" ht="14.25" customHeight="1">
      <c r="A321" s="3228" t="s">
        <v>306</v>
      </c>
      <c r="B321" s="3228" t="s">
        <v>3047</v>
      </c>
      <c r="C321" s="3228"/>
      <c r="D321" s="3228"/>
      <c r="E321" s="3228"/>
      <c r="F321" s="3228">
        <v>960</v>
      </c>
      <c r="G321" s="3241"/>
    </row>
    <row r="322" spans="1:7" s="3217" customFormat="1" ht="14.25" customHeight="1">
      <c r="A322" s="3228" t="s">
        <v>306</v>
      </c>
      <c r="B322" s="3228" t="s">
        <v>3049</v>
      </c>
      <c r="C322" s="3228"/>
      <c r="D322" s="3228"/>
      <c r="E322" s="3228"/>
      <c r="F322" s="3228">
        <v>960</v>
      </c>
      <c r="G322" s="3241"/>
    </row>
    <row r="323" spans="1:7" s="3217" customFormat="1" ht="14.25" customHeight="1">
      <c r="A323" s="3228" t="s">
        <v>306</v>
      </c>
      <c r="B323" s="3228" t="s">
        <v>3051</v>
      </c>
      <c r="C323" s="3228"/>
      <c r="D323" s="3228"/>
      <c r="E323" s="3228"/>
      <c r="F323" s="3228">
        <v>880</v>
      </c>
      <c r="G323" s="3241"/>
    </row>
    <row r="324" spans="1:7" s="3217" customFormat="1" ht="14.25" customHeight="1">
      <c r="A324" s="3228" t="s">
        <v>306</v>
      </c>
      <c r="B324" s="3228" t="s">
        <v>3053</v>
      </c>
      <c r="C324" s="3228"/>
      <c r="D324" s="3228"/>
      <c r="E324" s="3228"/>
      <c r="F324" s="3228">
        <v>930</v>
      </c>
      <c r="G324" s="3241"/>
    </row>
    <row r="325" spans="1:7" s="3217" customFormat="1" ht="14.25" customHeight="1">
      <c r="A325" s="3228" t="s">
        <v>306</v>
      </c>
      <c r="B325" s="3229" t="s">
        <v>3055</v>
      </c>
      <c r="C325" s="3228"/>
      <c r="D325" s="3228"/>
      <c r="E325" s="3228"/>
      <c r="F325" s="3228">
        <v>900</v>
      </c>
      <c r="G325" s="3241"/>
    </row>
    <row r="326" spans="1:7" s="3217" customFormat="1" ht="14.25" customHeight="1" thickBot="1">
      <c r="A326" s="3242" t="s">
        <v>306</v>
      </c>
      <c r="B326" s="3235" t="s">
        <v>3057</v>
      </c>
      <c r="C326" s="3235"/>
      <c r="D326" s="3235"/>
      <c r="E326" s="3235"/>
      <c r="F326" s="3235">
        <v>790</v>
      </c>
      <c r="G326" s="3243"/>
    </row>
    <row r="327" spans="1:7" s="3217" customFormat="1" ht="14.25" customHeight="1">
      <c r="A327" s="3233" t="s">
        <v>307</v>
      </c>
      <c r="B327" s="3224" t="s">
        <v>3156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3157</v>
      </c>
      <c r="C329" s="3228">
        <v>2730</v>
      </c>
      <c r="D329" s="3228">
        <v>2690</v>
      </c>
      <c r="E329" s="3228">
        <v>3100</v>
      </c>
      <c r="F329" s="3228">
        <v>660</v>
      </c>
      <c r="G329" s="3228">
        <v>1610</v>
      </c>
    </row>
    <row r="330" spans="1:7" s="3217" customFormat="1" ht="14.25" customHeight="1">
      <c r="A330" s="3228" t="s">
        <v>307</v>
      </c>
      <c r="B330" s="3228" t="s">
        <v>3158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2891</v>
      </c>
      <c r="C332" s="3228">
        <v>3520</v>
      </c>
      <c r="D332" s="3228">
        <v>3480</v>
      </c>
      <c r="E332" s="3228">
        <v>3830</v>
      </c>
      <c r="F332" s="3228">
        <v>720</v>
      </c>
      <c r="G332" s="3228">
        <v>2090</v>
      </c>
    </row>
    <row r="333" spans="1:7" s="3217" customFormat="1" ht="14.25" customHeight="1">
      <c r="A333" s="3228" t="s">
        <v>307</v>
      </c>
      <c r="B333" s="3228" t="s">
        <v>3159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2901</v>
      </c>
      <c r="C336" s="3228">
        <v>3570</v>
      </c>
      <c r="D336" s="3228">
        <v>3530</v>
      </c>
      <c r="E336" s="3228">
        <v>3880</v>
      </c>
      <c r="F336" s="3228">
        <v>770</v>
      </c>
      <c r="G336" s="3228">
        <v>2110</v>
      </c>
    </row>
    <row r="337" spans="1:10" s="3217" customFormat="1" ht="14.25" customHeight="1">
      <c r="A337" s="3228" t="s">
        <v>307</v>
      </c>
      <c r="B337" s="3228" t="s">
        <v>3160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2926</v>
      </c>
      <c r="C345" s="3228">
        <v>3190</v>
      </c>
      <c r="D345" s="3228">
        <v>3140</v>
      </c>
      <c r="E345" s="3228">
        <v>3450</v>
      </c>
      <c r="F345" s="3228">
        <v>720</v>
      </c>
      <c r="G345" s="3228">
        <v>1880</v>
      </c>
      <c r="J345" s="3217"/>
    </row>
    <row r="346" spans="1:10">
      <c r="A346" s="3228" t="s">
        <v>307</v>
      </c>
      <c r="B346" s="3228" t="s">
        <v>3163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2935</v>
      </c>
      <c r="C348" s="3228">
        <v>4000</v>
      </c>
      <c r="D348" s="3228">
        <v>3950</v>
      </c>
      <c r="E348" s="3228">
        <v>4430</v>
      </c>
      <c r="F348" s="3228">
        <v>760</v>
      </c>
      <c r="G348" s="3228">
        <v>2360</v>
      </c>
      <c r="J348" s="3217"/>
    </row>
    <row r="349" spans="1:10">
      <c r="A349" s="3228" t="s">
        <v>307</v>
      </c>
      <c r="B349" s="3228" t="s">
        <v>2940</v>
      </c>
      <c r="C349" s="3228">
        <v>3820</v>
      </c>
      <c r="D349" s="3228">
        <v>3780</v>
      </c>
      <c r="E349" s="3228">
        <v>4170</v>
      </c>
      <c r="F349" s="3228">
        <v>710</v>
      </c>
      <c r="G349" s="3228">
        <v>2260</v>
      </c>
      <c r="J349" s="3217"/>
    </row>
    <row r="350" spans="1:10">
      <c r="A350" s="3228" t="s">
        <v>307</v>
      </c>
      <c r="B350" s="3228" t="s">
        <v>3164</v>
      </c>
      <c r="C350" s="3228">
        <v>3760</v>
      </c>
      <c r="D350" s="3228">
        <v>3730</v>
      </c>
      <c r="E350" s="3228">
        <v>4100</v>
      </c>
      <c r="F350" s="3228">
        <v>800</v>
      </c>
      <c r="G350" s="3228">
        <v>2230</v>
      </c>
      <c r="J350" s="3217"/>
    </row>
    <row r="351" spans="1:10">
      <c r="A351" s="3228" t="s">
        <v>307</v>
      </c>
      <c r="B351" s="3228" t="s">
        <v>2948</v>
      </c>
      <c r="C351" s="3228">
        <v>3610</v>
      </c>
      <c r="D351" s="3228">
        <v>3580</v>
      </c>
      <c r="E351" s="3228">
        <v>3930</v>
      </c>
      <c r="F351" s="3228">
        <v>700</v>
      </c>
      <c r="G351" s="3228">
        <v>2140</v>
      </c>
      <c r="J351" s="3217"/>
    </row>
    <row r="352" spans="1:10">
      <c r="A352" s="3228" t="s">
        <v>307</v>
      </c>
      <c r="B352" s="3228" t="s">
        <v>2953</v>
      </c>
      <c r="C352" s="3228">
        <v>3670</v>
      </c>
      <c r="D352" s="3228">
        <v>3630</v>
      </c>
      <c r="E352" s="3228">
        <v>4000</v>
      </c>
      <c r="F352" s="3228">
        <v>750</v>
      </c>
      <c r="G352" s="3228">
        <v>2180</v>
      </c>
    </row>
    <row r="353" spans="1:7" s="3221" customFormat="1">
      <c r="A353" s="3228" t="s">
        <v>307</v>
      </c>
      <c r="B353" s="3228" t="s">
        <v>3165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2973</v>
      </c>
      <c r="C355" s="3228">
        <v>3650</v>
      </c>
      <c r="D355" s="3228">
        <v>3610</v>
      </c>
      <c r="E355" s="3228">
        <v>4200</v>
      </c>
      <c r="F355" s="3228">
        <v>640</v>
      </c>
      <c r="G355" s="3228">
        <v>2160</v>
      </c>
    </row>
    <row r="356" spans="1:7" s="3221" customFormat="1">
      <c r="A356" s="3228" t="s">
        <v>307</v>
      </c>
      <c r="B356" s="3228" t="s">
        <v>2980</v>
      </c>
      <c r="C356" s="3228">
        <v>3260</v>
      </c>
      <c r="D356" s="3228">
        <v>3230</v>
      </c>
      <c r="E356" s="3228">
        <v>3740</v>
      </c>
      <c r="F356" s="3228">
        <v>600</v>
      </c>
      <c r="G356" s="3228">
        <v>1930</v>
      </c>
    </row>
    <row r="357" spans="1:7" s="3221" customFormat="1" ht="12" thickBot="1">
      <c r="A357" s="3236" t="s">
        <v>307</v>
      </c>
      <c r="B357" s="3239" t="s">
        <v>3166</v>
      </c>
      <c r="C357" s="3239">
        <v>3690</v>
      </c>
      <c r="D357" s="3239">
        <v>3650</v>
      </c>
      <c r="E357" s="3239">
        <v>4020</v>
      </c>
      <c r="F357" s="3239">
        <v>700</v>
      </c>
      <c r="G357" s="3239">
        <v>2190</v>
      </c>
    </row>
    <row r="358" spans="1:7" s="3221" customFormat="1">
      <c r="A358" s="3233" t="s">
        <v>3167</v>
      </c>
      <c r="B358" s="3224" t="s">
        <v>3168</v>
      </c>
      <c r="C358" s="3224">
        <v>2080</v>
      </c>
      <c r="D358" s="3224">
        <v>2040</v>
      </c>
      <c r="E358" s="3224">
        <v>2010</v>
      </c>
      <c r="F358" s="3224">
        <v>530</v>
      </c>
      <c r="G358" s="3240">
        <v>1230</v>
      </c>
    </row>
    <row r="359" spans="1:7" s="3221" customFormat="1">
      <c r="A359" s="3228" t="s">
        <v>3167</v>
      </c>
      <c r="B359" s="3228" t="s">
        <v>3169</v>
      </c>
      <c r="C359" s="3228">
        <v>1850</v>
      </c>
      <c r="D359" s="3228">
        <v>1820</v>
      </c>
      <c r="E359" s="3228">
        <v>1780</v>
      </c>
      <c r="F359" s="3228">
        <v>520</v>
      </c>
      <c r="G359" s="3241">
        <v>1100</v>
      </c>
    </row>
    <row r="360" spans="1:7" s="3221" customFormat="1">
      <c r="A360" s="3228" t="s">
        <v>3167</v>
      </c>
      <c r="B360" s="3228" t="s">
        <v>3170</v>
      </c>
      <c r="C360" s="3228">
        <v>2020</v>
      </c>
      <c r="D360" s="3228">
        <v>1990</v>
      </c>
      <c r="E360" s="3228">
        <v>1950</v>
      </c>
      <c r="F360" s="3228">
        <v>500</v>
      </c>
      <c r="G360" s="3241">
        <v>1200</v>
      </c>
    </row>
    <row r="361" spans="1:7" s="3221" customFormat="1">
      <c r="A361" s="3228" t="s">
        <v>3167</v>
      </c>
      <c r="B361" s="3228" t="s">
        <v>153</v>
      </c>
      <c r="C361" s="3228">
        <v>2260</v>
      </c>
      <c r="D361" s="3228">
        <v>2220</v>
      </c>
      <c r="E361" s="3228">
        <v>2180</v>
      </c>
      <c r="F361" s="3228">
        <v>580</v>
      </c>
      <c r="G361" s="3241">
        <v>1340</v>
      </c>
    </row>
    <row r="362" spans="1:7" s="3221" customFormat="1">
      <c r="A362" s="3228" t="s">
        <v>3167</v>
      </c>
      <c r="B362" s="3228" t="s">
        <v>3171</v>
      </c>
      <c r="C362" s="3228">
        <v>2650</v>
      </c>
      <c r="D362" s="3228">
        <v>2610</v>
      </c>
      <c r="E362" s="3228">
        <v>2570</v>
      </c>
      <c r="F362" s="3228">
        <v>630</v>
      </c>
      <c r="G362" s="3241">
        <v>1570</v>
      </c>
    </row>
    <row r="363" spans="1:7" s="3221" customFormat="1">
      <c r="A363" s="3228" t="s">
        <v>3167</v>
      </c>
      <c r="B363" s="3228" t="s">
        <v>2892</v>
      </c>
      <c r="C363" s="3228">
        <v>2390</v>
      </c>
      <c r="D363" s="3228">
        <v>2360</v>
      </c>
      <c r="E363" s="3228">
        <v>2320</v>
      </c>
      <c r="F363" s="3228">
        <v>600</v>
      </c>
      <c r="G363" s="3241">
        <v>1420</v>
      </c>
    </row>
    <row r="364" spans="1:7" s="3221" customFormat="1">
      <c r="A364" s="3228" t="s">
        <v>3167</v>
      </c>
      <c r="B364" s="3228" t="s">
        <v>3172</v>
      </c>
      <c r="C364" s="3228">
        <v>2050</v>
      </c>
      <c r="D364" s="3228">
        <v>2030</v>
      </c>
      <c r="E364" s="3228">
        <v>1990</v>
      </c>
      <c r="F364" s="3228">
        <v>550</v>
      </c>
      <c r="G364" s="3241">
        <v>1220</v>
      </c>
    </row>
    <row r="365" spans="1:7" s="3221" customFormat="1">
      <c r="A365" s="3228" t="s">
        <v>3167</v>
      </c>
      <c r="B365" s="3228" t="s">
        <v>200</v>
      </c>
      <c r="C365" s="3228">
        <v>2140</v>
      </c>
      <c r="D365" s="3228">
        <v>2100</v>
      </c>
      <c r="E365" s="3228">
        <v>2060</v>
      </c>
      <c r="F365" s="3228">
        <v>540</v>
      </c>
      <c r="G365" s="3241">
        <v>1270</v>
      </c>
    </row>
    <row r="366" spans="1:7" s="3221" customFormat="1">
      <c r="A366" s="3228" t="s">
        <v>3167</v>
      </c>
      <c r="B366" s="3228" t="s">
        <v>2899</v>
      </c>
      <c r="C366" s="3228">
        <v>2410</v>
      </c>
      <c r="D366" s="3228">
        <v>2370</v>
      </c>
      <c r="E366" s="3228">
        <v>2330</v>
      </c>
      <c r="F366" s="3228">
        <v>570</v>
      </c>
      <c r="G366" s="3241">
        <v>1440</v>
      </c>
    </row>
    <row r="367" spans="1:7" s="3221" customFormat="1">
      <c r="A367" s="3228" t="s">
        <v>3167</v>
      </c>
      <c r="B367" s="3228" t="s">
        <v>3173</v>
      </c>
      <c r="C367" s="3228">
        <v>2300</v>
      </c>
      <c r="D367" s="3228">
        <v>2260</v>
      </c>
      <c r="E367" s="3228">
        <v>2220</v>
      </c>
      <c r="F367" s="3228">
        <v>560</v>
      </c>
      <c r="G367" s="3241">
        <v>1370</v>
      </c>
    </row>
    <row r="368" spans="1:7" s="3221" customFormat="1">
      <c r="A368" s="3228" t="s">
        <v>3167</v>
      </c>
      <c r="B368" s="3228" t="s">
        <v>3174</v>
      </c>
      <c r="C368" s="3228">
        <v>2430</v>
      </c>
      <c r="D368" s="3228">
        <v>2390</v>
      </c>
      <c r="E368" s="3228">
        <v>2350</v>
      </c>
      <c r="F368" s="3228">
        <v>570</v>
      </c>
      <c r="G368" s="3241">
        <v>1450</v>
      </c>
    </row>
    <row r="369" spans="1:7" s="3221" customFormat="1">
      <c r="A369" s="3228" t="s">
        <v>3167</v>
      </c>
      <c r="B369" s="3228" t="s">
        <v>214</v>
      </c>
      <c r="C369" s="3228">
        <v>2320</v>
      </c>
      <c r="D369" s="3228">
        <v>2290</v>
      </c>
      <c r="E369" s="3228">
        <v>2250</v>
      </c>
      <c r="F369" s="3228">
        <v>550</v>
      </c>
      <c r="G369" s="3241">
        <v>1380</v>
      </c>
    </row>
    <row r="370" spans="1:7" s="3221" customFormat="1">
      <c r="A370" s="3228" t="s">
        <v>3167</v>
      </c>
      <c r="B370" s="3228" t="s">
        <v>221</v>
      </c>
      <c r="C370" s="3228">
        <v>2190</v>
      </c>
      <c r="D370" s="3228">
        <v>2170</v>
      </c>
      <c r="E370" s="3228">
        <v>2130</v>
      </c>
      <c r="F370" s="3228">
        <v>530</v>
      </c>
      <c r="G370" s="3241">
        <v>1310</v>
      </c>
    </row>
    <row r="371" spans="1:7" s="3221" customFormat="1">
      <c r="A371" s="3228" t="s">
        <v>3167</v>
      </c>
      <c r="B371" s="3228" t="s">
        <v>229</v>
      </c>
      <c r="C371" s="3228">
        <v>2460</v>
      </c>
      <c r="D371" s="3228">
        <v>2420</v>
      </c>
      <c r="E371" s="3228">
        <v>2370</v>
      </c>
      <c r="F371" s="3228">
        <v>560</v>
      </c>
      <c r="G371" s="3241">
        <v>1470</v>
      </c>
    </row>
    <row r="372" spans="1:7" s="3221" customFormat="1">
      <c r="A372" s="3228" t="s">
        <v>3167</v>
      </c>
      <c r="B372" s="3228" t="s">
        <v>3175</v>
      </c>
      <c r="C372" s="3228">
        <v>2250</v>
      </c>
      <c r="D372" s="3228">
        <v>2210</v>
      </c>
      <c r="E372" s="3228">
        <v>2180</v>
      </c>
      <c r="F372" s="3228">
        <v>550</v>
      </c>
      <c r="G372" s="3241">
        <v>1340</v>
      </c>
    </row>
    <row r="373" spans="1:7" s="3221" customFormat="1">
      <c r="A373" s="3228" t="s">
        <v>3167</v>
      </c>
      <c r="B373" s="3228" t="s">
        <v>258</v>
      </c>
      <c r="C373" s="3228">
        <v>2210</v>
      </c>
      <c r="D373" s="3228">
        <v>2190</v>
      </c>
      <c r="E373" s="3228">
        <v>2150</v>
      </c>
      <c r="F373" s="3228">
        <v>530</v>
      </c>
      <c r="G373" s="3241">
        <v>1320</v>
      </c>
    </row>
    <row r="374" spans="1:7" s="3221" customFormat="1">
      <c r="A374" s="3228" t="s">
        <v>3167</v>
      </c>
      <c r="B374" s="3228" t="s">
        <v>266</v>
      </c>
      <c r="C374" s="3228">
        <v>2320</v>
      </c>
      <c r="D374" s="3228">
        <v>2280</v>
      </c>
      <c r="E374" s="3228">
        <v>2230</v>
      </c>
      <c r="F374" s="3228">
        <v>580</v>
      </c>
      <c r="G374" s="3241">
        <v>1380</v>
      </c>
    </row>
    <row r="375" spans="1:7" s="3221" customFormat="1">
      <c r="A375" s="3228" t="s">
        <v>3167</v>
      </c>
      <c r="B375" s="3228" t="s">
        <v>3176</v>
      </c>
      <c r="C375" s="3228">
        <v>2090</v>
      </c>
      <c r="D375" s="3228">
        <v>2050</v>
      </c>
      <c r="E375" s="3228">
        <v>2020</v>
      </c>
      <c r="F375" s="3228">
        <v>520</v>
      </c>
      <c r="G375" s="3241">
        <v>1240</v>
      </c>
    </row>
    <row r="376" spans="1:7" s="3221" customFormat="1">
      <c r="A376" s="3228" t="s">
        <v>3167</v>
      </c>
      <c r="B376" s="3228" t="s">
        <v>277</v>
      </c>
      <c r="C376" s="3228">
        <v>2010</v>
      </c>
      <c r="D376" s="3228">
        <v>1980</v>
      </c>
      <c r="E376" s="3228">
        <v>1940</v>
      </c>
      <c r="F376" s="3228">
        <v>540</v>
      </c>
      <c r="G376" s="3241">
        <v>1190</v>
      </c>
    </row>
    <row r="377" spans="1:7" s="3221" customFormat="1" ht="12" thickBot="1">
      <c r="A377" s="3236" t="s">
        <v>3167</v>
      </c>
      <c r="B377" s="3239" t="s">
        <v>2929</v>
      </c>
      <c r="C377" s="3239">
        <v>1930</v>
      </c>
      <c r="D377" s="3239">
        <v>1890</v>
      </c>
      <c r="E377" s="3239">
        <v>1860</v>
      </c>
      <c r="F377" s="3239">
        <v>530</v>
      </c>
      <c r="G377" s="3244">
        <v>1150</v>
      </c>
    </row>
    <row r="378" spans="1:7" s="3221" customFormat="1">
      <c r="A378" s="3245" t="s">
        <v>3177</v>
      </c>
      <c r="B378" s="3224" t="s">
        <v>3178</v>
      </c>
      <c r="C378" s="3224">
        <v>1520</v>
      </c>
      <c r="D378" s="3224">
        <v>1490</v>
      </c>
      <c r="E378" s="3224">
        <v>1460</v>
      </c>
      <c r="F378" s="3224">
        <v>460</v>
      </c>
      <c r="G378" s="3240">
        <v>940</v>
      </c>
    </row>
    <row r="379" spans="1:7" s="3221" customFormat="1">
      <c r="A379" s="3246" t="s">
        <v>3177</v>
      </c>
      <c r="B379" s="3228" t="s">
        <v>3179</v>
      </c>
      <c r="C379" s="3228">
        <v>1500</v>
      </c>
      <c r="D379" s="3228">
        <v>1470</v>
      </c>
      <c r="E379" s="3228">
        <v>1430</v>
      </c>
      <c r="F379" s="3228">
        <v>460</v>
      </c>
      <c r="G379" s="3241">
        <v>920</v>
      </c>
    </row>
    <row r="380" spans="1:7" s="3221" customFormat="1">
      <c r="A380" s="3246" t="s">
        <v>3177</v>
      </c>
      <c r="B380" s="3228" t="s">
        <v>3180</v>
      </c>
      <c r="C380" s="3228">
        <v>1620</v>
      </c>
      <c r="D380" s="3228">
        <v>1590</v>
      </c>
      <c r="E380" s="3228">
        <v>1560</v>
      </c>
      <c r="F380" s="3228">
        <v>480</v>
      </c>
      <c r="G380" s="3241">
        <v>1000</v>
      </c>
    </row>
    <row r="381" spans="1:7" s="3221" customFormat="1">
      <c r="A381" s="3246" t="s">
        <v>3177</v>
      </c>
      <c r="B381" s="3228" t="s">
        <v>3181</v>
      </c>
      <c r="C381" s="3228">
        <v>1460</v>
      </c>
      <c r="D381" s="3228">
        <v>1430</v>
      </c>
      <c r="E381" s="3228">
        <v>1390</v>
      </c>
      <c r="F381" s="3228">
        <v>450</v>
      </c>
      <c r="G381" s="3241">
        <v>900</v>
      </c>
    </row>
    <row r="382" spans="1:7" s="3221" customFormat="1">
      <c r="A382" s="3246" t="s">
        <v>3177</v>
      </c>
      <c r="B382" s="3228" t="s">
        <v>3182</v>
      </c>
      <c r="C382" s="3228">
        <v>1310</v>
      </c>
      <c r="D382" s="3228">
        <v>1280</v>
      </c>
      <c r="E382" s="3228">
        <v>1250</v>
      </c>
      <c r="F382" s="3228">
        <v>440</v>
      </c>
      <c r="G382" s="3241">
        <v>800</v>
      </c>
    </row>
    <row r="383" spans="1:7" s="3221" customFormat="1">
      <c r="A383" s="3246" t="s">
        <v>3177</v>
      </c>
      <c r="B383" s="3228" t="s">
        <v>3183</v>
      </c>
      <c r="C383" s="3228">
        <v>1260</v>
      </c>
      <c r="D383" s="3228">
        <v>1230</v>
      </c>
      <c r="E383" s="3228">
        <v>1200</v>
      </c>
      <c r="F383" s="3228">
        <v>420</v>
      </c>
      <c r="G383" s="3241">
        <v>770</v>
      </c>
    </row>
    <row r="384" spans="1:7" s="3221" customFormat="1" ht="12" thickBot="1">
      <c r="A384" s="3247" t="s">
        <v>3177</v>
      </c>
      <c r="B384" s="3235" t="s">
        <v>3184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5" t="s">
        <v>3185</v>
      </c>
      <c r="B1" s="3775"/>
    </row>
    <row r="2" spans="1:7" ht="14.25" thickBot="1">
      <c r="A2" s="3250"/>
      <c r="B2" s="3250"/>
    </row>
    <row r="3" spans="1:7" ht="14.25" thickBot="1">
      <c r="A3" s="3250"/>
      <c r="B3" s="3250"/>
      <c r="C3" s="3251" t="s">
        <v>2815</v>
      </c>
      <c r="D3" s="3251" t="s">
        <v>2871</v>
      </c>
      <c r="E3" s="3251" t="s">
        <v>2817</v>
      </c>
      <c r="F3" s="3251" t="s">
        <v>2872</v>
      </c>
      <c r="G3" s="3251" t="s">
        <v>2635</v>
      </c>
    </row>
    <row r="4" spans="1:7" ht="14.25" thickBot="1">
      <c r="A4" s="3252" t="s">
        <v>2870</v>
      </c>
      <c r="B4" s="3253" t="s">
        <v>2876</v>
      </c>
      <c r="C4" s="3251"/>
      <c r="D4" s="3251"/>
      <c r="E4" s="3251"/>
      <c r="F4" s="3251"/>
      <c r="G4" s="3251"/>
    </row>
    <row r="5" spans="1:7">
      <c r="A5" s="3254" t="s">
        <v>2844</v>
      </c>
      <c r="B5" s="3255" t="s">
        <v>2858</v>
      </c>
      <c r="C5" s="3256">
        <v>9.8000000000000004E-2</v>
      </c>
      <c r="D5" s="3256">
        <v>8.6999999999999994E-2</v>
      </c>
      <c r="E5" s="3256">
        <v>8.6999999999999994E-2</v>
      </c>
      <c r="F5" s="3256">
        <v>9.8000000000000004E-2</v>
      </c>
      <c r="G5" s="3257">
        <v>9.5000000000000001E-2</v>
      </c>
    </row>
    <row r="6" spans="1:7">
      <c r="A6" s="3258" t="s">
        <v>144</v>
      </c>
      <c r="B6" s="3259" t="s">
        <v>2873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2927</v>
      </c>
      <c r="C29" s="3268"/>
      <c r="D29" s="3264">
        <v>5.1999999999999998E-2</v>
      </c>
      <c r="E29" s="3264">
        <v>7.0000000000000007E-2</v>
      </c>
      <c r="F29" s="3268"/>
      <c r="G29" s="3266">
        <v>7.0999999999999994E-2</v>
      </c>
    </row>
    <row r="30" spans="1:7">
      <c r="A30" s="3269" t="s">
        <v>296</v>
      </c>
      <c r="B30" s="3255" t="s">
        <v>2860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2930</v>
      </c>
      <c r="C50" s="3260">
        <v>9.8000000000000004E-2</v>
      </c>
      <c r="D50" s="3260">
        <v>7.2999999999999995E-2</v>
      </c>
      <c r="E50" s="3260">
        <v>7.0999999999999994E-2</v>
      </c>
      <c r="F50" s="3271"/>
      <c r="G50" s="3261">
        <v>7.2999999999999995E-2</v>
      </c>
    </row>
    <row r="51" spans="1:7">
      <c r="A51" s="3270" t="s">
        <v>296</v>
      </c>
      <c r="B51" s="3259" t="s">
        <v>2932</v>
      </c>
      <c r="C51" s="3260">
        <v>9.9000000000000005E-2</v>
      </c>
      <c r="D51" s="3260">
        <v>8.5000000000000006E-2</v>
      </c>
      <c r="E51" s="3260">
        <v>6.3E-2</v>
      </c>
      <c r="F51" s="3271"/>
      <c r="G51" s="3261">
        <v>9.6000000000000002E-2</v>
      </c>
    </row>
    <row r="52" spans="1:7">
      <c r="A52" s="3270" t="s">
        <v>296</v>
      </c>
      <c r="B52" s="3259" t="s">
        <v>2936</v>
      </c>
      <c r="C52" s="3260">
        <v>7.3999999999999996E-2</v>
      </c>
      <c r="D52" s="3260">
        <v>9.6000000000000002E-2</v>
      </c>
      <c r="E52" s="3260">
        <v>0.05</v>
      </c>
      <c r="F52" s="3271"/>
      <c r="G52" s="3261">
        <v>9.8000000000000004E-2</v>
      </c>
    </row>
    <row r="53" spans="1:7">
      <c r="A53" s="3270" t="s">
        <v>296</v>
      </c>
      <c r="B53" s="3259" t="s">
        <v>2941</v>
      </c>
      <c r="C53" s="3260">
        <v>8.5999999999999993E-2</v>
      </c>
      <c r="D53" s="3271"/>
      <c r="E53" s="3260">
        <v>9.1999999999999998E-2</v>
      </c>
      <c r="F53" s="3271"/>
      <c r="G53" s="3272"/>
    </row>
    <row r="54" spans="1:7" ht="14.25" thickBot="1">
      <c r="A54" s="3273" t="s">
        <v>296</v>
      </c>
      <c r="B54" s="3263" t="s">
        <v>2944</v>
      </c>
      <c r="C54" s="3264">
        <v>9.6000000000000002E-2</v>
      </c>
      <c r="D54" s="3265"/>
      <c r="E54" s="3274"/>
      <c r="F54" s="3265"/>
      <c r="G54" s="3275"/>
    </row>
    <row r="55" spans="1:7">
      <c r="A55" s="3269" t="s">
        <v>110</v>
      </c>
      <c r="B55" s="3255" t="s">
        <v>2861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2942</v>
      </c>
      <c r="C78" s="3260">
        <v>0.1</v>
      </c>
      <c r="D78" s="3260">
        <v>8.5000000000000006E-2</v>
      </c>
      <c r="E78" s="3260">
        <v>9.6000000000000002E-2</v>
      </c>
      <c r="F78" s="3271"/>
      <c r="G78" s="3261">
        <v>9.6000000000000002E-2</v>
      </c>
    </row>
    <row r="79" spans="1:7">
      <c r="A79" s="3270" t="s">
        <v>110</v>
      </c>
      <c r="B79" s="3259" t="s">
        <v>2945</v>
      </c>
      <c r="C79" s="3260">
        <v>0.05</v>
      </c>
      <c r="D79" s="3260">
        <v>9.6000000000000002E-2</v>
      </c>
      <c r="E79" s="3260">
        <v>9.5000000000000001E-2</v>
      </c>
      <c r="F79" s="3271"/>
      <c r="G79" s="3261">
        <v>9.8000000000000004E-2</v>
      </c>
    </row>
    <row r="80" spans="1:7">
      <c r="A80" s="3270" t="s">
        <v>110</v>
      </c>
      <c r="B80" s="3259" t="s">
        <v>2949</v>
      </c>
      <c r="C80" s="3260">
        <v>8.5999999999999993E-2</v>
      </c>
      <c r="D80" s="3276"/>
      <c r="E80" s="3260">
        <v>0.1</v>
      </c>
      <c r="F80" s="3271"/>
      <c r="G80" s="3272"/>
    </row>
    <row r="81" spans="1:7">
      <c r="A81" s="3270" t="s">
        <v>110</v>
      </c>
      <c r="B81" s="3259" t="s">
        <v>2954</v>
      </c>
      <c r="C81" s="3260">
        <v>9.6000000000000002E-2</v>
      </c>
      <c r="D81" s="3271"/>
      <c r="E81" s="3260">
        <v>9.8000000000000004E-2</v>
      </c>
      <c r="F81" s="3271"/>
      <c r="G81" s="3272"/>
    </row>
    <row r="82" spans="1:7">
      <c r="A82" s="3270" t="s">
        <v>110</v>
      </c>
      <c r="B82" s="3259" t="s">
        <v>2961</v>
      </c>
      <c r="C82" s="3276"/>
      <c r="D82" s="3271"/>
      <c r="E82" s="3260">
        <v>7.6999999999999999E-2</v>
      </c>
      <c r="F82" s="3271"/>
      <c r="G82" s="3272"/>
    </row>
    <row r="83" spans="1:7">
      <c r="A83" s="3270" t="s">
        <v>110</v>
      </c>
      <c r="B83" s="3259" t="s">
        <v>2967</v>
      </c>
      <c r="C83" s="3271"/>
      <c r="D83" s="3271"/>
      <c r="E83" s="3271"/>
      <c r="F83" s="3260">
        <v>0.1</v>
      </c>
      <c r="G83" s="3277"/>
    </row>
    <row r="84" spans="1:7">
      <c r="A84" s="3270" t="s">
        <v>110</v>
      </c>
      <c r="B84" s="3259" t="s">
        <v>2974</v>
      </c>
      <c r="C84" s="3271"/>
      <c r="D84" s="3271"/>
      <c r="E84" s="3271"/>
      <c r="F84" s="3260">
        <v>0.1</v>
      </c>
      <c r="G84" s="3277"/>
    </row>
    <row r="85" spans="1:7">
      <c r="A85" s="3270" t="s">
        <v>110</v>
      </c>
      <c r="B85" s="3259" t="s">
        <v>2981</v>
      </c>
      <c r="C85" s="3271"/>
      <c r="D85" s="3271"/>
      <c r="E85" s="3271"/>
      <c r="F85" s="3260">
        <v>0.1</v>
      </c>
      <c r="G85" s="3277"/>
    </row>
    <row r="86" spans="1:7" ht="14.25" thickBot="1">
      <c r="A86" s="3273" t="s">
        <v>110</v>
      </c>
      <c r="B86" s="3263" t="s">
        <v>2986</v>
      </c>
      <c r="C86" s="3264">
        <v>9.8000000000000004E-2</v>
      </c>
      <c r="D86" s="3264">
        <v>9.8000000000000004E-2</v>
      </c>
      <c r="E86" s="3264">
        <v>9.6000000000000002E-2</v>
      </c>
      <c r="F86" s="3274"/>
      <c r="G86" s="3266">
        <v>0.1</v>
      </c>
    </row>
    <row r="87" spans="1:7">
      <c r="A87" s="3269" t="s">
        <v>303</v>
      </c>
      <c r="B87" s="3255" t="s">
        <v>2862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2955</v>
      </c>
      <c r="C113" s="3260">
        <v>0.1</v>
      </c>
      <c r="D113" s="3260">
        <v>0.1</v>
      </c>
      <c r="E113" s="3271"/>
      <c r="F113" s="3271"/>
      <c r="G113" s="3261">
        <v>0.1</v>
      </c>
    </row>
    <row r="114" spans="1:7">
      <c r="A114" s="3270" t="s">
        <v>303</v>
      </c>
      <c r="B114" s="3259" t="s">
        <v>2962</v>
      </c>
      <c r="C114" s="3260">
        <v>9.7000000000000003E-2</v>
      </c>
      <c r="D114" s="3260">
        <v>9.7000000000000003E-2</v>
      </c>
      <c r="E114" s="3271"/>
      <c r="F114" s="3271"/>
      <c r="G114" s="3261">
        <v>9.9000000000000005E-2</v>
      </c>
    </row>
    <row r="115" spans="1:7">
      <c r="A115" s="3270" t="s">
        <v>303</v>
      </c>
      <c r="B115" s="3259" t="s">
        <v>2968</v>
      </c>
      <c r="C115" s="3260">
        <v>0.1</v>
      </c>
      <c r="D115" s="3260">
        <v>0.1</v>
      </c>
      <c r="E115" s="3271"/>
      <c r="F115" s="3271"/>
      <c r="G115" s="3261">
        <v>0.1</v>
      </c>
    </row>
    <row r="116" spans="1:7">
      <c r="A116" s="3270" t="s">
        <v>303</v>
      </c>
      <c r="B116" s="3259" t="s">
        <v>2975</v>
      </c>
      <c r="C116" s="3260">
        <v>0.1</v>
      </c>
      <c r="D116" s="3260">
        <v>0.1</v>
      </c>
      <c r="E116" s="3271"/>
      <c r="F116" s="3271"/>
      <c r="G116" s="3261">
        <v>0.1</v>
      </c>
    </row>
    <row r="117" spans="1:7">
      <c r="A117" s="3270" t="s">
        <v>303</v>
      </c>
      <c r="B117" s="3259" t="s">
        <v>2982</v>
      </c>
      <c r="C117" s="3260">
        <v>9.7000000000000003E-2</v>
      </c>
      <c r="D117" s="3260">
        <v>9.7000000000000003E-2</v>
      </c>
      <c r="E117" s="3271"/>
      <c r="F117" s="3271"/>
      <c r="G117" s="3261">
        <v>9.7000000000000003E-2</v>
      </c>
    </row>
    <row r="118" spans="1:7">
      <c r="A118" s="3270" t="s">
        <v>303</v>
      </c>
      <c r="B118" s="3259" t="s">
        <v>2987</v>
      </c>
      <c r="C118" s="3260">
        <v>0.1</v>
      </c>
      <c r="D118" s="3260">
        <v>0.1</v>
      </c>
      <c r="E118" s="3271"/>
      <c r="F118" s="3271"/>
      <c r="G118" s="3261">
        <v>0.1</v>
      </c>
    </row>
    <row r="119" spans="1:7">
      <c r="A119" s="3270" t="s">
        <v>303</v>
      </c>
      <c r="B119" s="3259" t="s">
        <v>2991</v>
      </c>
      <c r="C119" s="3260">
        <v>5.0999999999999997E-2</v>
      </c>
      <c r="D119" s="3260">
        <v>5.1999999999999998E-2</v>
      </c>
      <c r="E119" s="3271"/>
      <c r="F119" s="3276"/>
      <c r="G119" s="3261">
        <v>0.06</v>
      </c>
    </row>
    <row r="120" spans="1:7">
      <c r="A120" s="3270" t="s">
        <v>303</v>
      </c>
      <c r="B120" s="3259" t="s">
        <v>2995</v>
      </c>
      <c r="C120" s="3271"/>
      <c r="D120" s="3271"/>
      <c r="E120" s="3271"/>
      <c r="F120" s="3260">
        <v>0.1</v>
      </c>
      <c r="G120" s="3277"/>
    </row>
    <row r="121" spans="1:7">
      <c r="A121" s="3270" t="s">
        <v>303</v>
      </c>
      <c r="B121" s="3259" t="s">
        <v>3000</v>
      </c>
      <c r="C121" s="3271"/>
      <c r="D121" s="3271"/>
      <c r="E121" s="3271"/>
      <c r="F121" s="3260">
        <v>0.1</v>
      </c>
      <c r="G121" s="3277"/>
    </row>
    <row r="122" spans="1:7">
      <c r="A122" s="3270" t="s">
        <v>303</v>
      </c>
      <c r="B122" s="3259" t="s">
        <v>3005</v>
      </c>
      <c r="C122" s="3260">
        <v>0.1</v>
      </c>
      <c r="D122" s="3260">
        <v>0.1</v>
      </c>
      <c r="E122" s="3260">
        <v>9.8000000000000004E-2</v>
      </c>
      <c r="F122" s="3260">
        <v>0.1</v>
      </c>
      <c r="G122" s="3261">
        <v>0.1</v>
      </c>
    </row>
    <row r="123" spans="1:7">
      <c r="A123" s="3270" t="s">
        <v>303</v>
      </c>
      <c r="B123" s="3259" t="s">
        <v>3010</v>
      </c>
      <c r="C123" s="3260">
        <v>0.1</v>
      </c>
      <c r="D123" s="3260">
        <v>0.1</v>
      </c>
      <c r="E123" s="3260">
        <v>9.8000000000000004E-2</v>
      </c>
      <c r="F123" s="3260">
        <v>0.1</v>
      </c>
      <c r="G123" s="3261">
        <v>0.1</v>
      </c>
    </row>
    <row r="124" spans="1:7">
      <c r="A124" s="3270" t="s">
        <v>303</v>
      </c>
      <c r="B124" s="3259" t="s">
        <v>3015</v>
      </c>
      <c r="C124" s="3260">
        <v>0.1</v>
      </c>
      <c r="D124" s="3260">
        <v>0.1</v>
      </c>
      <c r="E124" s="3260">
        <v>9.8000000000000004E-2</v>
      </c>
      <c r="F124" s="3276"/>
      <c r="G124" s="3261">
        <v>0.1</v>
      </c>
    </row>
    <row r="125" spans="1:7">
      <c r="A125" s="3270" t="s">
        <v>303</v>
      </c>
      <c r="B125" s="3259" t="s">
        <v>3020</v>
      </c>
      <c r="C125" s="3260">
        <v>9.8000000000000004E-2</v>
      </c>
      <c r="D125" s="3260">
        <v>9.8000000000000004E-2</v>
      </c>
      <c r="E125" s="3260">
        <v>9.6000000000000002E-2</v>
      </c>
      <c r="F125" s="3276"/>
      <c r="G125" s="3261">
        <v>0.1</v>
      </c>
    </row>
    <row r="126" spans="1:7" ht="14.25" thickBot="1">
      <c r="A126" s="3273" t="s">
        <v>303</v>
      </c>
      <c r="B126" s="3263" t="s">
        <v>3186</v>
      </c>
      <c r="C126" s="3264">
        <v>0.1</v>
      </c>
      <c r="D126" s="3264">
        <v>0.1</v>
      </c>
      <c r="E126" s="3264">
        <v>9.8000000000000004E-2</v>
      </c>
      <c r="F126" s="3264">
        <v>0.1</v>
      </c>
      <c r="G126" s="3266">
        <v>0.1</v>
      </c>
    </row>
    <row r="127" spans="1:7">
      <c r="A127" s="3269" t="s">
        <v>29</v>
      </c>
      <c r="B127" s="3255" t="s">
        <v>2863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2933</v>
      </c>
      <c r="C148" s="3260">
        <v>0.13</v>
      </c>
      <c r="D148" s="3260">
        <v>0.13</v>
      </c>
      <c r="E148" s="3260">
        <v>0.13</v>
      </c>
      <c r="F148" s="3271"/>
      <c r="G148" s="3261">
        <v>0.13</v>
      </c>
    </row>
    <row r="149" spans="1:7">
      <c r="A149" s="3270" t="s">
        <v>29</v>
      </c>
      <c r="B149" s="3259" t="s">
        <v>2937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2956</v>
      </c>
      <c r="C153" s="3260">
        <v>0.13</v>
      </c>
      <c r="D153" s="3260">
        <v>0.13</v>
      </c>
      <c r="E153" s="3260">
        <v>0.13</v>
      </c>
      <c r="F153" s="3260">
        <v>0.13</v>
      </c>
      <c r="G153" s="3261">
        <v>0.13</v>
      </c>
    </row>
    <row r="154" spans="1:7">
      <c r="A154" s="3270" t="s">
        <v>29</v>
      </c>
      <c r="B154" s="3259" t="s">
        <v>2963</v>
      </c>
      <c r="C154" s="3260">
        <v>0.121</v>
      </c>
      <c r="D154" s="3260">
        <v>0.121</v>
      </c>
      <c r="E154" s="3260">
        <v>0.105</v>
      </c>
      <c r="F154" s="3260">
        <v>0.121</v>
      </c>
      <c r="G154" s="3261">
        <v>0.123</v>
      </c>
    </row>
    <row r="155" spans="1:7">
      <c r="A155" s="3270" t="s">
        <v>29</v>
      </c>
      <c r="B155" s="3259" t="s">
        <v>2969</v>
      </c>
      <c r="C155" s="3260">
        <v>0.1</v>
      </c>
      <c r="D155" s="3260">
        <v>0.1</v>
      </c>
      <c r="E155" s="3260">
        <v>0.1</v>
      </c>
      <c r="F155" s="3260">
        <v>0.1</v>
      </c>
      <c r="G155" s="3261">
        <v>0.1</v>
      </c>
    </row>
    <row r="156" spans="1:7">
      <c r="A156" s="3270" t="s">
        <v>29</v>
      </c>
      <c r="B156" s="3259" t="s">
        <v>2976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2996</v>
      </c>
      <c r="C160" s="3260">
        <v>0.13</v>
      </c>
      <c r="D160" s="3260">
        <v>0.13</v>
      </c>
      <c r="E160" s="3260">
        <v>0.124</v>
      </c>
      <c r="F160" s="3260">
        <v>0.126</v>
      </c>
      <c r="G160" s="3261">
        <v>0.13</v>
      </c>
    </row>
    <row r="161" spans="1:7">
      <c r="A161" s="3270" t="s">
        <v>29</v>
      </c>
      <c r="B161" s="3259" t="s">
        <v>3001</v>
      </c>
      <c r="C161" s="3260">
        <v>0.13</v>
      </c>
      <c r="D161" s="3260">
        <v>0.13</v>
      </c>
      <c r="E161" s="3260">
        <v>0.124</v>
      </c>
      <c r="F161" s="3260">
        <v>0.127</v>
      </c>
      <c r="G161" s="3261">
        <v>0.13</v>
      </c>
    </row>
    <row r="162" spans="1:7">
      <c r="A162" s="3270" t="s">
        <v>29</v>
      </c>
      <c r="B162" s="3259" t="s">
        <v>3006</v>
      </c>
      <c r="C162" s="3260">
        <v>0.1</v>
      </c>
      <c r="D162" s="3260">
        <v>0.1</v>
      </c>
      <c r="E162" s="3260">
        <v>0.1</v>
      </c>
      <c r="F162" s="3260">
        <v>0.121</v>
      </c>
      <c r="G162" s="3261">
        <v>0.105</v>
      </c>
    </row>
    <row r="163" spans="1:7">
      <c r="A163" s="3270" t="s">
        <v>29</v>
      </c>
      <c r="B163" s="3259" t="s">
        <v>3011</v>
      </c>
      <c r="C163" s="3260">
        <v>0.1</v>
      </c>
      <c r="D163" s="3260">
        <v>0.1</v>
      </c>
      <c r="E163" s="3260">
        <v>0.1</v>
      </c>
      <c r="F163" s="3260">
        <v>0.1</v>
      </c>
      <c r="G163" s="3261">
        <v>0.1</v>
      </c>
    </row>
    <row r="164" spans="1:7">
      <c r="A164" s="3270" t="s">
        <v>29</v>
      </c>
      <c r="B164" s="3259" t="s">
        <v>3016</v>
      </c>
      <c r="C164" s="3276"/>
      <c r="D164" s="3276"/>
      <c r="E164" s="3276"/>
      <c r="F164" s="3260">
        <v>0.1</v>
      </c>
      <c r="G164" s="3272"/>
    </row>
    <row r="165" spans="1:7">
      <c r="A165" s="3270" t="s">
        <v>29</v>
      </c>
      <c r="B165" s="3259" t="s">
        <v>3187</v>
      </c>
      <c r="C165" s="3260">
        <v>0.126</v>
      </c>
      <c r="D165" s="3260">
        <v>0.126</v>
      </c>
      <c r="E165" s="3260">
        <v>0.11899999999999999</v>
      </c>
      <c r="F165" s="3260">
        <v>0.13</v>
      </c>
      <c r="G165" s="3261">
        <v>0.128</v>
      </c>
    </row>
    <row r="166" spans="1:7">
      <c r="A166" s="3270" t="s">
        <v>29</v>
      </c>
      <c r="B166" s="3259" t="s">
        <v>3026</v>
      </c>
      <c r="C166" s="3260">
        <v>0.129</v>
      </c>
      <c r="D166" s="3260">
        <v>0.129</v>
      </c>
      <c r="E166" s="3260">
        <v>0.123</v>
      </c>
      <c r="F166" s="3260">
        <v>0.128</v>
      </c>
      <c r="G166" s="3261">
        <v>0.13</v>
      </c>
    </row>
    <row r="167" spans="1:7">
      <c r="A167" s="3270" t="s">
        <v>29</v>
      </c>
      <c r="B167" s="3259" t="s">
        <v>3030</v>
      </c>
      <c r="C167" s="3260">
        <v>0.125</v>
      </c>
      <c r="D167" s="3260">
        <v>0.125</v>
      </c>
      <c r="E167" s="3260">
        <v>0.11700000000000001</v>
      </c>
      <c r="F167" s="3260">
        <v>0.13</v>
      </c>
      <c r="G167" s="3261">
        <v>0.126</v>
      </c>
    </row>
    <row r="168" spans="1:7">
      <c r="A168" s="3270" t="s">
        <v>29</v>
      </c>
      <c r="B168" s="3259" t="s">
        <v>3035</v>
      </c>
      <c r="C168" s="3260">
        <v>0.128</v>
      </c>
      <c r="D168" s="3260">
        <v>0.128</v>
      </c>
      <c r="E168" s="3260">
        <v>0.123</v>
      </c>
      <c r="F168" s="3271"/>
      <c r="G168" s="3261">
        <v>0.13</v>
      </c>
    </row>
    <row r="169" spans="1:7">
      <c r="A169" s="3270" t="s">
        <v>29</v>
      </c>
      <c r="B169" s="3259" t="s">
        <v>3188</v>
      </c>
      <c r="C169" s="3276"/>
      <c r="D169" s="3276"/>
      <c r="E169" s="3276"/>
      <c r="F169" s="3260">
        <v>0.05</v>
      </c>
      <c r="G169" s="3272"/>
    </row>
    <row r="170" spans="1:7">
      <c r="A170" s="3270" t="s">
        <v>29</v>
      </c>
      <c r="B170" s="3259" t="s">
        <v>3189</v>
      </c>
      <c r="C170" s="3276"/>
      <c r="D170" s="3276"/>
      <c r="E170" s="3276"/>
      <c r="F170" s="3260">
        <v>0.05</v>
      </c>
      <c r="G170" s="3272"/>
    </row>
    <row r="171" spans="1:7">
      <c r="A171" s="3270" t="s">
        <v>29</v>
      </c>
      <c r="B171" s="3259" t="s">
        <v>3190</v>
      </c>
      <c r="C171" s="3276"/>
      <c r="D171" s="3276"/>
      <c r="E171" s="3276"/>
      <c r="F171" s="3260">
        <v>0.05</v>
      </c>
      <c r="G171" s="3277"/>
    </row>
    <row r="172" spans="1:7">
      <c r="A172" s="3270" t="s">
        <v>29</v>
      </c>
      <c r="B172" s="3259" t="s">
        <v>3191</v>
      </c>
      <c r="C172" s="3276"/>
      <c r="D172" s="3276"/>
      <c r="E172" s="3276"/>
      <c r="F172" s="3260">
        <v>0.05</v>
      </c>
      <c r="G172" s="3277"/>
    </row>
    <row r="173" spans="1:7">
      <c r="A173" s="3270" t="s">
        <v>29</v>
      </c>
      <c r="B173" s="3259" t="s">
        <v>3192</v>
      </c>
      <c r="C173" s="3276"/>
      <c r="D173" s="3276"/>
      <c r="E173" s="3276"/>
      <c r="F173" s="3260">
        <v>0.05</v>
      </c>
      <c r="G173" s="3272"/>
    </row>
    <row r="174" spans="1:7">
      <c r="A174" s="3270" t="s">
        <v>29</v>
      </c>
      <c r="B174" s="3259" t="s">
        <v>3193</v>
      </c>
      <c r="C174" s="3276"/>
      <c r="D174" s="3276"/>
      <c r="E174" s="3276"/>
      <c r="F174" s="3260">
        <v>0.05</v>
      </c>
      <c r="G174" s="3272"/>
    </row>
    <row r="175" spans="1:7">
      <c r="A175" s="3270" t="s">
        <v>29</v>
      </c>
      <c r="B175" s="3259" t="s">
        <v>3194</v>
      </c>
      <c r="C175" s="3276"/>
      <c r="D175" s="3276"/>
      <c r="E175" s="3276"/>
      <c r="F175" s="3260">
        <v>0.05</v>
      </c>
      <c r="G175" s="3272"/>
    </row>
    <row r="176" spans="1:7">
      <c r="A176" s="3270" t="s">
        <v>29</v>
      </c>
      <c r="B176" s="3259" t="s">
        <v>3195</v>
      </c>
      <c r="C176" s="3276"/>
      <c r="D176" s="3276"/>
      <c r="E176" s="3276"/>
      <c r="F176" s="3260">
        <v>0.05</v>
      </c>
      <c r="G176" s="3272"/>
    </row>
    <row r="177" spans="1:7">
      <c r="A177" s="3270" t="s">
        <v>29</v>
      </c>
      <c r="B177" s="3259" t="s">
        <v>3196</v>
      </c>
      <c r="C177" s="3271"/>
      <c r="D177" s="3271"/>
      <c r="E177" s="3271"/>
      <c r="F177" s="3260">
        <v>0.05</v>
      </c>
      <c r="G177" s="3277"/>
    </row>
    <row r="178" spans="1:7">
      <c r="A178" s="3270" t="s">
        <v>29</v>
      </c>
      <c r="B178" s="3259" t="s">
        <v>3197</v>
      </c>
      <c r="C178" s="3271"/>
      <c r="D178" s="3271"/>
      <c r="E178" s="3271"/>
      <c r="F178" s="3260">
        <v>0.05</v>
      </c>
      <c r="G178" s="3277"/>
    </row>
    <row r="179" spans="1:7">
      <c r="A179" s="3270" t="s">
        <v>29</v>
      </c>
      <c r="B179" s="3259" t="s">
        <v>3198</v>
      </c>
      <c r="C179" s="3271"/>
      <c r="D179" s="3271"/>
      <c r="E179" s="3271"/>
      <c r="F179" s="3260">
        <v>0.05</v>
      </c>
      <c r="G179" s="3277"/>
    </row>
    <row r="180" spans="1:7">
      <c r="A180" s="3270" t="s">
        <v>29</v>
      </c>
      <c r="B180" s="3259" t="s">
        <v>3199</v>
      </c>
      <c r="C180" s="3271"/>
      <c r="D180" s="3271"/>
      <c r="E180" s="3271"/>
      <c r="F180" s="3260">
        <v>0.05</v>
      </c>
      <c r="G180" s="3277"/>
    </row>
    <row r="181" spans="1:7">
      <c r="A181" s="3270" t="s">
        <v>29</v>
      </c>
      <c r="B181" s="3259" t="s">
        <v>3200</v>
      </c>
      <c r="C181" s="3271"/>
      <c r="D181" s="3271"/>
      <c r="E181" s="3271"/>
      <c r="F181" s="3260">
        <v>0.05</v>
      </c>
      <c r="G181" s="3277"/>
    </row>
    <row r="182" spans="1:7">
      <c r="A182" s="3270" t="s">
        <v>29</v>
      </c>
      <c r="B182" s="3259" t="s">
        <v>3201</v>
      </c>
      <c r="C182" s="3271"/>
      <c r="D182" s="3271"/>
      <c r="E182" s="3271"/>
      <c r="F182" s="3260">
        <v>0.05</v>
      </c>
      <c r="G182" s="3277"/>
    </row>
    <row r="183" spans="1:7">
      <c r="A183" s="3270" t="s">
        <v>29</v>
      </c>
      <c r="B183" s="3259" t="s">
        <v>3202</v>
      </c>
      <c r="C183" s="3271"/>
      <c r="D183" s="3271"/>
      <c r="E183" s="3271"/>
      <c r="F183" s="3260">
        <v>0.05</v>
      </c>
      <c r="G183" s="3277"/>
    </row>
    <row r="184" spans="1:7">
      <c r="A184" s="3270" t="s">
        <v>29</v>
      </c>
      <c r="B184" s="3259" t="s">
        <v>3203</v>
      </c>
      <c r="C184" s="3271"/>
      <c r="D184" s="3271"/>
      <c r="E184" s="3271"/>
      <c r="F184" s="3260">
        <v>0.05</v>
      </c>
      <c r="G184" s="3277"/>
    </row>
    <row r="185" spans="1:7">
      <c r="A185" s="3270" t="s">
        <v>29</v>
      </c>
      <c r="B185" s="3259" t="s">
        <v>3204</v>
      </c>
      <c r="C185" s="3271"/>
      <c r="D185" s="3271"/>
      <c r="E185" s="3271"/>
      <c r="F185" s="3260">
        <v>0.05</v>
      </c>
      <c r="G185" s="3277"/>
    </row>
    <row r="186" spans="1:7">
      <c r="A186" s="3270" t="s">
        <v>29</v>
      </c>
      <c r="B186" s="3259" t="s">
        <v>3205</v>
      </c>
      <c r="C186" s="3271"/>
      <c r="D186" s="3271"/>
      <c r="E186" s="3271"/>
      <c r="F186" s="3260">
        <v>0.05</v>
      </c>
      <c r="G186" s="3277"/>
    </row>
    <row r="187" spans="1:7">
      <c r="A187" s="3270" t="s">
        <v>29</v>
      </c>
      <c r="B187" s="3259" t="s">
        <v>3206</v>
      </c>
      <c r="C187" s="3271"/>
      <c r="D187" s="3271"/>
      <c r="E187" s="3271"/>
      <c r="F187" s="3260">
        <v>0.05</v>
      </c>
      <c r="G187" s="3277"/>
    </row>
    <row r="188" spans="1:7">
      <c r="A188" s="3270" t="s">
        <v>29</v>
      </c>
      <c r="B188" s="3259" t="s">
        <v>3207</v>
      </c>
      <c r="C188" s="3271"/>
      <c r="D188" s="3271"/>
      <c r="E188" s="3271"/>
      <c r="F188" s="3260">
        <v>0.05</v>
      </c>
      <c r="G188" s="3277"/>
    </row>
    <row r="189" spans="1:7" ht="14.25" thickBot="1">
      <c r="A189" s="3273" t="s">
        <v>29</v>
      </c>
      <c r="B189" s="3263" t="s">
        <v>3208</v>
      </c>
      <c r="C189" s="3265"/>
      <c r="D189" s="3265"/>
      <c r="E189" s="3265"/>
      <c r="F189" s="3264">
        <v>0.05</v>
      </c>
      <c r="G189" s="3278"/>
    </row>
    <row r="190" spans="1:7">
      <c r="A190" s="3269" t="s">
        <v>304</v>
      </c>
      <c r="B190" s="3255" t="s">
        <v>2864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2900</v>
      </c>
      <c r="C199" s="3260">
        <v>0.13</v>
      </c>
      <c r="D199" s="3260">
        <v>0.13</v>
      </c>
      <c r="E199" s="3260">
        <v>0.13</v>
      </c>
      <c r="F199" s="3260">
        <v>0.13</v>
      </c>
      <c r="G199" s="3261">
        <v>0.13</v>
      </c>
    </row>
    <row r="200" spans="1:7">
      <c r="A200" s="3270" t="s">
        <v>304</v>
      </c>
      <c r="B200" s="3259" t="s">
        <v>2903</v>
      </c>
      <c r="C200" s="3276"/>
      <c r="D200" s="3276"/>
      <c r="E200" s="3276"/>
      <c r="F200" s="3260">
        <v>0.13</v>
      </c>
      <c r="G200" s="3272"/>
    </row>
    <row r="201" spans="1:7">
      <c r="A201" s="3270" t="s">
        <v>304</v>
      </c>
      <c r="B201" s="3259" t="s">
        <v>2908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2911</v>
      </c>
      <c r="C203" s="3260">
        <v>0.129</v>
      </c>
      <c r="D203" s="3260">
        <v>0.129</v>
      </c>
      <c r="E203" s="3260">
        <v>0.13</v>
      </c>
      <c r="F203" s="3260">
        <v>0.13</v>
      </c>
      <c r="G203" s="3261">
        <v>0.13</v>
      </c>
    </row>
    <row r="204" spans="1:7">
      <c r="A204" s="3270" t="s">
        <v>304</v>
      </c>
      <c r="B204" s="3259" t="s">
        <v>2914</v>
      </c>
      <c r="C204" s="3260">
        <v>0.129</v>
      </c>
      <c r="D204" s="3260">
        <v>0.129</v>
      </c>
      <c r="E204" s="3260">
        <v>0.123</v>
      </c>
      <c r="F204" s="3260">
        <v>0.13</v>
      </c>
      <c r="G204" s="3261">
        <v>0.13</v>
      </c>
    </row>
    <row r="205" spans="1:7">
      <c r="A205" s="3270" t="s">
        <v>304</v>
      </c>
      <c r="B205" s="3259" t="s">
        <v>2916</v>
      </c>
      <c r="C205" s="3260">
        <v>0.13</v>
      </c>
      <c r="D205" s="3260">
        <v>0.13</v>
      </c>
      <c r="E205" s="3260">
        <v>0.13</v>
      </c>
      <c r="F205" s="3260">
        <v>0.13</v>
      </c>
      <c r="G205" s="3261">
        <v>0.13</v>
      </c>
    </row>
    <row r="206" spans="1:7">
      <c r="A206" s="3270" t="s">
        <v>304</v>
      </c>
      <c r="B206" s="3259" t="s">
        <v>2919</v>
      </c>
      <c r="C206" s="3260">
        <v>0.13</v>
      </c>
      <c r="D206" s="3260">
        <v>0.13</v>
      </c>
      <c r="E206" s="3260">
        <v>0.13</v>
      </c>
      <c r="F206" s="3260">
        <v>0.128</v>
      </c>
      <c r="G206" s="3261">
        <v>0.13</v>
      </c>
    </row>
    <row r="207" spans="1:7">
      <c r="A207" s="3270" t="s">
        <v>304</v>
      </c>
      <c r="B207" s="3259" t="s">
        <v>2921</v>
      </c>
      <c r="C207" s="3260">
        <v>0.13</v>
      </c>
      <c r="D207" s="3260">
        <v>0.13</v>
      </c>
      <c r="E207" s="3260">
        <v>0.13</v>
      </c>
      <c r="F207" s="3260">
        <v>0.13</v>
      </c>
      <c r="G207" s="3261">
        <v>0.13</v>
      </c>
    </row>
    <row r="208" spans="1:7">
      <c r="A208" s="3270" t="s">
        <v>304</v>
      </c>
      <c r="B208" s="3259" t="s">
        <v>2924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2931</v>
      </c>
      <c r="C210" s="3260">
        <v>0.121</v>
      </c>
      <c r="D210" s="3260">
        <v>0.121</v>
      </c>
      <c r="E210" s="3260">
        <v>0.125</v>
      </c>
      <c r="F210" s="3260">
        <v>0.13</v>
      </c>
      <c r="G210" s="3261">
        <v>0.123</v>
      </c>
    </row>
    <row r="211" spans="1:7">
      <c r="A211" s="3270" t="s">
        <v>304</v>
      </c>
      <c r="B211" s="3259" t="s">
        <v>2934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2946</v>
      </c>
      <c r="C214" s="3260">
        <v>0.128</v>
      </c>
      <c r="D214" s="3260">
        <v>0.128</v>
      </c>
      <c r="E214" s="3260">
        <v>0.13</v>
      </c>
      <c r="F214" s="3260">
        <v>0.13</v>
      </c>
      <c r="G214" s="3261">
        <v>0.13</v>
      </c>
    </row>
    <row r="215" spans="1:7">
      <c r="A215" s="3270" t="s">
        <v>304</v>
      </c>
      <c r="B215" s="3259" t="s">
        <v>2950</v>
      </c>
      <c r="C215" s="3260">
        <v>0.13</v>
      </c>
      <c r="D215" s="3260">
        <v>0.13</v>
      </c>
      <c r="E215" s="3260">
        <v>0.13</v>
      </c>
      <c r="F215" s="3260">
        <v>0.129</v>
      </c>
      <c r="G215" s="3261">
        <v>0.13</v>
      </c>
    </row>
    <row r="216" spans="1:7">
      <c r="A216" s="3270" t="s">
        <v>304</v>
      </c>
      <c r="B216" s="3259" t="s">
        <v>2957</v>
      </c>
      <c r="C216" s="3260">
        <v>0.13</v>
      </c>
      <c r="D216" s="3260">
        <v>0.13</v>
      </c>
      <c r="E216" s="3260">
        <v>0.13</v>
      </c>
      <c r="F216" s="3260">
        <v>0.13</v>
      </c>
      <c r="G216" s="3261">
        <v>0.13</v>
      </c>
    </row>
    <row r="217" spans="1:7">
      <c r="A217" s="3270" t="s">
        <v>304</v>
      </c>
      <c r="B217" s="3259" t="s">
        <v>2964</v>
      </c>
      <c r="C217" s="3260">
        <v>0.129</v>
      </c>
      <c r="D217" s="3260">
        <v>0.129</v>
      </c>
      <c r="E217" s="3260">
        <v>0.13</v>
      </c>
      <c r="F217" s="3260">
        <v>0.13</v>
      </c>
      <c r="G217" s="3261">
        <v>0.13</v>
      </c>
    </row>
    <row r="218" spans="1:7">
      <c r="A218" s="3270" t="s">
        <v>304</v>
      </c>
      <c r="B218" s="3259" t="s">
        <v>2970</v>
      </c>
      <c r="C218" s="3271"/>
      <c r="D218" s="3271"/>
      <c r="E218" s="3271"/>
      <c r="F218" s="3260">
        <v>0.05</v>
      </c>
      <c r="G218" s="3277"/>
    </row>
    <row r="219" spans="1:7">
      <c r="A219" s="3270" t="s">
        <v>304</v>
      </c>
      <c r="B219" s="3259" t="s">
        <v>2977</v>
      </c>
      <c r="C219" s="3271"/>
      <c r="D219" s="3271"/>
      <c r="E219" s="3271"/>
      <c r="F219" s="3260">
        <v>0.05</v>
      </c>
      <c r="G219" s="3277"/>
    </row>
    <row r="220" spans="1:7">
      <c r="A220" s="3270" t="s">
        <v>304</v>
      </c>
      <c r="B220" s="3259" t="s">
        <v>2983</v>
      </c>
      <c r="C220" s="3271"/>
      <c r="D220" s="3271"/>
      <c r="E220" s="3271"/>
      <c r="F220" s="3260">
        <v>0.05</v>
      </c>
      <c r="G220" s="3277"/>
    </row>
    <row r="221" spans="1:7">
      <c r="A221" s="3270" t="s">
        <v>304</v>
      </c>
      <c r="B221" s="3259" t="s">
        <v>2988</v>
      </c>
      <c r="C221" s="3271"/>
      <c r="D221" s="3271"/>
      <c r="E221" s="3271"/>
      <c r="F221" s="3260">
        <v>0.05</v>
      </c>
      <c r="G221" s="3277"/>
    </row>
    <row r="222" spans="1:7">
      <c r="A222" s="3270" t="s">
        <v>304</v>
      </c>
      <c r="B222" s="3259" t="s">
        <v>2992</v>
      </c>
      <c r="C222" s="3271"/>
      <c r="D222" s="3271"/>
      <c r="E222" s="3271"/>
      <c r="F222" s="3260">
        <v>0.05</v>
      </c>
      <c r="G222" s="3277"/>
    </row>
    <row r="223" spans="1:7">
      <c r="A223" s="3270" t="s">
        <v>304</v>
      </c>
      <c r="B223" s="3259" t="s">
        <v>2997</v>
      </c>
      <c r="C223" s="3271"/>
      <c r="D223" s="3271"/>
      <c r="E223" s="3271"/>
      <c r="F223" s="3260">
        <v>0.05</v>
      </c>
      <c r="G223" s="3277"/>
    </row>
    <row r="224" spans="1:7">
      <c r="A224" s="3270" t="s">
        <v>304</v>
      </c>
      <c r="B224" s="3259" t="s">
        <v>3002</v>
      </c>
      <c r="C224" s="3271"/>
      <c r="D224" s="3271"/>
      <c r="E224" s="3271"/>
      <c r="F224" s="3260">
        <v>0.05</v>
      </c>
      <c r="G224" s="3277"/>
    </row>
    <row r="225" spans="1:7">
      <c r="A225" s="3270" t="s">
        <v>304</v>
      </c>
      <c r="B225" s="3259" t="s">
        <v>3007</v>
      </c>
      <c r="C225" s="3271"/>
      <c r="D225" s="3271"/>
      <c r="E225" s="3271"/>
      <c r="F225" s="3260">
        <v>0.05</v>
      </c>
      <c r="G225" s="3277"/>
    </row>
    <row r="226" spans="1:7">
      <c r="A226" s="3270" t="s">
        <v>304</v>
      </c>
      <c r="B226" s="3259" t="s">
        <v>3209</v>
      </c>
      <c r="C226" s="3271"/>
      <c r="D226" s="3271"/>
      <c r="E226" s="3271"/>
      <c r="F226" s="3260">
        <v>0.05</v>
      </c>
      <c r="G226" s="3277"/>
    </row>
    <row r="227" spans="1:7">
      <c r="A227" s="3270" t="s">
        <v>304</v>
      </c>
      <c r="B227" s="3259" t="s">
        <v>3210</v>
      </c>
      <c r="C227" s="3271"/>
      <c r="D227" s="3271"/>
      <c r="E227" s="3271"/>
      <c r="F227" s="3260">
        <v>0.05</v>
      </c>
      <c r="G227" s="3277"/>
    </row>
    <row r="228" spans="1:7">
      <c r="A228" s="3270" t="s">
        <v>304</v>
      </c>
      <c r="B228" s="3259" t="s">
        <v>3211</v>
      </c>
      <c r="C228" s="3271"/>
      <c r="D228" s="3271"/>
      <c r="E228" s="3271"/>
      <c r="F228" s="3260">
        <v>0.05</v>
      </c>
      <c r="G228" s="3277"/>
    </row>
    <row r="229" spans="1:7">
      <c r="A229" s="3270" t="s">
        <v>304</v>
      </c>
      <c r="B229" s="3259" t="s">
        <v>3212</v>
      </c>
      <c r="C229" s="3271"/>
      <c r="D229" s="3271"/>
      <c r="E229" s="3271"/>
      <c r="F229" s="3260">
        <v>0.05</v>
      </c>
      <c r="G229" s="3277"/>
    </row>
    <row r="230" spans="1:7">
      <c r="A230" s="3270" t="s">
        <v>304</v>
      </c>
      <c r="B230" s="3259" t="s">
        <v>3213</v>
      </c>
      <c r="C230" s="3271"/>
      <c r="D230" s="3271"/>
      <c r="E230" s="3271"/>
      <c r="F230" s="3260">
        <v>0.05</v>
      </c>
      <c r="G230" s="3277"/>
    </row>
    <row r="231" spans="1:7">
      <c r="A231" s="3270" t="s">
        <v>304</v>
      </c>
      <c r="B231" s="3259" t="s">
        <v>3214</v>
      </c>
      <c r="C231" s="3271"/>
      <c r="D231" s="3271"/>
      <c r="E231" s="3271"/>
      <c r="F231" s="3260">
        <v>0.05</v>
      </c>
      <c r="G231" s="3277"/>
    </row>
    <row r="232" spans="1:7">
      <c r="A232" s="3270" t="s">
        <v>304</v>
      </c>
      <c r="B232" s="3259" t="s">
        <v>3215</v>
      </c>
      <c r="C232" s="3271"/>
      <c r="D232" s="3271"/>
      <c r="E232" s="3271"/>
      <c r="F232" s="3260">
        <v>0.05</v>
      </c>
      <c r="G232" s="3277"/>
    </row>
    <row r="233" spans="1:7" ht="14.25" thickBot="1">
      <c r="A233" s="3273" t="s">
        <v>304</v>
      </c>
      <c r="B233" s="3263" t="s">
        <v>3216</v>
      </c>
      <c r="C233" s="3265"/>
      <c r="D233" s="3265"/>
      <c r="E233" s="3265"/>
      <c r="F233" s="3264">
        <v>0.05</v>
      </c>
      <c r="G233" s="3278"/>
    </row>
    <row r="234" spans="1:7">
      <c r="A234" s="3269" t="s">
        <v>305</v>
      </c>
      <c r="B234" s="3255" t="s">
        <v>2865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2885</v>
      </c>
      <c r="C238" s="3260">
        <v>0.14899999999999999</v>
      </c>
      <c r="D238" s="3260">
        <v>0.14899999999999999</v>
      </c>
      <c r="E238" s="3260">
        <v>0.15</v>
      </c>
      <c r="F238" s="3260">
        <v>0.15</v>
      </c>
      <c r="G238" s="3261">
        <v>0.15</v>
      </c>
    </row>
    <row r="239" spans="1:7">
      <c r="A239" s="3270" t="s">
        <v>305</v>
      </c>
      <c r="B239" s="3259" t="s">
        <v>2889</v>
      </c>
      <c r="C239" s="3260">
        <v>0.15</v>
      </c>
      <c r="D239" s="3260">
        <v>0.15</v>
      </c>
      <c r="E239" s="3260">
        <v>0.15</v>
      </c>
      <c r="F239" s="3260">
        <v>0.15</v>
      </c>
      <c r="G239" s="3261">
        <v>0.15</v>
      </c>
    </row>
    <row r="240" spans="1:7">
      <c r="A240" s="3270" t="s">
        <v>305</v>
      </c>
      <c r="B240" s="3259" t="s">
        <v>2894</v>
      </c>
      <c r="C240" s="3260">
        <v>0.15</v>
      </c>
      <c r="D240" s="3260">
        <v>0.15</v>
      </c>
      <c r="E240" s="3260">
        <v>0.15</v>
      </c>
      <c r="F240" s="3260">
        <v>0.15</v>
      </c>
      <c r="G240" s="3261">
        <v>0.15</v>
      </c>
    </row>
    <row r="241" spans="1:7">
      <c r="A241" s="3270" t="s">
        <v>305</v>
      </c>
      <c r="B241" s="3259" t="s">
        <v>2898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2947</v>
      </c>
      <c r="C258" s="3260">
        <v>0.14299999999999999</v>
      </c>
      <c r="D258" s="3260">
        <v>0.14299999999999999</v>
      </c>
      <c r="E258" s="3260">
        <v>0.15</v>
      </c>
      <c r="F258" s="3260">
        <v>0.14799999999999999</v>
      </c>
      <c r="G258" s="3261">
        <v>0.14599999999999999</v>
      </c>
    </row>
    <row r="259" spans="1:7">
      <c r="A259" s="3270" t="s">
        <v>305</v>
      </c>
      <c r="B259" s="3259" t="s">
        <v>2951</v>
      </c>
      <c r="C259" s="3260">
        <v>0.14399999999999999</v>
      </c>
      <c r="D259" s="3260">
        <v>0.14399999999999999</v>
      </c>
      <c r="E259" s="3260">
        <v>0.14899999999999999</v>
      </c>
      <c r="F259" s="3260">
        <v>0.14699999999999999</v>
      </c>
      <c r="G259" s="3261">
        <v>0.14599999999999999</v>
      </c>
    </row>
    <row r="260" spans="1:7">
      <c r="A260" s="3270" t="s">
        <v>305</v>
      </c>
      <c r="B260" s="3259" t="s">
        <v>2958</v>
      </c>
      <c r="C260" s="3260">
        <v>0.109</v>
      </c>
      <c r="D260" s="3260">
        <v>0.111</v>
      </c>
      <c r="E260" s="3260">
        <v>0.13100000000000001</v>
      </c>
      <c r="F260" s="3260">
        <v>0.126</v>
      </c>
      <c r="G260" s="3261">
        <v>0.11899999999999999</v>
      </c>
    </row>
    <row r="261" spans="1:7">
      <c r="A261" s="3270" t="s">
        <v>305</v>
      </c>
      <c r="B261" s="3259" t="s">
        <v>2965</v>
      </c>
      <c r="C261" s="3260">
        <v>0.1</v>
      </c>
      <c r="D261" s="3260">
        <v>0.1</v>
      </c>
      <c r="E261" s="3260">
        <v>0.11799999999999999</v>
      </c>
      <c r="F261" s="3260">
        <v>0.108</v>
      </c>
      <c r="G261" s="3261">
        <v>0.107</v>
      </c>
    </row>
    <row r="262" spans="1:7">
      <c r="A262" s="3270" t="s">
        <v>305</v>
      </c>
      <c r="B262" s="3259" t="s">
        <v>2971</v>
      </c>
      <c r="C262" s="3260">
        <v>0.1</v>
      </c>
      <c r="D262" s="3260">
        <v>0.1</v>
      </c>
      <c r="E262" s="3260">
        <v>0.1</v>
      </c>
      <c r="F262" s="3260">
        <v>0.14099999999999999</v>
      </c>
      <c r="G262" s="3261">
        <v>0.1</v>
      </c>
    </row>
    <row r="263" spans="1:7">
      <c r="A263" s="3270" t="s">
        <v>305</v>
      </c>
      <c r="B263" s="3259" t="s">
        <v>2978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2989</v>
      </c>
      <c r="C265" s="3271"/>
      <c r="D265" s="3271"/>
      <c r="E265" s="3271"/>
      <c r="F265" s="3260">
        <v>0.05</v>
      </c>
      <c r="G265" s="3277"/>
    </row>
    <row r="266" spans="1:7">
      <c r="A266" s="3270" t="s">
        <v>305</v>
      </c>
      <c r="B266" s="3259" t="s">
        <v>2993</v>
      </c>
      <c r="C266" s="3271"/>
      <c r="D266" s="3271"/>
      <c r="E266" s="3271"/>
      <c r="F266" s="3260">
        <v>0.05</v>
      </c>
      <c r="G266" s="3277"/>
    </row>
    <row r="267" spans="1:7">
      <c r="A267" s="3270" t="s">
        <v>305</v>
      </c>
      <c r="B267" s="3259" t="s">
        <v>2998</v>
      </c>
      <c r="C267" s="3271"/>
      <c r="D267" s="3271"/>
      <c r="E267" s="3271"/>
      <c r="F267" s="3260">
        <v>0.05</v>
      </c>
      <c r="G267" s="3277"/>
    </row>
    <row r="268" spans="1:7">
      <c r="A268" s="3270" t="s">
        <v>305</v>
      </c>
      <c r="B268" s="3259" t="s">
        <v>3003</v>
      </c>
      <c r="C268" s="3271"/>
      <c r="D268" s="3271"/>
      <c r="E268" s="3271"/>
      <c r="F268" s="3260">
        <v>0.05</v>
      </c>
      <c r="G268" s="3277"/>
    </row>
    <row r="269" spans="1:7">
      <c r="A269" s="3270" t="s">
        <v>305</v>
      </c>
      <c r="B269" s="3259" t="s">
        <v>3008</v>
      </c>
      <c r="C269" s="3271"/>
      <c r="D269" s="3271"/>
      <c r="E269" s="3271"/>
      <c r="F269" s="3260">
        <v>0.05</v>
      </c>
      <c r="G269" s="3277"/>
    </row>
    <row r="270" spans="1:7">
      <c r="A270" s="3270" t="s">
        <v>305</v>
      </c>
      <c r="B270" s="3259" t="s">
        <v>3013</v>
      </c>
      <c r="C270" s="3271"/>
      <c r="D270" s="3271"/>
      <c r="E270" s="3271"/>
      <c r="F270" s="3260">
        <v>0.05</v>
      </c>
      <c r="G270" s="3277"/>
    </row>
    <row r="271" spans="1:7">
      <c r="A271" s="3270" t="s">
        <v>305</v>
      </c>
      <c r="B271" s="3259" t="s">
        <v>3217</v>
      </c>
      <c r="C271" s="3271"/>
      <c r="D271" s="3271"/>
      <c r="E271" s="3271"/>
      <c r="F271" s="3260">
        <v>0.05</v>
      </c>
      <c r="G271" s="3277"/>
    </row>
    <row r="272" spans="1:7">
      <c r="A272" s="3270" t="s">
        <v>305</v>
      </c>
      <c r="B272" s="3259" t="s">
        <v>3218</v>
      </c>
      <c r="C272" s="3271"/>
      <c r="D272" s="3271"/>
      <c r="E272" s="3271"/>
      <c r="F272" s="3260">
        <v>0.05</v>
      </c>
      <c r="G272" s="3277"/>
    </row>
    <row r="273" spans="1:7">
      <c r="A273" s="3270" t="s">
        <v>305</v>
      </c>
      <c r="B273" s="3259" t="s">
        <v>3219</v>
      </c>
      <c r="C273" s="3271"/>
      <c r="D273" s="3271"/>
      <c r="E273" s="3271"/>
      <c r="F273" s="3260">
        <v>0.05</v>
      </c>
      <c r="G273" s="3277"/>
    </row>
    <row r="274" spans="1:7">
      <c r="A274" s="3270" t="s">
        <v>305</v>
      </c>
      <c r="B274" s="3259" t="s">
        <v>3220</v>
      </c>
      <c r="C274" s="3271"/>
      <c r="D274" s="3271"/>
      <c r="E274" s="3271"/>
      <c r="F274" s="3260">
        <v>0.05</v>
      </c>
      <c r="G274" s="3277"/>
    </row>
    <row r="275" spans="1:7">
      <c r="A275" s="3270" t="s">
        <v>305</v>
      </c>
      <c r="B275" s="3259" t="s">
        <v>3221</v>
      </c>
      <c r="C275" s="3271"/>
      <c r="D275" s="3271"/>
      <c r="E275" s="3271"/>
      <c r="F275" s="3260">
        <v>0.05</v>
      </c>
      <c r="G275" s="3277"/>
    </row>
    <row r="276" spans="1:7" ht="14.25" thickBot="1">
      <c r="A276" s="3273" t="s">
        <v>305</v>
      </c>
      <c r="B276" s="3263" t="s">
        <v>3222</v>
      </c>
      <c r="C276" s="3265"/>
      <c r="D276" s="3265"/>
      <c r="E276" s="3265"/>
      <c r="F276" s="3264">
        <v>0.05</v>
      </c>
      <c r="G276" s="3278"/>
    </row>
    <row r="277" spans="1:7">
      <c r="A277" s="3269" t="s">
        <v>306</v>
      </c>
      <c r="B277" s="3255" t="s">
        <v>2866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2878</v>
      </c>
      <c r="C279" s="3260">
        <v>0.15</v>
      </c>
      <c r="D279" s="3260">
        <v>0.15</v>
      </c>
      <c r="E279" s="3260">
        <v>0.15</v>
      </c>
      <c r="F279" s="3260">
        <v>0.15</v>
      </c>
      <c r="G279" s="3261">
        <v>0.15</v>
      </c>
    </row>
    <row r="280" spans="1:7">
      <c r="A280" s="3270" t="s">
        <v>306</v>
      </c>
      <c r="B280" s="3259" t="s">
        <v>2882</v>
      </c>
      <c r="C280" s="3260">
        <v>0.15</v>
      </c>
      <c r="D280" s="3260">
        <v>0.15</v>
      </c>
      <c r="E280" s="3260">
        <v>0.15</v>
      </c>
      <c r="F280" s="3260">
        <v>0.15</v>
      </c>
      <c r="G280" s="3261">
        <v>0.15</v>
      </c>
    </row>
    <row r="281" spans="1:7">
      <c r="A281" s="3270" t="s">
        <v>306</v>
      </c>
      <c r="B281" s="3259" t="s">
        <v>2886</v>
      </c>
      <c r="C281" s="3260">
        <v>0.15</v>
      </c>
      <c r="D281" s="3260">
        <v>0.15</v>
      </c>
      <c r="E281" s="3260">
        <v>0.15</v>
      </c>
      <c r="F281" s="3260">
        <v>0.15</v>
      </c>
      <c r="G281" s="3261">
        <v>0.15</v>
      </c>
    </row>
    <row r="282" spans="1:7">
      <c r="A282" s="3270" t="s">
        <v>306</v>
      </c>
      <c r="B282" s="3259" t="s">
        <v>2890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2920</v>
      </c>
      <c r="C293" s="3260">
        <v>0.15</v>
      </c>
      <c r="D293" s="3260">
        <v>0.15</v>
      </c>
      <c r="E293" s="3260">
        <v>0.15</v>
      </c>
      <c r="F293" s="3260">
        <v>0.14499999999999999</v>
      </c>
      <c r="G293" s="3261">
        <v>0.15</v>
      </c>
    </row>
    <row r="294" spans="1:7">
      <c r="A294" s="3270" t="s">
        <v>306</v>
      </c>
      <c r="B294" s="3259" t="s">
        <v>2922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2952</v>
      </c>
      <c r="C302" s="3260">
        <v>0.15</v>
      </c>
      <c r="D302" s="3260">
        <v>0.15</v>
      </c>
      <c r="E302" s="3260">
        <v>0.15</v>
      </c>
      <c r="F302" s="3260">
        <v>0.14699999999999999</v>
      </c>
      <c r="G302" s="3261">
        <v>0.15</v>
      </c>
    </row>
    <row r="303" spans="1:7">
      <c r="A303" s="3270" t="s">
        <v>306</v>
      </c>
      <c r="B303" s="3259" t="s">
        <v>2959</v>
      </c>
      <c r="C303" s="3260">
        <v>0.15</v>
      </c>
      <c r="D303" s="3260">
        <v>0.15</v>
      </c>
      <c r="E303" s="3260">
        <v>0.15</v>
      </c>
      <c r="F303" s="3260">
        <v>0.14199999999999999</v>
      </c>
      <c r="G303" s="3261">
        <v>0.15</v>
      </c>
    </row>
    <row r="304" spans="1:7">
      <c r="A304" s="3270" t="s">
        <v>306</v>
      </c>
      <c r="B304" s="3259" t="s">
        <v>2966</v>
      </c>
      <c r="C304" s="3260">
        <v>0.15</v>
      </c>
      <c r="D304" s="3260">
        <v>0.15</v>
      </c>
      <c r="E304" s="3260">
        <v>0.15</v>
      </c>
      <c r="F304" s="3260">
        <v>0.14499999999999999</v>
      </c>
      <c r="G304" s="3261">
        <v>0.15</v>
      </c>
    </row>
    <row r="305" spans="1:7">
      <c r="A305" s="3270" t="s">
        <v>306</v>
      </c>
      <c r="B305" s="3259" t="s">
        <v>2972</v>
      </c>
      <c r="C305" s="3260">
        <v>0.15</v>
      </c>
      <c r="D305" s="3260">
        <v>0.15</v>
      </c>
      <c r="E305" s="3260">
        <v>0.15</v>
      </c>
      <c r="F305" s="3260">
        <v>0.111</v>
      </c>
      <c r="G305" s="3261">
        <v>0.15</v>
      </c>
    </row>
    <row r="306" spans="1:7">
      <c r="A306" s="3270" t="s">
        <v>306</v>
      </c>
      <c r="B306" s="3259" t="s">
        <v>2979</v>
      </c>
      <c r="C306" s="3260">
        <v>0.15</v>
      </c>
      <c r="D306" s="3260">
        <v>0.15</v>
      </c>
      <c r="E306" s="3260">
        <v>0.15</v>
      </c>
      <c r="F306" s="3260">
        <v>0.126</v>
      </c>
      <c r="G306" s="3261">
        <v>0.15</v>
      </c>
    </row>
    <row r="307" spans="1:7">
      <c r="A307" s="3270" t="s">
        <v>306</v>
      </c>
      <c r="B307" s="3259" t="s">
        <v>2984</v>
      </c>
      <c r="C307" s="3260">
        <v>0.15</v>
      </c>
      <c r="D307" s="3260">
        <v>0.15</v>
      </c>
      <c r="E307" s="3260">
        <v>0.15</v>
      </c>
      <c r="F307" s="3260">
        <v>0.12</v>
      </c>
      <c r="G307" s="3261">
        <v>0.15</v>
      </c>
    </row>
    <row r="308" spans="1:7">
      <c r="A308" s="3270" t="s">
        <v>306</v>
      </c>
      <c r="B308" s="3259" t="s">
        <v>2990</v>
      </c>
      <c r="C308" s="3260">
        <v>0.15</v>
      </c>
      <c r="D308" s="3260">
        <v>0.15</v>
      </c>
      <c r="E308" s="3260">
        <v>0.15</v>
      </c>
      <c r="F308" s="3260">
        <v>0.13</v>
      </c>
      <c r="G308" s="3261">
        <v>0.15</v>
      </c>
    </row>
    <row r="309" spans="1:7">
      <c r="A309" s="3270" t="s">
        <v>306</v>
      </c>
      <c r="B309" s="3259" t="s">
        <v>2994</v>
      </c>
      <c r="C309" s="3260">
        <v>0.15</v>
      </c>
      <c r="D309" s="3260">
        <v>0.15</v>
      </c>
      <c r="E309" s="3260">
        <v>0.15</v>
      </c>
      <c r="F309" s="3260">
        <v>0.14099999999999999</v>
      </c>
      <c r="G309" s="3261">
        <v>0.15</v>
      </c>
    </row>
    <row r="310" spans="1:7">
      <c r="A310" s="3270" t="s">
        <v>306</v>
      </c>
      <c r="B310" s="3259" t="s">
        <v>2999</v>
      </c>
      <c r="C310" s="3260">
        <v>0.15</v>
      </c>
      <c r="D310" s="3260">
        <v>0.15</v>
      </c>
      <c r="E310" s="3260">
        <v>0.15</v>
      </c>
      <c r="F310" s="3260">
        <v>0.15</v>
      </c>
      <c r="G310" s="3261">
        <v>0.15</v>
      </c>
    </row>
    <row r="311" spans="1:7">
      <c r="A311" s="3270" t="s">
        <v>306</v>
      </c>
      <c r="B311" s="3259" t="s">
        <v>3004</v>
      </c>
      <c r="C311" s="3260">
        <v>0.13200000000000001</v>
      </c>
      <c r="D311" s="3260">
        <v>0.13300000000000001</v>
      </c>
      <c r="E311" s="3260">
        <v>0.14499999999999999</v>
      </c>
      <c r="F311" s="3260">
        <v>0.14199999999999999</v>
      </c>
      <c r="G311" s="3261">
        <v>0.14000000000000001</v>
      </c>
    </row>
    <row r="312" spans="1:7">
      <c r="A312" s="3270" t="s">
        <v>306</v>
      </c>
      <c r="B312" s="3259" t="s">
        <v>3009</v>
      </c>
      <c r="C312" s="3260">
        <v>0.13800000000000001</v>
      </c>
      <c r="D312" s="3260">
        <v>0.14000000000000001</v>
      </c>
      <c r="E312" s="3260">
        <v>0.14599999999999999</v>
      </c>
      <c r="F312" s="3260">
        <v>0.14899999999999999</v>
      </c>
      <c r="G312" s="3261">
        <v>0.14199999999999999</v>
      </c>
    </row>
    <row r="313" spans="1:7">
      <c r="A313" s="3270" t="s">
        <v>306</v>
      </c>
      <c r="B313" s="3259" t="s">
        <v>3014</v>
      </c>
      <c r="C313" s="3260">
        <v>0.125</v>
      </c>
      <c r="D313" s="3260">
        <v>0.127</v>
      </c>
      <c r="E313" s="3260">
        <v>0.14399999999999999</v>
      </c>
      <c r="F313" s="3260">
        <v>0.115</v>
      </c>
      <c r="G313" s="3261">
        <v>0.13600000000000001</v>
      </c>
    </row>
    <row r="314" spans="1:7">
      <c r="A314" s="3270" t="s">
        <v>306</v>
      </c>
      <c r="B314" s="3259" t="s">
        <v>3223</v>
      </c>
      <c r="C314" s="3276"/>
      <c r="D314" s="3276"/>
      <c r="E314" s="3276"/>
      <c r="F314" s="3260">
        <v>0.05</v>
      </c>
      <c r="G314" s="3277"/>
    </row>
    <row r="315" spans="1:7">
      <c r="A315" s="3270" t="s">
        <v>306</v>
      </c>
      <c r="B315" s="3259" t="s">
        <v>3224</v>
      </c>
      <c r="C315" s="3276"/>
      <c r="D315" s="3276"/>
      <c r="E315" s="3276"/>
      <c r="F315" s="3260">
        <v>0.05</v>
      </c>
      <c r="G315" s="3277"/>
    </row>
    <row r="316" spans="1:7">
      <c r="A316" s="3270" t="s">
        <v>306</v>
      </c>
      <c r="B316" s="3259" t="s">
        <v>3225</v>
      </c>
      <c r="C316" s="3271"/>
      <c r="D316" s="3271"/>
      <c r="E316" s="3271"/>
      <c r="F316" s="3260">
        <v>0.05</v>
      </c>
      <c r="G316" s="3277"/>
    </row>
    <row r="317" spans="1:7">
      <c r="A317" s="3270" t="s">
        <v>306</v>
      </c>
      <c r="B317" s="3259" t="s">
        <v>3226</v>
      </c>
      <c r="C317" s="3271"/>
      <c r="D317" s="3271"/>
      <c r="E317" s="3271"/>
      <c r="F317" s="3260">
        <v>0.05</v>
      </c>
      <c r="G317" s="3277"/>
    </row>
    <row r="318" spans="1:7">
      <c r="A318" s="3270" t="s">
        <v>306</v>
      </c>
      <c r="B318" s="3259" t="s">
        <v>3227</v>
      </c>
      <c r="C318" s="3271"/>
      <c r="D318" s="3271"/>
      <c r="E318" s="3271"/>
      <c r="F318" s="3260">
        <v>0.05</v>
      </c>
      <c r="G318" s="3277"/>
    </row>
    <row r="319" spans="1:7">
      <c r="A319" s="3270" t="s">
        <v>306</v>
      </c>
      <c r="B319" s="3259" t="s">
        <v>3228</v>
      </c>
      <c r="C319" s="3271"/>
      <c r="D319" s="3271"/>
      <c r="E319" s="3271"/>
      <c r="F319" s="3260">
        <v>0.05</v>
      </c>
      <c r="G319" s="3277"/>
    </row>
    <row r="320" spans="1:7">
      <c r="A320" s="3270" t="s">
        <v>306</v>
      </c>
      <c r="B320" s="3259" t="s">
        <v>3229</v>
      </c>
      <c r="C320" s="3271"/>
      <c r="D320" s="3271"/>
      <c r="E320" s="3271"/>
      <c r="F320" s="3260">
        <v>0.05</v>
      </c>
      <c r="G320" s="3277"/>
    </row>
    <row r="321" spans="1:7">
      <c r="A321" s="3270" t="s">
        <v>306</v>
      </c>
      <c r="B321" s="3259" t="s">
        <v>3230</v>
      </c>
      <c r="C321" s="3271"/>
      <c r="D321" s="3271"/>
      <c r="E321" s="3271"/>
      <c r="F321" s="3260">
        <v>0.05</v>
      </c>
      <c r="G321" s="3277"/>
    </row>
    <row r="322" spans="1:7">
      <c r="A322" s="3270" t="s">
        <v>306</v>
      </c>
      <c r="B322" s="3259" t="s">
        <v>3231</v>
      </c>
      <c r="C322" s="3271"/>
      <c r="D322" s="3271"/>
      <c r="E322" s="3271"/>
      <c r="F322" s="3260">
        <v>0.05</v>
      </c>
      <c r="G322" s="3277"/>
    </row>
    <row r="323" spans="1:7">
      <c r="A323" s="3270" t="s">
        <v>306</v>
      </c>
      <c r="B323" s="3259" t="s">
        <v>3232</v>
      </c>
      <c r="C323" s="3271"/>
      <c r="D323" s="3271"/>
      <c r="E323" s="3271"/>
      <c r="F323" s="3260">
        <v>0.05</v>
      </c>
      <c r="G323" s="3277"/>
    </row>
    <row r="324" spans="1:7">
      <c r="A324" s="3270" t="s">
        <v>306</v>
      </c>
      <c r="B324" s="3259" t="s">
        <v>3233</v>
      </c>
      <c r="C324" s="3271"/>
      <c r="D324" s="3271"/>
      <c r="E324" s="3271"/>
      <c r="F324" s="3260">
        <v>0.05</v>
      </c>
      <c r="G324" s="3277"/>
    </row>
    <row r="325" spans="1:7">
      <c r="A325" s="3270" t="s">
        <v>306</v>
      </c>
      <c r="B325" s="3259" t="s">
        <v>3234</v>
      </c>
      <c r="C325" s="3271"/>
      <c r="D325" s="3271"/>
      <c r="E325" s="3271"/>
      <c r="F325" s="3260">
        <v>0.05</v>
      </c>
      <c r="G325" s="3277"/>
    </row>
    <row r="326" spans="1:7" ht="14.25" thickBot="1">
      <c r="A326" s="3273" t="s">
        <v>306</v>
      </c>
      <c r="B326" s="3263" t="s">
        <v>3235</v>
      </c>
      <c r="C326" s="3265"/>
      <c r="D326" s="3265"/>
      <c r="E326" s="3265"/>
      <c r="F326" s="3264">
        <v>0.05</v>
      </c>
      <c r="G326" s="3278"/>
    </row>
    <row r="327" spans="1:7">
      <c r="A327" s="3269" t="s">
        <v>307</v>
      </c>
      <c r="B327" s="3255" t="s">
        <v>2867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2879</v>
      </c>
      <c r="C329" s="3260">
        <v>0.15</v>
      </c>
      <c r="D329" s="3260">
        <v>0.15</v>
      </c>
      <c r="E329" s="3260">
        <v>0.15</v>
      </c>
      <c r="F329" s="3260">
        <v>0.15</v>
      </c>
      <c r="G329" s="3261">
        <v>0.15</v>
      </c>
    </row>
    <row r="330" spans="1:7">
      <c r="A330" s="3270" t="s">
        <v>307</v>
      </c>
      <c r="B330" s="3259" t="s">
        <v>2883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2891</v>
      </c>
      <c r="C332" s="3260">
        <v>0.15</v>
      </c>
      <c r="D332" s="3260">
        <v>0.15</v>
      </c>
      <c r="E332" s="3260">
        <v>0.15</v>
      </c>
      <c r="F332" s="3260">
        <v>0.15</v>
      </c>
      <c r="G332" s="3261">
        <v>0.15</v>
      </c>
    </row>
    <row r="333" spans="1:7">
      <c r="A333" s="3270" t="s">
        <v>307</v>
      </c>
      <c r="B333" s="3259" t="s">
        <v>2895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2901</v>
      </c>
      <c r="C336" s="3260">
        <v>0.15</v>
      </c>
      <c r="D336" s="3260">
        <v>0.15</v>
      </c>
      <c r="E336" s="3260">
        <v>0.15</v>
      </c>
      <c r="F336" s="3260">
        <v>0.14199999999999999</v>
      </c>
      <c r="G336" s="3261">
        <v>0.15</v>
      </c>
    </row>
    <row r="337" spans="1:7">
      <c r="A337" s="3270" t="s">
        <v>307</v>
      </c>
      <c r="B337" s="3259" t="s">
        <v>2906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2926</v>
      </c>
      <c r="C345" s="3260">
        <v>0.15</v>
      </c>
      <c r="D345" s="3260">
        <v>0.15</v>
      </c>
      <c r="E345" s="3260">
        <v>0.15</v>
      </c>
      <c r="F345" s="3260">
        <v>0.13800000000000001</v>
      </c>
      <c r="G345" s="3261">
        <v>0.15</v>
      </c>
    </row>
    <row r="346" spans="1:7">
      <c r="A346" s="3270" t="s">
        <v>307</v>
      </c>
      <c r="B346" s="3259" t="s">
        <v>2928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2935</v>
      </c>
      <c r="C348" s="3260">
        <v>0.15</v>
      </c>
      <c r="D348" s="3260">
        <v>0.15</v>
      </c>
      <c r="E348" s="3260">
        <v>0.15</v>
      </c>
      <c r="F348" s="3260">
        <v>0.14399999999999999</v>
      </c>
      <c r="G348" s="3261">
        <v>0.15</v>
      </c>
    </row>
    <row r="349" spans="1:7">
      <c r="A349" s="3270" t="s">
        <v>307</v>
      </c>
      <c r="B349" s="3259" t="s">
        <v>2940</v>
      </c>
      <c r="C349" s="3260">
        <v>0.15</v>
      </c>
      <c r="D349" s="3260">
        <v>0.15</v>
      </c>
      <c r="E349" s="3260">
        <v>0.15</v>
      </c>
      <c r="F349" s="3260">
        <v>0.15</v>
      </c>
      <c r="G349" s="3261">
        <v>0.15</v>
      </c>
    </row>
    <row r="350" spans="1:7">
      <c r="A350" s="3270" t="s">
        <v>307</v>
      </c>
      <c r="B350" s="3259" t="s">
        <v>2943</v>
      </c>
      <c r="C350" s="3260">
        <v>0.15</v>
      </c>
      <c r="D350" s="3260">
        <v>0.15</v>
      </c>
      <c r="E350" s="3260">
        <v>0.15</v>
      </c>
      <c r="F350" s="3260">
        <v>0.14699999999999999</v>
      </c>
      <c r="G350" s="3261">
        <v>0.15</v>
      </c>
    </row>
    <row r="351" spans="1:7">
      <c r="A351" s="3270" t="s">
        <v>307</v>
      </c>
      <c r="B351" s="3259" t="s">
        <v>2948</v>
      </c>
      <c r="C351" s="3260">
        <v>0.15</v>
      </c>
      <c r="D351" s="3260">
        <v>0.15</v>
      </c>
      <c r="E351" s="3260">
        <v>0.15</v>
      </c>
      <c r="F351" s="3260">
        <v>0.13</v>
      </c>
      <c r="G351" s="3261">
        <v>0.15</v>
      </c>
    </row>
    <row r="352" spans="1:7">
      <c r="A352" s="3270" t="s">
        <v>307</v>
      </c>
      <c r="B352" s="3259" t="s">
        <v>2953</v>
      </c>
      <c r="C352" s="3260">
        <v>0.15</v>
      </c>
      <c r="D352" s="3260">
        <v>0.15</v>
      </c>
      <c r="E352" s="3260">
        <v>0.15</v>
      </c>
      <c r="F352" s="3260">
        <v>0.14599999999999999</v>
      </c>
      <c r="G352" s="3261">
        <v>0.15</v>
      </c>
    </row>
    <row r="353" spans="1:7">
      <c r="A353" s="3270" t="s">
        <v>307</v>
      </c>
      <c r="B353" s="3259" t="s">
        <v>2960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2973</v>
      </c>
      <c r="C355" s="3260">
        <v>0.15</v>
      </c>
      <c r="D355" s="3260">
        <v>0.15</v>
      </c>
      <c r="E355" s="3260">
        <v>0.15</v>
      </c>
      <c r="F355" s="3260">
        <v>0.15</v>
      </c>
      <c r="G355" s="3261">
        <v>0.15</v>
      </c>
    </row>
    <row r="356" spans="1:7">
      <c r="A356" s="3270" t="s">
        <v>307</v>
      </c>
      <c r="B356" s="3259" t="s">
        <v>2980</v>
      </c>
      <c r="C356" s="3260">
        <v>0.15</v>
      </c>
      <c r="D356" s="3260">
        <v>0.15</v>
      </c>
      <c r="E356" s="3260">
        <v>0.15</v>
      </c>
      <c r="F356" s="3260">
        <v>0.15</v>
      </c>
      <c r="G356" s="3261">
        <v>0.15</v>
      </c>
    </row>
    <row r="357" spans="1:7" ht="14.25" thickBot="1">
      <c r="A357" s="3273" t="s">
        <v>307</v>
      </c>
      <c r="B357" s="3263" t="s">
        <v>2985</v>
      </c>
      <c r="C357" s="3264">
        <v>0.126</v>
      </c>
      <c r="D357" s="3264">
        <v>0.127</v>
      </c>
      <c r="E357" s="3264">
        <v>0.14299999999999999</v>
      </c>
      <c r="F357" s="3264">
        <v>0.125</v>
      </c>
      <c r="G357" s="3266">
        <v>0.129</v>
      </c>
    </row>
    <row r="358" spans="1:7">
      <c r="A358" s="3269" t="s">
        <v>2854</v>
      </c>
      <c r="B358" s="3255" t="s">
        <v>2868</v>
      </c>
      <c r="C358" s="3256">
        <v>0.15</v>
      </c>
      <c r="D358" s="3256">
        <v>0.15</v>
      </c>
      <c r="E358" s="3256">
        <v>0.15</v>
      </c>
      <c r="F358" s="3256">
        <v>0.15</v>
      </c>
      <c r="G358" s="3257">
        <v>0.15</v>
      </c>
    </row>
    <row r="359" spans="1:7">
      <c r="A359" s="3270" t="s">
        <v>2854</v>
      </c>
      <c r="B359" s="3259" t="s">
        <v>2874</v>
      </c>
      <c r="C359" s="3260">
        <v>0.1</v>
      </c>
      <c r="D359" s="3260">
        <v>0.1</v>
      </c>
      <c r="E359" s="3260">
        <v>0.1</v>
      </c>
      <c r="F359" s="3260">
        <v>0.1</v>
      </c>
      <c r="G359" s="3261">
        <v>0.1</v>
      </c>
    </row>
    <row r="360" spans="1:7">
      <c r="A360" s="3270" t="s">
        <v>2854</v>
      </c>
      <c r="B360" s="3259" t="s">
        <v>2880</v>
      </c>
      <c r="C360" s="3260">
        <v>0.15</v>
      </c>
      <c r="D360" s="3260">
        <v>0.15</v>
      </c>
      <c r="E360" s="3260">
        <v>0.15</v>
      </c>
      <c r="F360" s="3260">
        <v>0.14899999999999999</v>
      </c>
      <c r="G360" s="3261">
        <v>0.15</v>
      </c>
    </row>
    <row r="361" spans="1:7">
      <c r="A361" s="3270" t="s">
        <v>2854</v>
      </c>
      <c r="B361" s="3259" t="s">
        <v>153</v>
      </c>
      <c r="C361" s="3260">
        <v>0.15</v>
      </c>
      <c r="D361" s="3260">
        <v>0.15</v>
      </c>
      <c r="E361" s="3260">
        <v>0.15</v>
      </c>
      <c r="F361" s="3260">
        <v>0.115</v>
      </c>
      <c r="G361" s="3261">
        <v>0.15</v>
      </c>
    </row>
    <row r="362" spans="1:7">
      <c r="A362" s="3270" t="s">
        <v>2854</v>
      </c>
      <c r="B362" s="3259" t="s">
        <v>2887</v>
      </c>
      <c r="C362" s="3260">
        <v>0.15</v>
      </c>
      <c r="D362" s="3260">
        <v>0.15</v>
      </c>
      <c r="E362" s="3260">
        <v>0.15</v>
      </c>
      <c r="F362" s="3260">
        <v>0.106</v>
      </c>
      <c r="G362" s="3261">
        <v>0.15</v>
      </c>
    </row>
    <row r="363" spans="1:7">
      <c r="A363" s="3270" t="s">
        <v>2854</v>
      </c>
      <c r="B363" s="3259" t="s">
        <v>2892</v>
      </c>
      <c r="C363" s="3260">
        <v>0.15</v>
      </c>
      <c r="D363" s="3260">
        <v>0.15</v>
      </c>
      <c r="E363" s="3260">
        <v>0.15</v>
      </c>
      <c r="F363" s="3260">
        <v>0.14699999999999999</v>
      </c>
      <c r="G363" s="3261">
        <v>0.15</v>
      </c>
    </row>
    <row r="364" spans="1:7">
      <c r="A364" s="3270" t="s">
        <v>2854</v>
      </c>
      <c r="B364" s="3259" t="s">
        <v>2896</v>
      </c>
      <c r="C364" s="3260">
        <v>0.15</v>
      </c>
      <c r="D364" s="3260">
        <v>0.15</v>
      </c>
      <c r="E364" s="3260">
        <v>0.15</v>
      </c>
      <c r="F364" s="3260">
        <v>0.14799999999999999</v>
      </c>
      <c r="G364" s="3261">
        <v>0.15</v>
      </c>
    </row>
    <row r="365" spans="1:7">
      <c r="A365" s="3270" t="s">
        <v>2854</v>
      </c>
      <c r="B365" s="3259" t="s">
        <v>200</v>
      </c>
      <c r="C365" s="3260">
        <v>0.15</v>
      </c>
      <c r="D365" s="3260">
        <v>0.15</v>
      </c>
      <c r="E365" s="3260">
        <v>0.15</v>
      </c>
      <c r="F365" s="3260">
        <v>0.15</v>
      </c>
      <c r="G365" s="3261">
        <v>0.15</v>
      </c>
    </row>
    <row r="366" spans="1:7">
      <c r="A366" s="3270" t="s">
        <v>2854</v>
      </c>
      <c r="B366" s="3259" t="s">
        <v>2899</v>
      </c>
      <c r="C366" s="3260">
        <v>0.15</v>
      </c>
      <c r="D366" s="3260">
        <v>0.15</v>
      </c>
      <c r="E366" s="3260">
        <v>0.15</v>
      </c>
      <c r="F366" s="3260">
        <v>0.15</v>
      </c>
      <c r="G366" s="3261">
        <v>0.15</v>
      </c>
    </row>
    <row r="367" spans="1:7">
      <c r="A367" s="3270" t="s">
        <v>2854</v>
      </c>
      <c r="B367" s="3259" t="s">
        <v>2902</v>
      </c>
      <c r="C367" s="3260">
        <v>0.15</v>
      </c>
      <c r="D367" s="3260">
        <v>0.15</v>
      </c>
      <c r="E367" s="3260">
        <v>0.15</v>
      </c>
      <c r="F367" s="3260">
        <v>0.14699999999999999</v>
      </c>
      <c r="G367" s="3261">
        <v>0.15</v>
      </c>
    </row>
    <row r="368" spans="1:7">
      <c r="A368" s="3270" t="s">
        <v>2854</v>
      </c>
      <c r="B368" s="3259" t="s">
        <v>2907</v>
      </c>
      <c r="C368" s="3260">
        <v>0.15</v>
      </c>
      <c r="D368" s="3260">
        <v>0.15</v>
      </c>
      <c r="E368" s="3260">
        <v>0.15</v>
      </c>
      <c r="F368" s="3260">
        <v>0.13600000000000001</v>
      </c>
      <c r="G368" s="3261">
        <v>0.15</v>
      </c>
    </row>
    <row r="369" spans="1:7">
      <c r="A369" s="3270" t="s">
        <v>2854</v>
      </c>
      <c r="B369" s="3259" t="s">
        <v>214</v>
      </c>
      <c r="C369" s="3260">
        <v>0.15</v>
      </c>
      <c r="D369" s="3260">
        <v>0.15</v>
      </c>
      <c r="E369" s="3260">
        <v>0.15</v>
      </c>
      <c r="F369" s="3260">
        <v>0.14399999999999999</v>
      </c>
      <c r="G369" s="3261">
        <v>0.15</v>
      </c>
    </row>
    <row r="370" spans="1:7">
      <c r="A370" s="3270" t="s">
        <v>2854</v>
      </c>
      <c r="B370" s="3259" t="s">
        <v>221</v>
      </c>
      <c r="C370" s="3260">
        <v>0.15</v>
      </c>
      <c r="D370" s="3260">
        <v>0.15</v>
      </c>
      <c r="E370" s="3260">
        <v>0.15</v>
      </c>
      <c r="F370" s="3260">
        <v>0.14599999999999999</v>
      </c>
      <c r="G370" s="3261">
        <v>0.15</v>
      </c>
    </row>
    <row r="371" spans="1:7">
      <c r="A371" s="3270" t="s">
        <v>2854</v>
      </c>
      <c r="B371" s="3259" t="s">
        <v>229</v>
      </c>
      <c r="C371" s="3260">
        <v>0.15</v>
      </c>
      <c r="D371" s="3260">
        <v>0.15</v>
      </c>
      <c r="E371" s="3260">
        <v>0.15</v>
      </c>
      <c r="F371" s="3260">
        <v>0.12</v>
      </c>
      <c r="G371" s="3261">
        <v>0.15</v>
      </c>
    </row>
    <row r="372" spans="1:7">
      <c r="A372" s="3270" t="s">
        <v>2854</v>
      </c>
      <c r="B372" s="3259" t="s">
        <v>2915</v>
      </c>
      <c r="C372" s="3260">
        <v>0.15</v>
      </c>
      <c r="D372" s="3260">
        <v>0.15</v>
      </c>
      <c r="E372" s="3260">
        <v>0.15</v>
      </c>
      <c r="F372" s="3260">
        <v>0.14299999999999999</v>
      </c>
      <c r="G372" s="3261">
        <v>0.15</v>
      </c>
    </row>
    <row r="373" spans="1:7">
      <c r="A373" s="3270" t="s">
        <v>2854</v>
      </c>
      <c r="B373" s="3259" t="s">
        <v>258</v>
      </c>
      <c r="C373" s="3260">
        <v>0.15</v>
      </c>
      <c r="D373" s="3260">
        <v>0.15</v>
      </c>
      <c r="E373" s="3260">
        <v>0.15</v>
      </c>
      <c r="F373" s="3260">
        <v>0.14599999999999999</v>
      </c>
      <c r="G373" s="3261">
        <v>0.15</v>
      </c>
    </row>
    <row r="374" spans="1:7">
      <c r="A374" s="3270" t="s">
        <v>2854</v>
      </c>
      <c r="B374" s="3259" t="s">
        <v>266</v>
      </c>
      <c r="C374" s="3260">
        <v>0.15</v>
      </c>
      <c r="D374" s="3260">
        <v>0.15</v>
      </c>
      <c r="E374" s="3260">
        <v>0.15</v>
      </c>
      <c r="F374" s="3260">
        <v>0.14399999999999999</v>
      </c>
      <c r="G374" s="3261">
        <v>0.15</v>
      </c>
    </row>
    <row r="375" spans="1:7">
      <c r="A375" s="3270" t="s">
        <v>2854</v>
      </c>
      <c r="B375" s="3259" t="s">
        <v>2923</v>
      </c>
      <c r="C375" s="3260">
        <v>0.15</v>
      </c>
      <c r="D375" s="3260">
        <v>0.15</v>
      </c>
      <c r="E375" s="3260">
        <v>0.15</v>
      </c>
      <c r="F375" s="3260">
        <v>0.13</v>
      </c>
      <c r="G375" s="3261">
        <v>0.15</v>
      </c>
    </row>
    <row r="376" spans="1:7">
      <c r="A376" s="3270" t="s">
        <v>2854</v>
      </c>
      <c r="B376" s="3259" t="s">
        <v>277</v>
      </c>
      <c r="C376" s="3260">
        <v>0.15</v>
      </c>
      <c r="D376" s="3260">
        <v>0.15</v>
      </c>
      <c r="E376" s="3260">
        <v>0.15</v>
      </c>
      <c r="F376" s="3260">
        <v>0.14199999999999999</v>
      </c>
      <c r="G376" s="3261">
        <v>0.15</v>
      </c>
    </row>
    <row r="377" spans="1:7" ht="14.25" thickBot="1">
      <c r="A377" s="3273" t="s">
        <v>2854</v>
      </c>
      <c r="B377" s="3263" t="s">
        <v>2929</v>
      </c>
      <c r="C377" s="3264">
        <v>0.15</v>
      </c>
      <c r="D377" s="3264">
        <v>0.15</v>
      </c>
      <c r="E377" s="3264">
        <v>0.15</v>
      </c>
      <c r="F377" s="3264">
        <v>0.14000000000000001</v>
      </c>
      <c r="G377" s="3266">
        <v>0.15</v>
      </c>
    </row>
    <row r="378" spans="1:7">
      <c r="A378" s="3269" t="s">
        <v>2855</v>
      </c>
      <c r="B378" s="3255" t="s">
        <v>2869</v>
      </c>
      <c r="C378" s="3256">
        <v>0.15</v>
      </c>
      <c r="D378" s="3256">
        <v>0.15</v>
      </c>
      <c r="E378" s="3256">
        <v>0.15</v>
      </c>
      <c r="F378" s="3256">
        <v>0.107</v>
      </c>
      <c r="G378" s="3257">
        <v>0.15</v>
      </c>
    </row>
    <row r="379" spans="1:7">
      <c r="A379" s="3270" t="s">
        <v>2855</v>
      </c>
      <c r="B379" s="3259" t="s">
        <v>2875</v>
      </c>
      <c r="C379" s="3260">
        <v>0.15</v>
      </c>
      <c r="D379" s="3260">
        <v>0.15</v>
      </c>
      <c r="E379" s="3260">
        <v>0.15</v>
      </c>
      <c r="F379" s="3260">
        <v>0.115</v>
      </c>
      <c r="G379" s="3261">
        <v>0.14899999999999999</v>
      </c>
    </row>
    <row r="380" spans="1:7">
      <c r="A380" s="3270" t="s">
        <v>2855</v>
      </c>
      <c r="B380" s="3259" t="s">
        <v>2881</v>
      </c>
      <c r="C380" s="3260">
        <v>0.15</v>
      </c>
      <c r="D380" s="3260">
        <v>0.15</v>
      </c>
      <c r="E380" s="3260">
        <v>0.15</v>
      </c>
      <c r="F380" s="3260">
        <v>0.1</v>
      </c>
      <c r="G380" s="3261">
        <v>0.14799999999999999</v>
      </c>
    </row>
    <row r="381" spans="1:7">
      <c r="A381" s="3270" t="s">
        <v>2855</v>
      </c>
      <c r="B381" s="3259" t="s">
        <v>2884</v>
      </c>
      <c r="C381" s="3260">
        <v>0.15</v>
      </c>
      <c r="D381" s="3260">
        <v>0.15</v>
      </c>
      <c r="E381" s="3260">
        <v>0.15</v>
      </c>
      <c r="F381" s="3260">
        <v>0.126</v>
      </c>
      <c r="G381" s="3261">
        <v>0.15</v>
      </c>
    </row>
    <row r="382" spans="1:7">
      <c r="A382" s="3270" t="s">
        <v>2855</v>
      </c>
      <c r="B382" s="3259" t="s">
        <v>2888</v>
      </c>
      <c r="C382" s="3260">
        <v>0.15</v>
      </c>
      <c r="D382" s="3260">
        <v>0.15</v>
      </c>
      <c r="E382" s="3260">
        <v>0.15</v>
      </c>
      <c r="F382" s="3260">
        <v>0.15</v>
      </c>
      <c r="G382" s="3261">
        <v>0.15</v>
      </c>
    </row>
    <row r="383" spans="1:7">
      <c r="A383" s="3270" t="s">
        <v>2855</v>
      </c>
      <c r="B383" s="3259" t="s">
        <v>2893</v>
      </c>
      <c r="C383" s="3260">
        <v>0.15</v>
      </c>
      <c r="D383" s="3260">
        <v>0.15</v>
      </c>
      <c r="E383" s="3260">
        <v>0.15</v>
      </c>
      <c r="F383" s="3260">
        <v>0.14699999999999999</v>
      </c>
      <c r="G383" s="3261">
        <v>0.15</v>
      </c>
    </row>
    <row r="384" spans="1:7" ht="14.25" thickBot="1">
      <c r="A384" s="3280" t="s">
        <v>2855</v>
      </c>
      <c r="B384" s="3281" t="s">
        <v>2897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76" t="s">
        <v>3236</v>
      </c>
      <c r="B1" s="3776"/>
      <c r="C1" s="3776"/>
      <c r="D1" s="3776"/>
      <c r="E1" s="3776"/>
      <c r="F1" s="3777"/>
    </row>
    <row r="2" spans="1:6">
      <c r="A2" s="3286" t="s">
        <v>3237</v>
      </c>
      <c r="B2" s="3287"/>
      <c r="C2" s="3287"/>
      <c r="D2" s="3287"/>
      <c r="E2" s="3287"/>
      <c r="F2" s="3287"/>
    </row>
    <row r="3" spans="1:6">
      <c r="A3" s="3286" t="s">
        <v>3238</v>
      </c>
      <c r="B3" s="3287"/>
      <c r="C3" s="3287"/>
      <c r="D3" s="3287"/>
      <c r="E3" s="3287"/>
      <c r="F3" s="3288" t="s">
        <v>3239</v>
      </c>
    </row>
    <row r="4" spans="1:6">
      <c r="A4" s="3289" t="s">
        <v>672</v>
      </c>
      <c r="B4" s="3289" t="s">
        <v>673</v>
      </c>
      <c r="C4" s="3289" t="s">
        <v>21</v>
      </c>
      <c r="D4" s="3289" t="s">
        <v>674</v>
      </c>
      <c r="E4" s="3289" t="s">
        <v>3</v>
      </c>
      <c r="F4" s="3289" t="s">
        <v>3240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6">
        <f>基准地价修正!G23</f>
        <v>45493</v>
      </c>
      <c r="B1" s="3205" t="s">
        <v>3373</v>
      </c>
      <c r="C1" s="3206"/>
      <c r="D1" s="3206"/>
      <c r="E1" s="3206"/>
      <c r="F1" s="3206"/>
      <c r="G1" s="3206"/>
      <c r="H1" s="3206"/>
      <c r="I1" s="3206"/>
      <c r="J1" s="3160"/>
      <c r="K1" s="3206" t="s">
        <v>454</v>
      </c>
      <c r="L1" s="3206"/>
      <c r="M1" s="3206"/>
      <c r="N1" s="3206"/>
      <c r="O1" s="3206"/>
      <c r="P1" s="3206"/>
      <c r="Q1" s="3160"/>
      <c r="R1" s="3778" t="s">
        <v>456</v>
      </c>
      <c r="S1" s="3779"/>
      <c r="T1" s="3779"/>
      <c r="U1" s="3779"/>
      <c r="V1" s="3779"/>
      <c r="W1" s="3779"/>
      <c r="X1" s="3160"/>
      <c r="Y1" s="3778" t="s">
        <v>457</v>
      </c>
      <c r="Z1" s="3779"/>
      <c r="AA1" s="3779"/>
      <c r="AB1" s="3779"/>
      <c r="AC1" s="3779"/>
      <c r="AD1" s="3779"/>
    </row>
    <row r="2" spans="1:30" s="3138" customFormat="1" ht="14.25" thickBot="1">
      <c r="B2" s="3139"/>
      <c r="C2" s="3140"/>
      <c r="D2" s="3141" t="s">
        <v>2814</v>
      </c>
      <c r="E2" s="3142" t="s">
        <v>2815</v>
      </c>
      <c r="F2" s="3142" t="s">
        <v>2816</v>
      </c>
      <c r="G2" s="3142" t="s">
        <v>2817</v>
      </c>
      <c r="H2" s="3142" t="s">
        <v>2818</v>
      </c>
      <c r="I2" s="3142" t="s">
        <v>2635</v>
      </c>
      <c r="J2" s="3143"/>
      <c r="K2" s="3141" t="s">
        <v>2814</v>
      </c>
      <c r="L2" s="3142" t="s">
        <v>2815</v>
      </c>
      <c r="M2" s="3142" t="s">
        <v>2816</v>
      </c>
      <c r="N2" s="3142" t="s">
        <v>2817</v>
      </c>
      <c r="O2" s="3142" t="s">
        <v>2819</v>
      </c>
      <c r="P2" s="3142" t="s">
        <v>2635</v>
      </c>
      <c r="Q2" s="3143"/>
      <c r="R2" s="3141" t="s">
        <v>2814</v>
      </c>
      <c r="S2" s="3142" t="s">
        <v>2815</v>
      </c>
      <c r="T2" s="3142" t="s">
        <v>2816</v>
      </c>
      <c r="U2" s="3142" t="s">
        <v>2820</v>
      </c>
      <c r="V2" s="3142" t="s">
        <v>2821</v>
      </c>
      <c r="W2" s="3142" t="s">
        <v>2635</v>
      </c>
      <c r="X2" s="3143"/>
      <c r="Y2" s="3141" t="s">
        <v>2814</v>
      </c>
      <c r="Z2" s="3142" t="s">
        <v>2815</v>
      </c>
      <c r="AA2" s="3142" t="s">
        <v>2816</v>
      </c>
      <c r="AB2" s="3142" t="s">
        <v>2822</v>
      </c>
      <c r="AC2" s="3142" t="s">
        <v>2821</v>
      </c>
      <c r="AD2" s="3142" t="s">
        <v>2635</v>
      </c>
    </row>
    <row r="3" spans="1:30" s="3156" customFormat="1" ht="12.75">
      <c r="A3" s="3144" t="s">
        <v>2823</v>
      </c>
      <c r="B3" s="3145"/>
      <c r="C3" s="3146"/>
      <c r="D3" s="3146">
        <f>ROUND(AVERAGEIF(D4:D19,"&lt;&gt;0"),2)</f>
        <v>0.68</v>
      </c>
      <c r="E3" s="3146">
        <f t="shared" ref="E3:H3" si="0">ROUND(AVERAGEIF(E4:E19,"&lt;&gt;0"),2)</f>
        <v>0.4</v>
      </c>
      <c r="F3" s="3146">
        <f t="shared" si="0"/>
        <v>0.17</v>
      </c>
      <c r="G3" s="3146">
        <f t="shared" si="0"/>
        <v>0.74</v>
      </c>
      <c r="H3" s="3146">
        <f t="shared" si="0"/>
        <v>0.62</v>
      </c>
      <c r="I3" s="3146">
        <f>F3</f>
        <v>0.17</v>
      </c>
      <c r="J3" s="3147"/>
      <c r="K3" s="3148">
        <f>ROUND(AVERAGEIF(K4:K19,"&lt;&gt;0"),4)</f>
        <v>6.7999999999999996E-3</v>
      </c>
      <c r="L3" s="3149">
        <f t="shared" ref="L3:O3" si="1">ROUND(AVERAGEIF(L4:L19,"&lt;&gt;0"),4)</f>
        <v>4.0000000000000001E-3</v>
      </c>
      <c r="M3" s="3149">
        <f t="shared" si="1"/>
        <v>1.6999999999999999E-3</v>
      </c>
      <c r="N3" s="3149">
        <f t="shared" si="1"/>
        <v>7.4000000000000003E-3</v>
      </c>
      <c r="O3" s="3149">
        <f t="shared" si="1"/>
        <v>6.1999999999999998E-3</v>
      </c>
      <c r="P3" s="3149">
        <f>M3</f>
        <v>1.6999999999999999E-3</v>
      </c>
      <c r="Q3" s="3147"/>
      <c r="R3" s="3150">
        <f>ROUND(SUMPRODUCT(PRODUCT(1+K4:K19)),4)</f>
        <v>1.0916999999999999</v>
      </c>
      <c r="S3" s="3151">
        <f t="shared" ref="S3:V3" si="2">ROUND(SUMPRODUCT(PRODUCT(1+L4:L19)),4)</f>
        <v>1.0537000000000001</v>
      </c>
      <c r="T3" s="3151">
        <f t="shared" si="2"/>
        <v>1.0224</v>
      </c>
      <c r="U3" s="3151">
        <f t="shared" si="2"/>
        <v>1.1008</v>
      </c>
      <c r="V3" s="3151">
        <f t="shared" si="2"/>
        <v>1.0843</v>
      </c>
      <c r="W3" s="3150">
        <f>T3</f>
        <v>1.0224</v>
      </c>
      <c r="X3" s="3147"/>
      <c r="Y3" s="3152">
        <f>ROUND(AVERAGEIF(Y6:Y19,"&lt;&gt;0"),4)</f>
        <v>8.6999999999999994E-3</v>
      </c>
      <c r="Z3" s="3153">
        <f t="shared" ref="Z3:AC3" si="3">ROUND(AVERAGEIF(Z6:Z19,"&lt;&gt;0"),4)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3381</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1.0811999999999999</v>
      </c>
      <c r="S5" s="3178">
        <f>ROUND(IF(项目基本情况!$B$8="出让",SUMPRODUCT(PRODUCT(1+L5:$L$19)),SUMPRODUCT(PRODUCT(1+L5:$L$18))),4)</f>
        <v>1.052</v>
      </c>
      <c r="T5" s="3178">
        <f>ROUND(IF(项目基本情况!$B$8="出让",SUMPRODUCT(PRODUCT(1+M5:$M$19)),SUMPRODUCT(PRODUCT(1+M5:$M$18))),4)</f>
        <v>1.0249999999999999</v>
      </c>
      <c r="U5" s="3178">
        <f>ROUND(IF(项目基本情况!$B$8="出让",SUMPRODUCT(PRODUCT(1+N5:$N$19)),SUMPRODUCT(PRODUCT(1+N5:$N$18))),4)</f>
        <v>1.0888</v>
      </c>
      <c r="V5" s="3178">
        <f>ROUND(IF(项目基本情况!$B$8="出让",SUMPRODUCT(PRODUCT(1+O5:$O$19)),SUMPRODUCT(PRODUCT(1+O5:$O$18))),4)</f>
        <v>1.0804</v>
      </c>
      <c r="W5" s="3178">
        <f>T5</f>
        <v>1.0249999999999999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80" customFormat="1" ht="12.75">
      <c r="A6" s="2200" t="s">
        <v>3376</v>
      </c>
      <c r="B6" s="3172">
        <v>2024</v>
      </c>
      <c r="C6" s="3173">
        <v>2</v>
      </c>
      <c r="D6" s="3174">
        <v>0</v>
      </c>
      <c r="E6" s="3174">
        <v>0</v>
      </c>
      <c r="F6" s="3174">
        <v>0</v>
      </c>
      <c r="G6" s="3174">
        <v>0</v>
      </c>
      <c r="H6" s="3174">
        <v>0</v>
      </c>
      <c r="I6" s="3175">
        <f t="shared" ref="I6:I19" si="15">F6</f>
        <v>0</v>
      </c>
      <c r="J6" s="3176"/>
      <c r="K6" s="3177">
        <f t="shared" ref="K6:O19" si="16">D6/100</f>
        <v>0</v>
      </c>
      <c r="L6" s="3167">
        <f t="shared" si="16"/>
        <v>0</v>
      </c>
      <c r="M6" s="3167">
        <f t="shared" si="16"/>
        <v>0</v>
      </c>
      <c r="N6" s="3167">
        <f t="shared" si="16"/>
        <v>0</v>
      </c>
      <c r="O6" s="3167">
        <f t="shared" si="16"/>
        <v>0</v>
      </c>
      <c r="P6" s="3167">
        <f>M6</f>
        <v>0</v>
      </c>
      <c r="Q6" s="3176"/>
      <c r="R6" s="3178">
        <f>ROUND(IF(项目基本情况!$B$8="出让",SUMPRODUCT(PRODUCT(1+K6:$K$19)),SUMPRODUCT(PRODUCT(1+K6:$K$18))),4)</f>
        <v>1.0811999999999999</v>
      </c>
      <c r="S6" s="3178">
        <f>ROUND(IF(项目基本情况!$B$8="出让",SUMPRODUCT(PRODUCT(1+L6:$L$19)),SUMPRODUCT(PRODUCT(1+L6:$L$18))),4)</f>
        <v>1.052</v>
      </c>
      <c r="T6" s="3178">
        <f>ROUND(IF(项目基本情况!$B$8="出让",SUMPRODUCT(PRODUCT(1+M6:$M$19)),SUMPRODUCT(PRODUCT(1+M6:$M$18))),4)</f>
        <v>1.0249999999999999</v>
      </c>
      <c r="U6" s="3178">
        <f>ROUND(IF(项目基本情况!$B$8="出让",SUMPRODUCT(PRODUCT(1+N6:$N$19)),SUMPRODUCT(PRODUCT(1+N6:$N$18))),4)</f>
        <v>1.0888</v>
      </c>
      <c r="V6" s="3178">
        <f>ROUND(IF(项目基本情况!$B$8="出让",SUMPRODUCT(PRODUCT(1+O6:$O$19)),SUMPRODUCT(PRODUCT(1+O6:$O$18))),4)</f>
        <v>1.0804</v>
      </c>
      <c r="W6" s="3178">
        <f>T6</f>
        <v>1.0249999999999999</v>
      </c>
      <c r="X6" s="3176"/>
      <c r="Y6" s="3179">
        <f>IF(D6=0,0,ROUND(AVERAGE(D6:D19)/100,4))</f>
        <v>0</v>
      </c>
      <c r="Z6" s="3179">
        <f t="shared" ref="Z6:AC6" si="17">IF(E6=0,0,ROUND(AVERAGE(E6:E19)/100,4))</f>
        <v>0</v>
      </c>
      <c r="AA6" s="3179">
        <f t="shared" si="17"/>
        <v>0</v>
      </c>
      <c r="AB6" s="3179">
        <f t="shared" si="17"/>
        <v>0</v>
      </c>
      <c r="AC6" s="3179">
        <f t="shared" si="17"/>
        <v>0</v>
      </c>
      <c r="AD6" s="3179">
        <f t="shared" ref="AD6:AD18" si="18">AA6</f>
        <v>0</v>
      </c>
    </row>
    <row r="7" spans="1:30" s="3190" customFormat="1" ht="12.75">
      <c r="A7" s="3181" t="s">
        <v>3378</v>
      </c>
      <c r="B7" s="3182">
        <v>2024</v>
      </c>
      <c r="C7" s="3183">
        <v>1</v>
      </c>
      <c r="D7" s="3184">
        <v>0.08</v>
      </c>
      <c r="E7" s="3184">
        <v>0.46</v>
      </c>
      <c r="F7" s="3184">
        <v>-0.16</v>
      </c>
      <c r="G7" s="3184">
        <v>0.26</v>
      </c>
      <c r="H7" s="3185">
        <v>0.59</v>
      </c>
      <c r="I7" s="3186">
        <v>0</v>
      </c>
      <c r="J7" s="3187"/>
      <c r="K7" s="3188">
        <f t="shared" ref="K7" si="19">D7/100</f>
        <v>8.0000000000000004E-4</v>
      </c>
      <c r="L7" s="3189">
        <f t="shared" ref="L7" si="20">E7/100</f>
        <v>4.5999999999999999E-3</v>
      </c>
      <c r="M7" s="3189">
        <f t="shared" ref="M7" si="21">F7/100</f>
        <v>-1.6000000000000001E-3</v>
      </c>
      <c r="N7" s="3189">
        <f t="shared" ref="N7" si="22">G7/100</f>
        <v>2.5999999999999999E-3</v>
      </c>
      <c r="O7" s="3189">
        <f t="shared" ref="O7" si="23">H7/100</f>
        <v>5.8999999999999999E-3</v>
      </c>
      <c r="P7" s="3189">
        <f t="shared" ref="P7" si="24">M7</f>
        <v>-1.6000000000000001E-3</v>
      </c>
      <c r="Q7" s="3187"/>
      <c r="R7" s="3187">
        <f>ROUND(IF(项目基本情况!$B$8="出让",SUMPRODUCT(PRODUCT(1+K7:$K$19)),SUMPRODUCT(PRODUCT(1+K7:$K$18))),4)</f>
        <v>1.0811999999999999</v>
      </c>
      <c r="S7" s="3187">
        <f>ROUND(IF(项目基本情况!$B$8="出让",SUMPRODUCT(PRODUCT(1+L7:$L$19)),SUMPRODUCT(PRODUCT(1+L7:$L$18))),4)</f>
        <v>1.052</v>
      </c>
      <c r="T7" s="3187">
        <f>ROUND(IF(项目基本情况!$B$8="出让",SUMPRODUCT(PRODUCT(1+M7:$M$19)),SUMPRODUCT(PRODUCT(1+M7:$M$18))),4)</f>
        <v>1.0249999999999999</v>
      </c>
      <c r="U7" s="3187">
        <f>ROUND(IF(项目基本情况!$B$8="出让",SUMPRODUCT(PRODUCT(1+N7:$N$19)),SUMPRODUCT(PRODUCT(1+N7:$N$18))),4)</f>
        <v>1.0888</v>
      </c>
      <c r="V7" s="3187">
        <f>ROUND(IF(项目基本情况!$B$8="出让",SUMPRODUCT(PRODUCT(1+O7:$O$19)),SUMPRODUCT(PRODUCT(1+O7:$O$18))),4)</f>
        <v>1.0804</v>
      </c>
      <c r="W7" s="3187">
        <f t="shared" ref="W7" si="25">T7</f>
        <v>1.0249999999999999</v>
      </c>
      <c r="X7" s="3187"/>
      <c r="Y7" s="3189"/>
      <c r="Z7" s="3189"/>
      <c r="AA7" s="3189"/>
      <c r="AB7" s="3189"/>
      <c r="AC7" s="3189"/>
      <c r="AD7" s="3189"/>
    </row>
    <row r="8" spans="1:30" s="3180" customFormat="1" ht="12.75">
      <c r="A8" s="3171" t="s">
        <v>3379</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3377</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3372</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3371</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3370</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3366</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3357</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2824</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2825</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2826</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2827</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2828</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2" t="s">
        <v>3368</v>
      </c>
    </row>
    <row r="22" spans="1:30" s="3004" customFormat="1">
      <c r="I22" s="3203" t="s">
        <v>2829</v>
      </c>
    </row>
    <row r="23" spans="1:30" s="3004" customFormat="1"/>
    <row r="24" spans="1:30" s="3204" customFormat="1" ht="12.75">
      <c r="B24" s="3205" t="s">
        <v>3374</v>
      </c>
      <c r="C24" s="3206"/>
      <c r="D24" s="3206"/>
      <c r="E24" s="3206"/>
      <c r="F24" s="3206"/>
      <c r="G24" s="3206"/>
      <c r="H24" s="3206"/>
      <c r="I24" s="3206"/>
      <c r="J24" s="3160"/>
      <c r="K24" s="3206" t="s">
        <v>2830</v>
      </c>
      <c r="L24" s="3206"/>
      <c r="M24" s="3206"/>
      <c r="N24" s="3206"/>
      <c r="O24" s="3206"/>
      <c r="P24" s="3206"/>
      <c r="Q24" s="3160"/>
      <c r="R24" s="3778" t="s">
        <v>2831</v>
      </c>
      <c r="S24" s="3779"/>
      <c r="T24" s="3779"/>
      <c r="U24" s="3779"/>
      <c r="V24" s="3779"/>
      <c r="W24" s="3779"/>
      <c r="X24" s="3160"/>
      <c r="Y24" s="3778" t="s">
        <v>2832</v>
      </c>
      <c r="Z24" s="3779"/>
      <c r="AA24" s="3779"/>
      <c r="AB24" s="3779"/>
      <c r="AC24" s="3779"/>
      <c r="AD24" s="3779"/>
    </row>
    <row r="25" spans="1:30" s="3138" customFormat="1" ht="14.25" thickBot="1">
      <c r="B25" s="3139"/>
      <c r="C25" s="3140"/>
      <c r="D25" s="3141" t="s">
        <v>2833</v>
      </c>
      <c r="E25" s="3142" t="s">
        <v>2834</v>
      </c>
      <c r="F25" s="3142" t="s">
        <v>2835</v>
      </c>
      <c r="G25" s="3142" t="s">
        <v>2836</v>
      </c>
      <c r="H25" s="3142"/>
      <c r="I25" s="3142" t="s">
        <v>2837</v>
      </c>
      <c r="J25" s="3143"/>
      <c r="K25" s="3141" t="s">
        <v>2833</v>
      </c>
      <c r="L25" s="3142" t="s">
        <v>2834</v>
      </c>
      <c r="M25" s="3142" t="s">
        <v>2835</v>
      </c>
      <c r="N25" s="3142" t="s">
        <v>2836</v>
      </c>
      <c r="O25" s="3142"/>
      <c r="P25" s="3142" t="s">
        <v>2837</v>
      </c>
      <c r="Q25" s="3143"/>
      <c r="R25" s="3141" t="s">
        <v>2833</v>
      </c>
      <c r="S25" s="3142" t="s">
        <v>2834</v>
      </c>
      <c r="T25" s="3142" t="s">
        <v>2835</v>
      </c>
      <c r="U25" s="3142" t="s">
        <v>2836</v>
      </c>
      <c r="V25" s="3142"/>
      <c r="W25" s="3142" t="s">
        <v>2837</v>
      </c>
      <c r="X25" s="3143"/>
      <c r="Y25" s="3141" t="s">
        <v>2833</v>
      </c>
      <c r="Z25" s="3142" t="s">
        <v>2834</v>
      </c>
      <c r="AA25" s="3142" t="s">
        <v>2835</v>
      </c>
      <c r="AB25" s="3142" t="s">
        <v>2836</v>
      </c>
      <c r="AC25" s="3142"/>
      <c r="AD25" s="3142" t="s">
        <v>2837</v>
      </c>
    </row>
    <row r="26" spans="1:30" s="3156" customFormat="1" ht="12.75">
      <c r="A26" s="3144" t="s">
        <v>2838</v>
      </c>
      <c r="B26" s="3145"/>
      <c r="C26" s="3146"/>
      <c r="D26" s="3146"/>
      <c r="E26" s="3146">
        <f t="shared" ref="E26:G26" si="43">ROUND(AVERAGEIF(E27:E42,"&lt;&gt;0"),2)</f>
        <v>0.38</v>
      </c>
      <c r="F26" s="3146">
        <f t="shared" si="43"/>
        <v>0.28999999999999998</v>
      </c>
      <c r="G26" s="3146">
        <f t="shared" si="43"/>
        <v>0.56999999999999995</v>
      </c>
      <c r="H26" s="3146"/>
      <c r="I26" s="3146">
        <f>F26</f>
        <v>0.28999999999999998</v>
      </c>
      <c r="J26" s="3147"/>
      <c r="K26" s="3148"/>
      <c r="L26" s="3149">
        <f t="shared" ref="L26:N26" si="44">ROUND(AVERAGEIF(L27:L42,"&lt;&gt;0"),4)</f>
        <v>3.8E-3</v>
      </c>
      <c r="M26" s="3149">
        <f t="shared" si="44"/>
        <v>2.8999999999999998E-3</v>
      </c>
      <c r="N26" s="3149">
        <f t="shared" si="44"/>
        <v>5.7000000000000002E-3</v>
      </c>
      <c r="O26" s="3149"/>
      <c r="P26" s="3149">
        <f>M26</f>
        <v>2.8999999999999998E-3</v>
      </c>
      <c r="Q26" s="3147"/>
      <c r="R26" s="3150"/>
      <c r="S26" s="3151">
        <f>ROUND(SUMPRODUCT(PRODUCT(1+L27:L42)),4)</f>
        <v>1.0502</v>
      </c>
      <c r="T26" s="3151">
        <f t="shared" ref="T26:U26" si="45">ROUND(SUMPRODUCT(PRODUCT(1+M27:M42)),4)</f>
        <v>1.0387999999999999</v>
      </c>
      <c r="U26" s="3151">
        <f t="shared" si="45"/>
        <v>1.0763</v>
      </c>
      <c r="V26" s="3151"/>
      <c r="W26" s="3150">
        <f>T26</f>
        <v>1.0387999999999999</v>
      </c>
      <c r="X26" s="3147"/>
      <c r="Y26" s="3152"/>
      <c r="Z26" s="3153">
        <f t="shared" ref="Z26:AB26" si="46">ROUND(AVERAGEIF(Z27:Z42,"&lt;&gt;0"),4)</f>
        <v>4.3E-3</v>
      </c>
      <c r="AA26" s="3154">
        <f t="shared" si="46"/>
        <v>3.5999999999999999E-3</v>
      </c>
      <c r="AB26" s="3152">
        <f t="shared" si="46"/>
        <v>8.8999999999999999E-3</v>
      </c>
      <c r="AC26" s="3155"/>
      <c r="AD26" s="3152">
        <f>AA26</f>
        <v>3.5999999999999999E-3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0" t="s">
        <v>3381</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1.0465</v>
      </c>
      <c r="T28" s="3178">
        <f>ROUND(IF(项目基本情况!$B$8="出让",SUMPRODUCT(PRODUCT(1+M28:M$42)),SUMPRODUCT(PRODUCT(1+M28:M$41))),4)</f>
        <v>1.0338000000000001</v>
      </c>
      <c r="U28" s="3178">
        <f>ROUND(IF(项目基本情况!$B$8="出让",SUMPRODUCT(PRODUCT(1+N28:N$42)),SUMPRODUCT(PRODUCT(1+N28:N$41))),4)</f>
        <v>1.0659000000000001</v>
      </c>
      <c r="V28" s="3178"/>
      <c r="W28" s="3178">
        <f>T28</f>
        <v>1.0338000000000001</v>
      </c>
      <c r="X28" s="3176"/>
      <c r="Y28" s="3179"/>
      <c r="Z28" s="3207">
        <f t="shared" ref="Z28:AB29" si="51">IF(E28=0,0,ROUND(AVERAGE(E28:E41)/100,4))</f>
        <v>0</v>
      </c>
      <c r="AA28" s="3207">
        <f t="shared" si="51"/>
        <v>0</v>
      </c>
      <c r="AB28" s="3207">
        <f t="shared" si="51"/>
        <v>0</v>
      </c>
      <c r="AC28" s="3208"/>
      <c r="AD28" s="3179">
        <f>IF(I28=0,0,ROUND(AVERAGE(I28:I41)/100,4))</f>
        <v>0</v>
      </c>
    </row>
    <row r="29" spans="1:30" s="3180" customFormat="1" ht="12.75">
      <c r="A29" s="2200" t="s">
        <v>3376</v>
      </c>
      <c r="B29" s="3172">
        <v>2024</v>
      </c>
      <c r="C29" s="3173">
        <v>2</v>
      </c>
      <c r="D29" s="3174"/>
      <c r="E29" s="3174">
        <v>0</v>
      </c>
      <c r="F29" s="3174">
        <v>0</v>
      </c>
      <c r="G29" s="3174">
        <v>0</v>
      </c>
      <c r="H29" s="3174"/>
      <c r="I29" s="3175">
        <f t="shared" ref="I29:I42" si="52">F29</f>
        <v>0</v>
      </c>
      <c r="J29" s="3176"/>
      <c r="K29" s="3177"/>
      <c r="L29" s="3167">
        <f t="shared" ref="L29:N42" si="53">E29/100</f>
        <v>0</v>
      </c>
      <c r="M29" s="3167">
        <f t="shared" si="53"/>
        <v>0</v>
      </c>
      <c r="N29" s="3167">
        <f t="shared" si="53"/>
        <v>0</v>
      </c>
      <c r="O29" s="3167"/>
      <c r="P29" s="3167">
        <f>M29</f>
        <v>0</v>
      </c>
      <c r="Q29" s="3176"/>
      <c r="R29" s="3178"/>
      <c r="S29" s="3178">
        <f>ROUND(IF(项目基本情况!$B$8="出让",SUMPRODUCT(PRODUCT(1+L29:L$42)),SUMPRODUCT(PRODUCT(1+L29:L$41))),4)</f>
        <v>1.0465</v>
      </c>
      <c r="T29" s="3178">
        <f>ROUND(IF(项目基本情况!$B$8="出让",SUMPRODUCT(PRODUCT(1+M29:M$42)),SUMPRODUCT(PRODUCT(1+M29:M$41))),4)</f>
        <v>1.0338000000000001</v>
      </c>
      <c r="U29" s="3178">
        <f>ROUND(IF(项目基本情况!$B$8="出让",SUMPRODUCT(PRODUCT(1+N29:N$42)),SUMPRODUCT(PRODUCT(1+N29:N$41))),4)</f>
        <v>1.0659000000000001</v>
      </c>
      <c r="V29" s="3178"/>
      <c r="W29" s="3178">
        <f>T29</f>
        <v>1.0338000000000001</v>
      </c>
      <c r="X29" s="3176"/>
      <c r="Y29" s="3179"/>
      <c r="Z29" s="3207">
        <f t="shared" si="51"/>
        <v>0</v>
      </c>
      <c r="AA29" s="3207">
        <f t="shared" si="51"/>
        <v>0</v>
      </c>
      <c r="AB29" s="3207">
        <f t="shared" si="51"/>
        <v>0</v>
      </c>
      <c r="AC29" s="3208"/>
      <c r="AD29" s="3179">
        <f>IF(I29=0,0,ROUND(AVERAGE(I29:I42)/100,4))</f>
        <v>0</v>
      </c>
    </row>
    <row r="30" spans="1:30" s="3190" customFormat="1" ht="12.75">
      <c r="A30" s="3181" t="s">
        <v>3378</v>
      </c>
      <c r="B30" s="3182">
        <v>2024</v>
      </c>
      <c r="C30" s="3183">
        <v>1</v>
      </c>
      <c r="D30" s="3184"/>
      <c r="E30" s="3184">
        <v>0.25</v>
      </c>
      <c r="F30" s="3184">
        <v>0.4</v>
      </c>
      <c r="G30" s="3184">
        <v>-0.63</v>
      </c>
      <c r="H30" s="3185"/>
      <c r="I30" s="3186">
        <f t="shared" ref="I30:I31" si="54">F30</f>
        <v>0.4</v>
      </c>
      <c r="J30" s="3187"/>
      <c r="K30" s="3188"/>
      <c r="L30" s="3189">
        <f t="shared" ref="L30" si="55">E30/100</f>
        <v>2.5000000000000001E-3</v>
      </c>
      <c r="M30" s="3189">
        <f t="shared" ref="M30" si="56">F30/100</f>
        <v>4.0000000000000001E-3</v>
      </c>
      <c r="N30" s="3189">
        <f t="shared" ref="N30" si="57">G30/100</f>
        <v>-6.3E-3</v>
      </c>
      <c r="O30" s="3189"/>
      <c r="P30" s="3189">
        <f t="shared" ref="P30" si="58">M30</f>
        <v>4.0000000000000001E-3</v>
      </c>
      <c r="Q30" s="3187"/>
      <c r="R30" s="3187"/>
      <c r="S30" s="3187">
        <f>ROUND(IF(项目基本情况!$B$8="出让",SUMPRODUCT(PRODUCT(1+L30:L$42)),SUMPRODUCT(PRODUCT(1+L30:L$41))),4)</f>
        <v>1.0465</v>
      </c>
      <c r="T30" s="3187">
        <f>ROUND(IF(项目基本情况!$B$8="出让",SUMPRODUCT(PRODUCT(1+M30:M$42)),SUMPRODUCT(PRODUCT(1+M30:M$41))),4)</f>
        <v>1.0338000000000001</v>
      </c>
      <c r="U30" s="3187">
        <f>ROUND(IF(项目基本情况!$B$8="出让",SUMPRODUCT(PRODUCT(1+N30:N$42)),SUMPRODUCT(PRODUCT(1+N30:N$41))),4)</f>
        <v>1.0659000000000001</v>
      </c>
      <c r="V30" s="3187"/>
      <c r="W30" s="3187">
        <f t="shared" ref="W30" si="59">T30</f>
        <v>1.0338000000000001</v>
      </c>
      <c r="X30" s="3187"/>
      <c r="Y30" s="3189"/>
      <c r="Z30" s="3210"/>
      <c r="AA30" s="3211"/>
      <c r="AB30" s="3189"/>
      <c r="AC30" s="3212"/>
      <c r="AD30" s="3189"/>
    </row>
    <row r="31" spans="1:30" s="3180" customFormat="1" ht="12.75">
      <c r="A31" s="3171" t="s">
        <v>3380</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3377</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3375</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3371</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3370</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3367</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3357</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2839</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2840</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2841</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2842</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2828</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2" t="s">
        <v>3369</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8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8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8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9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78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8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8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9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8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8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8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8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8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8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8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8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8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8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8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8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8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8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8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8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8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8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8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8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8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8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8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8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8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8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8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8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8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8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8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8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8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8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8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8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8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8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8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8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8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8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8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8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8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8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8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8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8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8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8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8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8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8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8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8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8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8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8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8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45493</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2313</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3.5"/>
  <sheetData/>
  <phoneticPr fontId="13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I16" sqref="I16"/>
    </sheetView>
  </sheetViews>
  <sheetFormatPr defaultRowHeight="13.5"/>
  <cols>
    <col min="1" max="1" width="61.125" customWidth="1"/>
    <col min="3" max="3" width="27.75" customWidth="1"/>
    <col min="10" max="10" width="0" hidden="1" customWidth="1"/>
    <col min="11" max="11" width="15.625" hidden="1" customWidth="1"/>
    <col min="12" max="12" width="13.25" customWidth="1"/>
  </cols>
  <sheetData>
    <row r="1" spans="1:20" ht="14.25">
      <c r="A1" s="3791" t="s">
        <v>3422</v>
      </c>
      <c r="B1" s="3791" t="s">
        <v>3423</v>
      </c>
      <c r="C1" s="3791" t="s">
        <v>3424</v>
      </c>
      <c r="D1" s="3791" t="s">
        <v>3425</v>
      </c>
      <c r="E1" s="3791" t="s">
        <v>3426</v>
      </c>
      <c r="F1" s="3791" t="s">
        <v>3427</v>
      </c>
      <c r="G1" s="3791" t="s">
        <v>3428</v>
      </c>
      <c r="H1" s="3791" t="s">
        <v>3429</v>
      </c>
      <c r="I1" s="3791" t="s">
        <v>3430</v>
      </c>
      <c r="J1" s="3791" t="s">
        <v>3431</v>
      </c>
      <c r="K1" s="3791" t="s">
        <v>3432</v>
      </c>
      <c r="L1" s="3791" t="s">
        <v>3433</v>
      </c>
      <c r="M1" s="3791" t="s">
        <v>3434</v>
      </c>
      <c r="N1" s="3791" t="s">
        <v>3435</v>
      </c>
      <c r="O1" s="3791" t="s">
        <v>3436</v>
      </c>
      <c r="P1" s="3791" t="s">
        <v>3437</v>
      </c>
      <c r="Q1" s="3791" t="s">
        <v>3438</v>
      </c>
      <c r="R1" s="3791" t="s">
        <v>3439</v>
      </c>
      <c r="S1" s="3791" t="s">
        <v>3440</v>
      </c>
      <c r="T1" s="3791" t="s">
        <v>3441</v>
      </c>
    </row>
    <row r="2" spans="1:20" ht="14.25">
      <c r="A2" s="3791" t="s">
        <v>3442</v>
      </c>
      <c r="B2" s="3791" t="s">
        <v>3384</v>
      </c>
      <c r="C2" s="3791" t="s">
        <v>3443</v>
      </c>
      <c r="D2" s="3791" t="s">
        <v>3444</v>
      </c>
      <c r="E2" s="3791">
        <v>9632.01</v>
      </c>
      <c r="F2" s="3791">
        <v>15025.93</v>
      </c>
      <c r="G2" s="3791">
        <v>1.56</v>
      </c>
      <c r="H2" s="3791" t="s">
        <v>3445</v>
      </c>
      <c r="I2" s="3791" t="s">
        <v>3446</v>
      </c>
      <c r="J2" s="3791" t="s">
        <v>3447</v>
      </c>
      <c r="K2" s="3792">
        <v>45189.000497685185</v>
      </c>
      <c r="L2" s="3792">
        <v>45189.000497685185</v>
      </c>
      <c r="M2" s="3791" t="s">
        <v>3448</v>
      </c>
      <c r="N2" s="3791" t="s">
        <v>3449</v>
      </c>
      <c r="O2" s="3791">
        <v>13700</v>
      </c>
      <c r="P2" s="3791">
        <v>3000</v>
      </c>
      <c r="Q2" s="3791" t="s">
        <v>3450</v>
      </c>
      <c r="R2" s="3791">
        <v>13700</v>
      </c>
      <c r="S2" s="3791">
        <v>9118</v>
      </c>
      <c r="T2" s="3791">
        <v>0</v>
      </c>
    </row>
    <row r="3" spans="1:20" s="3448" customFormat="1" ht="14.25">
      <c r="A3" s="3795" t="s">
        <v>3451</v>
      </c>
      <c r="B3" s="3795" t="s">
        <v>3384</v>
      </c>
      <c r="C3" s="3795" t="s">
        <v>3452</v>
      </c>
      <c r="D3" s="3795" t="s">
        <v>3444</v>
      </c>
      <c r="E3" s="3795">
        <v>15459.22</v>
      </c>
      <c r="F3" s="3795">
        <v>52599.12</v>
      </c>
      <c r="G3" s="3795" t="s">
        <v>3453</v>
      </c>
      <c r="H3" s="3795" t="s">
        <v>3445</v>
      </c>
      <c r="I3" s="3795" t="s">
        <v>3454</v>
      </c>
      <c r="J3" s="3795" t="s">
        <v>3447</v>
      </c>
      <c r="K3" s="3796">
        <v>45114.000497685185</v>
      </c>
      <c r="L3" s="3796">
        <v>45114.000497685185</v>
      </c>
      <c r="M3" s="3795" t="s">
        <v>3448</v>
      </c>
      <c r="N3" s="3795" t="s">
        <v>3449</v>
      </c>
      <c r="O3" s="3795">
        <v>53100</v>
      </c>
      <c r="P3" s="3795">
        <v>11000</v>
      </c>
      <c r="Q3" s="3795" t="s">
        <v>633</v>
      </c>
      <c r="R3" s="3795">
        <v>53100</v>
      </c>
      <c r="S3" s="3795">
        <v>10095</v>
      </c>
      <c r="T3" s="3795">
        <v>0</v>
      </c>
    </row>
    <row r="4" spans="1:20" ht="14.25">
      <c r="A4" s="3791" t="s">
        <v>3455</v>
      </c>
      <c r="B4" s="3791" t="s">
        <v>3384</v>
      </c>
      <c r="C4" s="3791" t="s">
        <v>3456</v>
      </c>
      <c r="D4" s="3791" t="s">
        <v>3444</v>
      </c>
      <c r="E4" s="3791">
        <v>101190.07</v>
      </c>
      <c r="F4" s="3791">
        <v>198291</v>
      </c>
      <c r="G4" s="3791" t="s">
        <v>3457</v>
      </c>
      <c r="H4" s="3791" t="s">
        <v>3445</v>
      </c>
      <c r="I4" s="3791" t="s">
        <v>3446</v>
      </c>
      <c r="J4" s="3791" t="s">
        <v>3447</v>
      </c>
      <c r="K4" s="3792">
        <v>45089.000497685185</v>
      </c>
      <c r="L4" s="3792">
        <v>45089.000497685185</v>
      </c>
      <c r="M4" s="3791" t="s">
        <v>3448</v>
      </c>
      <c r="N4" s="3791" t="s">
        <v>3458</v>
      </c>
      <c r="O4" s="3791">
        <v>100000</v>
      </c>
      <c r="P4" s="3791">
        <v>20000</v>
      </c>
      <c r="Q4" s="3791" t="s">
        <v>633</v>
      </c>
      <c r="R4" s="3791">
        <v>100000</v>
      </c>
      <c r="S4" s="3791">
        <v>5043</v>
      </c>
      <c r="T4" s="3791">
        <v>0</v>
      </c>
    </row>
    <row r="5" spans="1:20" s="3447" customFormat="1" ht="14.25">
      <c r="A5" s="3793" t="s">
        <v>3459</v>
      </c>
      <c r="B5" s="3793" t="s">
        <v>3384</v>
      </c>
      <c r="C5" s="3793" t="s">
        <v>3460</v>
      </c>
      <c r="D5" s="3793" t="s">
        <v>3444</v>
      </c>
      <c r="E5" s="3793">
        <v>5500.65</v>
      </c>
      <c r="F5" s="3793">
        <v>15401.81</v>
      </c>
      <c r="G5" s="3793" t="s">
        <v>3461</v>
      </c>
      <c r="H5" s="3793" t="s">
        <v>3445</v>
      </c>
      <c r="I5" s="3793" t="s">
        <v>3462</v>
      </c>
      <c r="J5" s="3793" t="s">
        <v>3447</v>
      </c>
      <c r="K5" s="3794">
        <v>45030.000497685185</v>
      </c>
      <c r="L5" s="3794">
        <v>45030.000497685185</v>
      </c>
      <c r="M5" s="3793" t="s">
        <v>3448</v>
      </c>
      <c r="N5" s="3793" t="s">
        <v>3463</v>
      </c>
      <c r="O5" s="3793">
        <v>17000</v>
      </c>
      <c r="P5" s="3793">
        <v>4000</v>
      </c>
      <c r="Q5" s="3793" t="s">
        <v>633</v>
      </c>
      <c r="R5" s="3793">
        <v>17000</v>
      </c>
      <c r="S5" s="3793">
        <v>11038</v>
      </c>
      <c r="T5" s="3793">
        <v>0</v>
      </c>
    </row>
    <row r="6" spans="1:20" ht="14.25" hidden="1">
      <c r="A6" s="3791" t="s">
        <v>3464</v>
      </c>
      <c r="B6" s="3791" t="s">
        <v>3384</v>
      </c>
      <c r="C6" s="3791" t="s">
        <v>3465</v>
      </c>
      <c r="D6" s="3791" t="s">
        <v>3444</v>
      </c>
      <c r="E6" s="3791">
        <v>82500</v>
      </c>
      <c r="F6" s="3791">
        <v>165000</v>
      </c>
      <c r="G6" s="3791">
        <v>2</v>
      </c>
      <c r="H6" s="3791" t="s">
        <v>3445</v>
      </c>
      <c r="I6" s="3791" t="s">
        <v>3466</v>
      </c>
      <c r="J6" s="3791" t="s">
        <v>3447</v>
      </c>
      <c r="K6" s="3792">
        <v>45012.000497685185</v>
      </c>
      <c r="L6" s="3792">
        <v>45012.000497685185</v>
      </c>
      <c r="M6" s="3791" t="s">
        <v>3448</v>
      </c>
      <c r="N6" s="3791" t="s">
        <v>3467</v>
      </c>
      <c r="O6" s="3791">
        <v>260700</v>
      </c>
      <c r="P6" s="3791">
        <v>78000</v>
      </c>
      <c r="Q6" s="3791" t="s">
        <v>633</v>
      </c>
      <c r="R6" s="3791">
        <v>260700</v>
      </c>
      <c r="S6" s="3791">
        <v>15800</v>
      </c>
      <c r="T6" s="3791">
        <v>0</v>
      </c>
    </row>
    <row r="7" spans="1:20" ht="14.25" hidden="1">
      <c r="A7" s="3791" t="s">
        <v>3468</v>
      </c>
      <c r="B7" s="3791" t="s">
        <v>3384</v>
      </c>
      <c r="C7" s="3791" t="s">
        <v>3469</v>
      </c>
      <c r="D7" s="3791" t="s">
        <v>3444</v>
      </c>
      <c r="E7" s="3791">
        <v>4800</v>
      </c>
      <c r="F7" s="3791">
        <v>1920</v>
      </c>
      <c r="G7" s="3791" t="s">
        <v>3470</v>
      </c>
      <c r="H7" s="3791" t="s">
        <v>3445</v>
      </c>
      <c r="I7" s="3791" t="s">
        <v>3471</v>
      </c>
      <c r="J7" s="3791" t="s">
        <v>3447</v>
      </c>
      <c r="K7" s="3792">
        <v>44945.000497685185</v>
      </c>
      <c r="L7" s="3792">
        <v>44945.000497685185</v>
      </c>
      <c r="M7" s="3791" t="s">
        <v>3448</v>
      </c>
      <c r="N7" s="3791" t="s">
        <v>3472</v>
      </c>
      <c r="O7" s="3791">
        <v>5800</v>
      </c>
      <c r="P7" s="3791">
        <v>1200</v>
      </c>
      <c r="Q7" s="3791" t="s">
        <v>3473</v>
      </c>
      <c r="R7" s="3791">
        <v>5800</v>
      </c>
      <c r="S7" s="3791">
        <v>30208</v>
      </c>
      <c r="T7" s="3791">
        <v>0</v>
      </c>
    </row>
    <row r="8" spans="1:20" ht="14.25">
      <c r="A8" s="3791" t="s">
        <v>3474</v>
      </c>
      <c r="B8" s="3791" t="s">
        <v>3384</v>
      </c>
      <c r="C8" s="3791" t="s">
        <v>3475</v>
      </c>
      <c r="D8" s="3791" t="s">
        <v>3444</v>
      </c>
      <c r="E8" s="3791">
        <v>10000</v>
      </c>
      <c r="F8" s="3791">
        <v>22000</v>
      </c>
      <c r="G8" s="3791" t="s">
        <v>3476</v>
      </c>
      <c r="H8" s="3791" t="s">
        <v>3445</v>
      </c>
      <c r="I8" s="3791" t="s">
        <v>3446</v>
      </c>
      <c r="J8" s="3791" t="s">
        <v>3447</v>
      </c>
      <c r="K8" s="3792">
        <v>44795.000497685185</v>
      </c>
      <c r="L8" s="3792">
        <v>44795.000497685185</v>
      </c>
      <c r="M8" s="3791" t="s">
        <v>3448</v>
      </c>
      <c r="N8" s="3791" t="s">
        <v>3477</v>
      </c>
      <c r="O8" s="3791">
        <v>36400</v>
      </c>
      <c r="P8" s="3791">
        <v>7300</v>
      </c>
      <c r="Q8" s="3791" t="s">
        <v>3478</v>
      </c>
      <c r="R8" s="3791">
        <v>36400</v>
      </c>
      <c r="S8" s="3791">
        <v>16545</v>
      </c>
      <c r="T8" s="3791">
        <v>0</v>
      </c>
    </row>
    <row r="9" spans="1:20" ht="14.25">
      <c r="A9" s="3791" t="s">
        <v>3479</v>
      </c>
      <c r="B9" s="3791" t="s">
        <v>3384</v>
      </c>
      <c r="C9" s="3791" t="s">
        <v>3480</v>
      </c>
      <c r="D9" s="3791" t="s">
        <v>3444</v>
      </c>
      <c r="E9" s="3791">
        <v>5500</v>
      </c>
      <c r="F9" s="3791">
        <v>12100</v>
      </c>
      <c r="G9" s="3791" t="s">
        <v>3476</v>
      </c>
      <c r="H9" s="3791" t="s">
        <v>3445</v>
      </c>
      <c r="I9" s="3791" t="s">
        <v>3446</v>
      </c>
      <c r="J9" s="3791" t="s">
        <v>3447</v>
      </c>
      <c r="K9" s="3792">
        <v>44796.000497685185</v>
      </c>
      <c r="L9" s="3792">
        <v>44796.000497685185</v>
      </c>
      <c r="M9" s="3791" t="s">
        <v>3448</v>
      </c>
      <c r="N9" s="3791" t="s">
        <v>3481</v>
      </c>
      <c r="O9" s="3791">
        <v>20000</v>
      </c>
      <c r="P9" s="3791">
        <v>4000</v>
      </c>
      <c r="Q9" s="3791" t="s">
        <v>3478</v>
      </c>
      <c r="R9" s="3791">
        <v>20000</v>
      </c>
      <c r="S9" s="3791">
        <v>16529</v>
      </c>
      <c r="T9" s="3791">
        <v>0</v>
      </c>
    </row>
    <row r="10" spans="1:20" ht="14.25">
      <c r="A10" s="3791" t="s">
        <v>3482</v>
      </c>
      <c r="B10" s="3791" t="s">
        <v>3384</v>
      </c>
      <c r="C10" s="3791" t="s">
        <v>3483</v>
      </c>
      <c r="D10" s="3791" t="s">
        <v>3444</v>
      </c>
      <c r="E10" s="3791">
        <v>16122.82</v>
      </c>
      <c r="F10" s="3791">
        <v>45143.91</v>
      </c>
      <c r="G10" s="3791" t="s">
        <v>3461</v>
      </c>
      <c r="H10" s="3791" t="s">
        <v>3445</v>
      </c>
      <c r="I10" s="3791" t="s">
        <v>3446</v>
      </c>
      <c r="J10" s="3791" t="s">
        <v>3447</v>
      </c>
      <c r="K10" s="3792">
        <v>44761.000497685185</v>
      </c>
      <c r="L10" s="3792">
        <v>44761.000497685185</v>
      </c>
      <c r="M10" s="3791" t="s">
        <v>3448</v>
      </c>
      <c r="N10" s="3791" t="s">
        <v>3484</v>
      </c>
      <c r="O10" s="3791">
        <v>76000</v>
      </c>
      <c r="P10" s="3791">
        <v>16000</v>
      </c>
      <c r="Q10" s="3791" t="s">
        <v>3485</v>
      </c>
      <c r="R10" s="3791">
        <v>76000</v>
      </c>
      <c r="S10" s="3791">
        <v>16835</v>
      </c>
      <c r="T10" s="3791">
        <v>0</v>
      </c>
    </row>
    <row r="11" spans="1:20" ht="14.25">
      <c r="A11" s="3791" t="s">
        <v>3486</v>
      </c>
      <c r="B11" s="3791" t="s">
        <v>3384</v>
      </c>
      <c r="C11" s="3791" t="s">
        <v>3487</v>
      </c>
      <c r="D11" s="3791" t="s">
        <v>3444</v>
      </c>
      <c r="E11" s="3791">
        <v>17308.8</v>
      </c>
      <c r="F11" s="3791">
        <v>86544</v>
      </c>
      <c r="G11" s="3791" t="s">
        <v>3488</v>
      </c>
      <c r="H11" s="3791" t="s">
        <v>3445</v>
      </c>
      <c r="I11" s="3791" t="s">
        <v>3446</v>
      </c>
      <c r="J11" s="3791" t="s">
        <v>3447</v>
      </c>
      <c r="K11" s="3792">
        <v>44735.000497685185</v>
      </c>
      <c r="L11" s="3792">
        <v>44735.000497685185</v>
      </c>
      <c r="M11" s="3791" t="s">
        <v>3448</v>
      </c>
      <c r="N11" s="3791" t="s">
        <v>3489</v>
      </c>
      <c r="O11" s="3791">
        <v>91400</v>
      </c>
      <c r="P11" s="3791">
        <v>18300</v>
      </c>
      <c r="Q11" s="3791" t="s">
        <v>3490</v>
      </c>
      <c r="R11" s="3791">
        <v>91400</v>
      </c>
      <c r="S11" s="3791">
        <v>10561</v>
      </c>
      <c r="T11" s="3791">
        <v>0</v>
      </c>
    </row>
    <row r="12" spans="1:20" ht="14.25">
      <c r="A12" s="3791" t="s">
        <v>3491</v>
      </c>
      <c r="B12" s="3791" t="s">
        <v>3384</v>
      </c>
      <c r="C12" s="3791" t="s">
        <v>3492</v>
      </c>
      <c r="D12" s="3791" t="s">
        <v>3444</v>
      </c>
      <c r="E12" s="3791">
        <v>59169.74</v>
      </c>
      <c r="F12" s="3791">
        <v>130173.43</v>
      </c>
      <c r="G12" s="3791" t="s">
        <v>3476</v>
      </c>
      <c r="H12" s="3791" t="s">
        <v>3445</v>
      </c>
      <c r="I12" s="3791" t="s">
        <v>3446</v>
      </c>
      <c r="J12" s="3791" t="s">
        <v>3447</v>
      </c>
      <c r="K12" s="3792">
        <v>44680.000497685185</v>
      </c>
      <c r="L12" s="3792">
        <v>44680.000497685185</v>
      </c>
      <c r="M12" s="3791" t="s">
        <v>3448</v>
      </c>
      <c r="N12" s="3791" t="s">
        <v>3493</v>
      </c>
      <c r="O12" s="3791">
        <v>131600</v>
      </c>
      <c r="P12" s="3791">
        <v>27000</v>
      </c>
      <c r="Q12" s="3791" t="s">
        <v>3494</v>
      </c>
      <c r="R12" s="3791">
        <v>131600</v>
      </c>
      <c r="S12" s="3791">
        <v>10110</v>
      </c>
      <c r="T12" s="3791">
        <v>0</v>
      </c>
    </row>
    <row r="13" spans="1:20" ht="14.25">
      <c r="A13" s="3791" t="s">
        <v>3495</v>
      </c>
      <c r="B13" s="3791" t="s">
        <v>3384</v>
      </c>
      <c r="C13" s="3791" t="s">
        <v>3496</v>
      </c>
      <c r="D13" s="3791" t="s">
        <v>3444</v>
      </c>
      <c r="E13" s="3791">
        <v>12066.9</v>
      </c>
      <c r="F13" s="3791">
        <v>18100.349999999999</v>
      </c>
      <c r="G13" s="3791">
        <v>1.5</v>
      </c>
      <c r="H13" s="3791" t="s">
        <v>3445</v>
      </c>
      <c r="I13" s="3791" t="s">
        <v>3462</v>
      </c>
      <c r="J13" s="3791" t="s">
        <v>3447</v>
      </c>
      <c r="K13" s="3792">
        <v>44621.000497685185</v>
      </c>
      <c r="L13" s="3792">
        <v>44621.000497685185</v>
      </c>
      <c r="M13" s="3791" t="s">
        <v>3448</v>
      </c>
      <c r="N13" s="3791" t="s">
        <v>3493</v>
      </c>
      <c r="O13" s="3791">
        <v>9400</v>
      </c>
      <c r="P13" s="3791">
        <v>1900</v>
      </c>
      <c r="Q13" s="3791" t="s">
        <v>633</v>
      </c>
      <c r="R13" s="3791">
        <v>9400</v>
      </c>
      <c r="S13" s="3791">
        <v>5193</v>
      </c>
      <c r="T13" s="3791">
        <v>0</v>
      </c>
    </row>
    <row r="14" spans="1:20" s="3448" customFormat="1" ht="14.25">
      <c r="A14" s="3795" t="s">
        <v>3497</v>
      </c>
      <c r="B14" s="3795" t="s">
        <v>3384</v>
      </c>
      <c r="C14" s="3795" t="s">
        <v>3498</v>
      </c>
      <c r="D14" s="3795" t="s">
        <v>3444</v>
      </c>
      <c r="E14" s="3795">
        <v>15178.6</v>
      </c>
      <c r="F14" s="3795">
        <v>45535.8</v>
      </c>
      <c r="G14" s="3795">
        <v>3</v>
      </c>
      <c r="H14" s="3795" t="s">
        <v>3445</v>
      </c>
      <c r="I14" s="3795" t="s">
        <v>3446</v>
      </c>
      <c r="J14" s="3795" t="s">
        <v>3447</v>
      </c>
      <c r="K14" s="3796">
        <v>44600.000497685185</v>
      </c>
      <c r="L14" s="3796">
        <v>44600.000497685185</v>
      </c>
      <c r="M14" s="3795" t="s">
        <v>3448</v>
      </c>
      <c r="N14" s="3795" t="s">
        <v>3499</v>
      </c>
      <c r="O14" s="3795">
        <v>58400</v>
      </c>
      <c r="P14" s="3795">
        <v>11700</v>
      </c>
      <c r="Q14" s="3795" t="s">
        <v>633</v>
      </c>
      <c r="R14" s="3795">
        <v>58400</v>
      </c>
      <c r="S14" s="3795">
        <v>12825</v>
      </c>
      <c r="T14" s="3795">
        <v>0</v>
      </c>
    </row>
    <row r="15" spans="1:20" s="3447" customFormat="1" ht="14.25">
      <c r="A15" s="3793" t="s">
        <v>3500</v>
      </c>
      <c r="B15" s="3793" t="s">
        <v>3384</v>
      </c>
      <c r="C15" s="3793" t="s">
        <v>3501</v>
      </c>
      <c r="D15" s="3793" t="s">
        <v>3444</v>
      </c>
      <c r="E15" s="3793">
        <v>29991.73</v>
      </c>
      <c r="F15" s="3793">
        <v>119966.93</v>
      </c>
      <c r="G15" s="3793">
        <v>4</v>
      </c>
      <c r="H15" s="3793" t="s">
        <v>3445</v>
      </c>
      <c r="I15" s="3793" t="s">
        <v>3446</v>
      </c>
      <c r="J15" s="3793" t="s">
        <v>3447</v>
      </c>
      <c r="K15" s="3794">
        <v>44566.000497685185</v>
      </c>
      <c r="L15" s="3794">
        <v>44566.000497685185</v>
      </c>
      <c r="M15" s="3793" t="s">
        <v>3448</v>
      </c>
      <c r="N15" s="3793" t="s">
        <v>3502</v>
      </c>
      <c r="O15" s="3793">
        <v>165300</v>
      </c>
      <c r="P15" s="3793">
        <v>33100</v>
      </c>
      <c r="Q15" s="3793" t="s">
        <v>633</v>
      </c>
      <c r="R15" s="3793">
        <v>165300</v>
      </c>
      <c r="S15" s="3793">
        <v>13779</v>
      </c>
      <c r="T15" s="3793">
        <v>0</v>
      </c>
    </row>
    <row r="16" spans="1:20" s="3447" customFormat="1" ht="14.25">
      <c r="A16" s="3793" t="s">
        <v>3503</v>
      </c>
      <c r="B16" s="3793" t="s">
        <v>3384</v>
      </c>
      <c r="C16" s="3793" t="s">
        <v>3504</v>
      </c>
      <c r="D16" s="3793" t="s">
        <v>3444</v>
      </c>
      <c r="E16" s="3793">
        <v>15197.52</v>
      </c>
      <c r="F16" s="3793">
        <v>30395.05</v>
      </c>
      <c r="G16" s="3793">
        <v>2</v>
      </c>
      <c r="H16" s="3793" t="s">
        <v>3445</v>
      </c>
      <c r="I16" s="3793" t="s">
        <v>3505</v>
      </c>
      <c r="J16" s="3793" t="s">
        <v>3506</v>
      </c>
      <c r="K16" s="3794">
        <v>44554.000497685185</v>
      </c>
      <c r="L16" s="3794">
        <v>44554.000497685185</v>
      </c>
      <c r="M16" s="3793" t="s">
        <v>3448</v>
      </c>
      <c r="N16" s="3793" t="s">
        <v>3507</v>
      </c>
      <c r="O16" s="3793">
        <v>42600</v>
      </c>
      <c r="P16" s="3793">
        <v>8600</v>
      </c>
      <c r="Q16" s="3793" t="s">
        <v>3508</v>
      </c>
      <c r="R16" s="3793">
        <v>42600</v>
      </c>
      <c r="S16" s="3793">
        <v>14015</v>
      </c>
      <c r="T16" s="3793">
        <v>0</v>
      </c>
    </row>
    <row r="17" spans="1:20" ht="14.25">
      <c r="A17" s="3791" t="s">
        <v>3509</v>
      </c>
      <c r="B17" s="3791" t="s">
        <v>3384</v>
      </c>
      <c r="C17" s="3791" t="s">
        <v>3510</v>
      </c>
      <c r="D17" s="3791" t="s">
        <v>3444</v>
      </c>
      <c r="E17" s="3791">
        <v>204418.11</v>
      </c>
      <c r="F17" s="3791">
        <v>302000</v>
      </c>
      <c r="G17" s="3791">
        <v>1.5</v>
      </c>
      <c r="H17" s="3791" t="s">
        <v>3445</v>
      </c>
      <c r="I17" s="3791" t="s">
        <v>3446</v>
      </c>
      <c r="J17" s="3791" t="s">
        <v>3447</v>
      </c>
      <c r="K17" s="3792">
        <v>44495.000497685185</v>
      </c>
      <c r="L17" s="3792">
        <v>44495.000497685185</v>
      </c>
      <c r="M17" s="3791" t="s">
        <v>3448</v>
      </c>
      <c r="N17" s="3791" t="s">
        <v>3511</v>
      </c>
      <c r="O17" s="3791">
        <v>506700</v>
      </c>
      <c r="P17" s="3791">
        <v>101400</v>
      </c>
      <c r="Q17" s="3791" t="s">
        <v>3512</v>
      </c>
      <c r="R17" s="3791">
        <v>506700</v>
      </c>
      <c r="S17" s="3791">
        <v>16778</v>
      </c>
      <c r="T17" s="3791">
        <v>0</v>
      </c>
    </row>
    <row r="18" spans="1:20" ht="14.25" hidden="1">
      <c r="A18" s="3791" t="s">
        <v>3513</v>
      </c>
      <c r="B18" s="3791" t="s">
        <v>3384</v>
      </c>
      <c r="C18" s="3791" t="s">
        <v>3514</v>
      </c>
      <c r="D18" s="3791" t="s">
        <v>3444</v>
      </c>
      <c r="E18" s="3791">
        <v>17147.95</v>
      </c>
      <c r="F18" s="3791">
        <v>53158.65</v>
      </c>
      <c r="G18" s="3791" t="s">
        <v>3515</v>
      </c>
      <c r="H18" s="3791" t="s">
        <v>3445</v>
      </c>
      <c r="I18" s="3791" t="s">
        <v>3516</v>
      </c>
      <c r="J18" s="3791" t="s">
        <v>3447</v>
      </c>
      <c r="K18" s="3792">
        <v>44335.000497685185</v>
      </c>
      <c r="L18" s="3792">
        <v>44335.000497685185</v>
      </c>
      <c r="M18" s="3791" t="s">
        <v>3448</v>
      </c>
      <c r="N18" s="3791" t="s">
        <v>3517</v>
      </c>
      <c r="O18" s="3791">
        <v>69200</v>
      </c>
      <c r="P18" s="3791">
        <v>14000</v>
      </c>
      <c r="Q18" s="3791" t="s">
        <v>633</v>
      </c>
      <c r="R18" s="3791">
        <v>69200</v>
      </c>
      <c r="S18" s="3791">
        <v>13018</v>
      </c>
      <c r="T18" s="3791">
        <v>0</v>
      </c>
    </row>
    <row r="19" spans="1:20" ht="14.25" hidden="1">
      <c r="A19" s="3791" t="s">
        <v>3518</v>
      </c>
      <c r="B19" s="3791" t="s">
        <v>3384</v>
      </c>
      <c r="C19" s="3791" t="s">
        <v>3519</v>
      </c>
      <c r="D19" s="3791" t="s">
        <v>3444</v>
      </c>
      <c r="E19" s="3791">
        <v>22058.78</v>
      </c>
      <c r="F19" s="3791">
        <v>47390</v>
      </c>
      <c r="G19" s="3791" t="s">
        <v>3520</v>
      </c>
      <c r="H19" s="3791" t="s">
        <v>3445</v>
      </c>
      <c r="I19" s="3791" t="s">
        <v>3446</v>
      </c>
      <c r="J19" s="3791" t="s">
        <v>3447</v>
      </c>
      <c r="K19" s="3792">
        <v>44234.000497685185</v>
      </c>
      <c r="L19" s="3792">
        <v>44234.000497685185</v>
      </c>
      <c r="M19" s="3791" t="s">
        <v>3448</v>
      </c>
      <c r="N19" s="3791" t="s">
        <v>3521</v>
      </c>
      <c r="O19" s="3791">
        <v>32700</v>
      </c>
      <c r="P19" s="3791">
        <v>6600</v>
      </c>
      <c r="Q19" s="3791" t="s">
        <v>633</v>
      </c>
      <c r="R19" s="3791">
        <v>32700</v>
      </c>
      <c r="S19" s="3791">
        <v>6900</v>
      </c>
      <c r="T19" s="3791">
        <v>0</v>
      </c>
    </row>
    <row r="20" spans="1:20" ht="14.25" hidden="1">
      <c r="A20" s="3791" t="s">
        <v>3522</v>
      </c>
      <c r="B20" s="3791" t="s">
        <v>3384</v>
      </c>
      <c r="C20" s="3791" t="s">
        <v>3523</v>
      </c>
      <c r="D20" s="3791" t="s">
        <v>3444</v>
      </c>
      <c r="E20" s="3791">
        <v>25224.15</v>
      </c>
      <c r="F20" s="3791">
        <v>75672.45</v>
      </c>
      <c r="G20" s="3791" t="s">
        <v>3524</v>
      </c>
      <c r="H20" s="3791" t="s">
        <v>3445</v>
      </c>
      <c r="I20" s="3791" t="s">
        <v>3446</v>
      </c>
      <c r="J20" s="3791" t="s">
        <v>3447</v>
      </c>
      <c r="K20" s="3792">
        <v>44193.000497685185</v>
      </c>
      <c r="L20" s="3792">
        <v>44193.000497685185</v>
      </c>
      <c r="M20" s="3791" t="s">
        <v>3448</v>
      </c>
      <c r="N20" s="3791" t="s">
        <v>3525</v>
      </c>
      <c r="O20" s="3791">
        <v>60800</v>
      </c>
      <c r="P20" s="3791">
        <v>12200</v>
      </c>
      <c r="Q20" s="3791" t="s">
        <v>3526</v>
      </c>
      <c r="R20" s="3791">
        <v>60800</v>
      </c>
      <c r="S20" s="3791">
        <v>8035</v>
      </c>
      <c r="T20" s="3791">
        <v>0</v>
      </c>
    </row>
    <row r="21" spans="1:20" ht="14.25" hidden="1">
      <c r="A21" s="3791" t="s">
        <v>3527</v>
      </c>
      <c r="B21" s="3791" t="s">
        <v>3384</v>
      </c>
      <c r="C21" s="3791" t="s">
        <v>3528</v>
      </c>
      <c r="D21" s="3791" t="s">
        <v>3444</v>
      </c>
      <c r="E21" s="3791">
        <v>265269.8</v>
      </c>
      <c r="F21" s="3791">
        <v>665975.69999999995</v>
      </c>
      <c r="G21" s="3791" t="s">
        <v>3529</v>
      </c>
      <c r="H21" s="3791" t="s">
        <v>3445</v>
      </c>
      <c r="I21" s="3791" t="s">
        <v>3446</v>
      </c>
      <c r="J21" s="3791" t="s">
        <v>3447</v>
      </c>
      <c r="K21" s="3792">
        <v>44046.000497685185</v>
      </c>
      <c r="L21" s="3792">
        <v>44046.000497685185</v>
      </c>
      <c r="M21" s="3791" t="s">
        <v>3448</v>
      </c>
      <c r="N21" s="3791" t="s">
        <v>3530</v>
      </c>
      <c r="O21" s="3791">
        <v>699300</v>
      </c>
      <c r="P21" s="3791">
        <v>139900</v>
      </c>
      <c r="Q21" s="3791" t="s">
        <v>3531</v>
      </c>
      <c r="R21" s="3791">
        <v>699300</v>
      </c>
      <c r="S21" s="3791">
        <v>10500</v>
      </c>
      <c r="T21" s="3791">
        <v>0</v>
      </c>
    </row>
    <row r="22" spans="1:20" ht="14.25" hidden="1">
      <c r="A22" s="3791" t="s">
        <v>3532</v>
      </c>
      <c r="B22" s="3791" t="s">
        <v>3384</v>
      </c>
      <c r="C22" s="3791" t="s">
        <v>3533</v>
      </c>
      <c r="D22" s="3791" t="s">
        <v>3444</v>
      </c>
      <c r="E22" s="3791">
        <v>28003.32</v>
      </c>
      <c r="F22" s="3791">
        <v>70008</v>
      </c>
      <c r="G22" s="3791" t="s">
        <v>3534</v>
      </c>
      <c r="H22" s="3791" t="s">
        <v>3445</v>
      </c>
      <c r="I22" s="3791" t="s">
        <v>3446</v>
      </c>
      <c r="J22" s="3791" t="s">
        <v>3447</v>
      </c>
      <c r="K22" s="3792">
        <v>43755.000497685185</v>
      </c>
      <c r="L22" s="3792">
        <v>43755.000497685185</v>
      </c>
      <c r="M22" s="3791" t="s">
        <v>3448</v>
      </c>
      <c r="N22" s="3791" t="s">
        <v>3535</v>
      </c>
      <c r="O22" s="3791">
        <v>96800</v>
      </c>
      <c r="P22" s="3791">
        <v>19500</v>
      </c>
      <c r="Q22" s="3791" t="s">
        <v>3536</v>
      </c>
      <c r="R22" s="3791">
        <v>97800</v>
      </c>
      <c r="S22" s="3791">
        <v>13970</v>
      </c>
      <c r="T22" s="3791">
        <v>1.03</v>
      </c>
    </row>
    <row r="23" spans="1:20" ht="14.25" hidden="1">
      <c r="A23" s="3791" t="s">
        <v>3537</v>
      </c>
      <c r="B23" s="3791" t="s">
        <v>3384</v>
      </c>
      <c r="C23" s="3791" t="s">
        <v>3538</v>
      </c>
      <c r="D23" s="3791" t="s">
        <v>3444</v>
      </c>
      <c r="E23" s="3791">
        <v>42276.47</v>
      </c>
      <c r="F23" s="3791">
        <v>84552.93</v>
      </c>
      <c r="G23" s="3791" t="s">
        <v>3539</v>
      </c>
      <c r="H23" s="3791" t="s">
        <v>3445</v>
      </c>
      <c r="I23" s="3791" t="s">
        <v>3462</v>
      </c>
      <c r="J23" s="3791" t="s">
        <v>3447</v>
      </c>
      <c r="K23" s="3792">
        <v>43706.000497685185</v>
      </c>
      <c r="L23" s="3792">
        <v>43706.000497685185</v>
      </c>
      <c r="M23" s="3791" t="s">
        <v>3448</v>
      </c>
      <c r="N23" s="3791" t="s">
        <v>3540</v>
      </c>
      <c r="O23" s="3791">
        <v>95000</v>
      </c>
      <c r="P23" s="3791">
        <v>19000</v>
      </c>
      <c r="Q23" s="3791" t="s">
        <v>3541</v>
      </c>
      <c r="R23" s="3791">
        <v>96500</v>
      </c>
      <c r="S23" s="3791">
        <v>11413</v>
      </c>
      <c r="T23" s="3791">
        <v>1.58</v>
      </c>
    </row>
    <row r="24" spans="1:20" ht="14.25" hidden="1">
      <c r="A24" s="3791" t="s">
        <v>3542</v>
      </c>
      <c r="B24" s="3791" t="s">
        <v>3384</v>
      </c>
      <c r="C24" s="3791" t="s">
        <v>3543</v>
      </c>
      <c r="D24" s="3791" t="s">
        <v>3444</v>
      </c>
      <c r="E24" s="3791">
        <v>51736.9</v>
      </c>
      <c r="F24" s="3791">
        <v>81600.05</v>
      </c>
      <c r="G24" s="3791" t="s">
        <v>3544</v>
      </c>
      <c r="H24" s="3791" t="s">
        <v>3445</v>
      </c>
      <c r="I24" s="3791" t="s">
        <v>3446</v>
      </c>
      <c r="J24" s="3791" t="s">
        <v>3447</v>
      </c>
      <c r="K24" s="3792">
        <v>43613.000497685185</v>
      </c>
      <c r="L24" s="3792">
        <v>43613.000497685185</v>
      </c>
      <c r="M24" s="3791" t="s">
        <v>3448</v>
      </c>
      <c r="N24" s="3791" t="s">
        <v>3545</v>
      </c>
      <c r="O24" s="3791">
        <v>150000</v>
      </c>
      <c r="P24" s="3791">
        <v>30000</v>
      </c>
      <c r="Q24" s="3791" t="s">
        <v>633</v>
      </c>
      <c r="R24" s="3791">
        <v>150000</v>
      </c>
      <c r="S24" s="3791">
        <v>18382</v>
      </c>
      <c r="T24" s="3791">
        <v>0</v>
      </c>
    </row>
    <row r="25" spans="1:20" ht="14.25" hidden="1">
      <c r="A25" s="3791" t="s">
        <v>3546</v>
      </c>
      <c r="B25" s="3791" t="s">
        <v>3384</v>
      </c>
      <c r="C25" s="3791" t="s">
        <v>3547</v>
      </c>
      <c r="D25" s="3791" t="s">
        <v>3444</v>
      </c>
      <c r="E25" s="3791">
        <v>113768</v>
      </c>
      <c r="F25" s="3791">
        <v>119494</v>
      </c>
      <c r="G25" s="3791">
        <v>1.05</v>
      </c>
      <c r="H25" s="3791" t="s">
        <v>3445</v>
      </c>
      <c r="I25" s="3791" t="s">
        <v>3446</v>
      </c>
      <c r="J25" s="3791" t="s">
        <v>3447</v>
      </c>
      <c r="K25" s="3792">
        <v>43270.000497685185</v>
      </c>
      <c r="L25" s="3792">
        <v>43270.000497685185</v>
      </c>
      <c r="M25" s="3791" t="s">
        <v>3448</v>
      </c>
      <c r="N25" s="3791" t="s">
        <v>3548</v>
      </c>
      <c r="O25" s="3791" t="s">
        <v>3549</v>
      </c>
      <c r="P25" s="3791">
        <v>22000</v>
      </c>
      <c r="Q25" s="3791" t="s">
        <v>633</v>
      </c>
      <c r="R25" s="3791">
        <v>74000</v>
      </c>
      <c r="S25" s="3791">
        <v>6193</v>
      </c>
      <c r="T25" s="3791">
        <v>0</v>
      </c>
    </row>
    <row r="26" spans="1:20" ht="14.25" hidden="1">
      <c r="A26" s="3791" t="s">
        <v>3550</v>
      </c>
      <c r="B26" s="3791" t="s">
        <v>3384</v>
      </c>
      <c r="C26" s="3791" t="s">
        <v>3551</v>
      </c>
      <c r="D26" s="3791" t="s">
        <v>3444</v>
      </c>
      <c r="E26" s="3791">
        <v>33071.620000000003</v>
      </c>
      <c r="F26" s="3791">
        <v>122423.9</v>
      </c>
      <c r="G26" s="3791">
        <v>3.7</v>
      </c>
      <c r="H26" s="3791" t="s">
        <v>3445</v>
      </c>
      <c r="I26" s="3791" t="s">
        <v>3552</v>
      </c>
      <c r="J26" s="3791" t="s">
        <v>3447</v>
      </c>
      <c r="K26" s="3792">
        <v>43265.000497685185</v>
      </c>
      <c r="L26" s="3792">
        <v>43265.000497685185</v>
      </c>
      <c r="M26" s="3791" t="s">
        <v>3448</v>
      </c>
      <c r="N26" s="3791" t="s">
        <v>3553</v>
      </c>
      <c r="O26" s="3791">
        <v>183000</v>
      </c>
      <c r="P26" s="3791">
        <v>55000</v>
      </c>
      <c r="Q26" s="3791" t="s">
        <v>633</v>
      </c>
      <c r="R26" s="3791">
        <v>183000</v>
      </c>
      <c r="S26" s="3791">
        <v>14948</v>
      </c>
      <c r="T26" s="3791">
        <v>0</v>
      </c>
    </row>
    <row r="27" spans="1:20" ht="14.25" hidden="1">
      <c r="A27" s="3791" t="s">
        <v>3554</v>
      </c>
      <c r="B27" s="3791" t="s">
        <v>3384</v>
      </c>
      <c r="C27" s="3791" t="s">
        <v>3555</v>
      </c>
      <c r="D27" s="3791" t="s">
        <v>3444</v>
      </c>
      <c r="E27" s="3791">
        <v>66237.2</v>
      </c>
      <c r="F27" s="3791">
        <v>264058.7</v>
      </c>
      <c r="G27" s="3791">
        <v>3.99</v>
      </c>
      <c r="H27" s="3791" t="s">
        <v>3445</v>
      </c>
      <c r="I27" s="3791" t="s">
        <v>3552</v>
      </c>
      <c r="J27" s="3791" t="s">
        <v>3447</v>
      </c>
      <c r="K27" s="3792">
        <v>42955.000497685185</v>
      </c>
      <c r="L27" s="3792">
        <v>42955.000497685185</v>
      </c>
      <c r="M27" s="3791" t="s">
        <v>3448</v>
      </c>
      <c r="N27" s="3791" t="s">
        <v>3556</v>
      </c>
      <c r="O27" s="3791">
        <v>385000</v>
      </c>
      <c r="P27" s="3791">
        <v>115500</v>
      </c>
      <c r="Q27" s="3791" t="s">
        <v>633</v>
      </c>
      <c r="R27" s="3791">
        <v>385000</v>
      </c>
      <c r="S27" s="3791">
        <v>14580</v>
      </c>
      <c r="T27" s="3791">
        <v>0</v>
      </c>
    </row>
    <row r="28" spans="1:20" ht="14.25" hidden="1">
      <c r="A28" s="3791" t="s">
        <v>3557</v>
      </c>
      <c r="B28" s="3791" t="s">
        <v>3384</v>
      </c>
      <c r="C28" s="3791" t="s">
        <v>3558</v>
      </c>
      <c r="D28" s="3791" t="s">
        <v>3444</v>
      </c>
      <c r="E28" s="3791">
        <v>35230.230000000003</v>
      </c>
      <c r="F28" s="3791">
        <v>88076</v>
      </c>
      <c r="G28" s="3791">
        <v>2.5</v>
      </c>
      <c r="H28" s="3791" t="s">
        <v>3445</v>
      </c>
      <c r="I28" s="3791" t="s">
        <v>3446</v>
      </c>
      <c r="J28" s="3791" t="s">
        <v>3447</v>
      </c>
      <c r="K28" s="3792">
        <v>42867.000497685185</v>
      </c>
      <c r="L28" s="3792">
        <v>42867.000497685185</v>
      </c>
      <c r="M28" s="3791" t="s">
        <v>3448</v>
      </c>
      <c r="N28" s="3791" t="s">
        <v>3559</v>
      </c>
      <c r="O28" s="3791">
        <v>62000</v>
      </c>
      <c r="P28" s="3791">
        <v>18600</v>
      </c>
      <c r="Q28" s="3791" t="s">
        <v>633</v>
      </c>
      <c r="R28" s="3791">
        <v>62000</v>
      </c>
      <c r="S28" s="3791">
        <v>7039</v>
      </c>
      <c r="T28" s="3791">
        <v>0</v>
      </c>
    </row>
    <row r="29" spans="1:20" ht="14.25" hidden="1">
      <c r="A29" s="3791" t="s">
        <v>3560</v>
      </c>
      <c r="B29" s="3791" t="s">
        <v>3384</v>
      </c>
      <c r="C29" s="3791" t="s">
        <v>3561</v>
      </c>
      <c r="D29" s="3791" t="s">
        <v>3444</v>
      </c>
      <c r="E29" s="3791">
        <v>120885</v>
      </c>
      <c r="F29" s="3791">
        <v>256512</v>
      </c>
      <c r="G29" s="3791">
        <v>2.12</v>
      </c>
      <c r="H29" s="3791" t="s">
        <v>3445</v>
      </c>
      <c r="I29" s="3791" t="s">
        <v>3562</v>
      </c>
      <c r="J29" s="3791" t="s">
        <v>3447</v>
      </c>
      <c r="K29" s="3792">
        <v>42860.000497685185</v>
      </c>
      <c r="L29" s="3792">
        <v>42860.000497685185</v>
      </c>
      <c r="M29" s="3791" t="s">
        <v>3448</v>
      </c>
      <c r="N29" s="3791" t="s">
        <v>3563</v>
      </c>
      <c r="O29" s="3791">
        <v>250000</v>
      </c>
      <c r="P29" s="3791">
        <v>75000</v>
      </c>
      <c r="Q29" s="3791" t="s">
        <v>633</v>
      </c>
      <c r="R29" s="3791">
        <v>250000</v>
      </c>
      <c r="S29" s="3791">
        <v>9746</v>
      </c>
      <c r="T29" s="3791">
        <v>0</v>
      </c>
    </row>
    <row r="30" spans="1:20" ht="14.25" hidden="1">
      <c r="A30" s="3791" t="s">
        <v>3564</v>
      </c>
      <c r="B30" s="3791" t="s">
        <v>3384</v>
      </c>
      <c r="C30" s="3791" t="s">
        <v>3565</v>
      </c>
      <c r="D30" s="3791" t="s">
        <v>3444</v>
      </c>
      <c r="E30" s="3791">
        <v>18303.330000000002</v>
      </c>
      <c r="F30" s="3791">
        <v>58571</v>
      </c>
      <c r="G30" s="3791">
        <v>3.2</v>
      </c>
      <c r="H30" s="3791" t="s">
        <v>3445</v>
      </c>
      <c r="I30" s="3791" t="s">
        <v>3446</v>
      </c>
      <c r="J30" s="3791" t="s">
        <v>3447</v>
      </c>
      <c r="K30" s="3792">
        <v>42831.000497685185</v>
      </c>
      <c r="L30" s="3792">
        <v>42831.000497685185</v>
      </c>
      <c r="M30" s="3791" t="s">
        <v>3448</v>
      </c>
      <c r="N30" s="3791" t="s">
        <v>3566</v>
      </c>
      <c r="O30" s="3791">
        <v>79600</v>
      </c>
      <c r="P30" s="3791">
        <v>24000</v>
      </c>
      <c r="Q30" s="3791" t="s">
        <v>633</v>
      </c>
      <c r="R30" s="3791">
        <v>129000</v>
      </c>
      <c r="S30" s="3791">
        <v>22025</v>
      </c>
      <c r="T30" s="3791">
        <v>62.06</v>
      </c>
    </row>
    <row r="31" spans="1:20" ht="14.25" hidden="1">
      <c r="A31" s="3791" t="s">
        <v>3567</v>
      </c>
      <c r="B31" s="3791" t="s">
        <v>3384</v>
      </c>
      <c r="C31" s="3791" t="s">
        <v>3568</v>
      </c>
      <c r="D31" s="3791" t="s">
        <v>3444</v>
      </c>
      <c r="E31" s="3791">
        <v>29183.54</v>
      </c>
      <c r="F31" s="3791">
        <v>72959</v>
      </c>
      <c r="G31" s="3791">
        <v>2.5</v>
      </c>
      <c r="H31" s="3791" t="s">
        <v>3445</v>
      </c>
      <c r="I31" s="3791" t="s">
        <v>3446</v>
      </c>
      <c r="J31" s="3791" t="s">
        <v>3447</v>
      </c>
      <c r="K31" s="3792">
        <v>42824.000497685185</v>
      </c>
      <c r="L31" s="3792">
        <v>42824.000497685185</v>
      </c>
      <c r="M31" s="3791" t="s">
        <v>3448</v>
      </c>
      <c r="N31" s="3791" t="s">
        <v>3569</v>
      </c>
      <c r="O31" s="3791">
        <v>83000</v>
      </c>
      <c r="P31" s="3791">
        <v>25000</v>
      </c>
      <c r="Q31" s="3791" t="s">
        <v>633</v>
      </c>
      <c r="R31" s="3791">
        <v>106000</v>
      </c>
      <c r="S31" s="3791">
        <v>14529</v>
      </c>
      <c r="T31" s="3791">
        <v>27.71</v>
      </c>
    </row>
    <row r="32" spans="1:20" ht="14.25" hidden="1">
      <c r="A32" s="3791" t="s">
        <v>3570</v>
      </c>
      <c r="B32" s="3791" t="s">
        <v>3384</v>
      </c>
      <c r="C32" s="3791" t="s">
        <v>3571</v>
      </c>
      <c r="D32" s="3791" t="s">
        <v>3444</v>
      </c>
      <c r="E32" s="3791">
        <v>23639.39</v>
      </c>
      <c r="F32" s="3791">
        <v>75646</v>
      </c>
      <c r="G32" s="3791">
        <v>3.2</v>
      </c>
      <c r="H32" s="3791" t="s">
        <v>3445</v>
      </c>
      <c r="I32" s="3791" t="s">
        <v>3446</v>
      </c>
      <c r="J32" s="3791" t="s">
        <v>3447</v>
      </c>
      <c r="K32" s="3792">
        <v>42724.000497685185</v>
      </c>
      <c r="L32" s="3792">
        <v>42724.000497685185</v>
      </c>
      <c r="M32" s="3791" t="s">
        <v>3448</v>
      </c>
      <c r="N32" s="3791" t="s">
        <v>3572</v>
      </c>
      <c r="O32" s="3791">
        <v>102000</v>
      </c>
      <c r="P32" s="3791">
        <v>30600</v>
      </c>
      <c r="Q32" s="3791" t="s">
        <v>633</v>
      </c>
      <c r="R32" s="3791">
        <v>103020</v>
      </c>
      <c r="S32" s="3791">
        <v>13619</v>
      </c>
      <c r="T32" s="3791">
        <v>1</v>
      </c>
    </row>
    <row r="33" spans="1:20" ht="14.25" hidden="1">
      <c r="A33" s="3791" t="s">
        <v>3573</v>
      </c>
      <c r="B33" s="3791" t="s">
        <v>3384</v>
      </c>
      <c r="C33" s="3791" t="s">
        <v>3574</v>
      </c>
      <c r="D33" s="3791" t="s">
        <v>3444</v>
      </c>
      <c r="E33" s="3791">
        <v>85709</v>
      </c>
      <c r="F33" s="3791">
        <v>179122</v>
      </c>
      <c r="G33" s="3791">
        <v>2.09</v>
      </c>
      <c r="H33" s="3791" t="s">
        <v>3445</v>
      </c>
      <c r="I33" s="3791" t="s">
        <v>3575</v>
      </c>
      <c r="J33" s="3791" t="s">
        <v>3447</v>
      </c>
      <c r="K33" s="3792">
        <v>42702.000497685185</v>
      </c>
      <c r="L33" s="3792">
        <v>42702.000497685185</v>
      </c>
      <c r="M33" s="3791" t="s">
        <v>3448</v>
      </c>
      <c r="N33" s="3791" t="s">
        <v>3576</v>
      </c>
      <c r="O33" s="3791">
        <v>126000</v>
      </c>
      <c r="P33" s="3791">
        <v>38000</v>
      </c>
      <c r="Q33" s="3791" t="s">
        <v>633</v>
      </c>
      <c r="R33" s="3791">
        <v>378000</v>
      </c>
      <c r="S33" s="3791">
        <v>21103</v>
      </c>
      <c r="T33" s="3791">
        <v>200</v>
      </c>
    </row>
    <row r="34" spans="1:20" ht="14.25" hidden="1">
      <c r="A34" s="3791" t="s">
        <v>3577</v>
      </c>
      <c r="B34" s="3791" t="s">
        <v>3384</v>
      </c>
      <c r="C34" s="3791" t="s">
        <v>3578</v>
      </c>
      <c r="D34" s="3791" t="s">
        <v>3444</v>
      </c>
      <c r="E34" s="3791">
        <v>10384</v>
      </c>
      <c r="F34" s="3791">
        <v>25960</v>
      </c>
      <c r="G34" s="3791">
        <v>2.5</v>
      </c>
      <c r="H34" s="3791" t="s">
        <v>3445</v>
      </c>
      <c r="I34" s="3791" t="s">
        <v>3462</v>
      </c>
      <c r="J34" s="3791" t="s">
        <v>3447</v>
      </c>
      <c r="K34" s="3792">
        <v>42702.000497685185</v>
      </c>
      <c r="L34" s="3792">
        <v>42702.000497685185</v>
      </c>
      <c r="M34" s="3791" t="s">
        <v>3448</v>
      </c>
      <c r="N34" s="3791" t="s">
        <v>3579</v>
      </c>
      <c r="O34" s="3791">
        <v>51300</v>
      </c>
      <c r="P34" s="3791">
        <v>15500</v>
      </c>
      <c r="Q34" s="3791" t="s">
        <v>633</v>
      </c>
      <c r="R34" s="3791">
        <v>51300</v>
      </c>
      <c r="S34" s="3791">
        <v>19761</v>
      </c>
      <c r="T34" s="3791">
        <v>0</v>
      </c>
    </row>
    <row r="35" spans="1:20" ht="14.25" hidden="1">
      <c r="A35" s="3791" t="s">
        <v>3580</v>
      </c>
      <c r="B35" s="3791" t="s">
        <v>3384</v>
      </c>
      <c r="C35" s="3791" t="s">
        <v>3581</v>
      </c>
      <c r="D35" s="3791" t="s">
        <v>3444</v>
      </c>
      <c r="E35" s="3791">
        <v>8466</v>
      </c>
      <c r="F35" s="3791">
        <v>21165</v>
      </c>
      <c r="G35" s="3791">
        <v>2.5</v>
      </c>
      <c r="H35" s="3791" t="s">
        <v>3445</v>
      </c>
      <c r="I35" s="3791" t="s">
        <v>3462</v>
      </c>
      <c r="J35" s="3791" t="s">
        <v>3447</v>
      </c>
      <c r="K35" s="3792">
        <v>42614.000497685185</v>
      </c>
      <c r="L35" s="3792">
        <v>42614.000497685185</v>
      </c>
      <c r="M35" s="3791" t="s">
        <v>3448</v>
      </c>
      <c r="N35" s="3791" t="s">
        <v>3582</v>
      </c>
      <c r="O35" s="3791">
        <v>40600</v>
      </c>
      <c r="P35" s="3791">
        <v>12200</v>
      </c>
      <c r="Q35" s="3791" t="s">
        <v>633</v>
      </c>
      <c r="R35" s="3791">
        <v>42000</v>
      </c>
      <c r="S35" s="3791">
        <v>19844</v>
      </c>
      <c r="T35" s="3791">
        <v>3.45</v>
      </c>
    </row>
    <row r="36" spans="1:20" ht="14.25" hidden="1">
      <c r="A36" s="3791" t="s">
        <v>3583</v>
      </c>
      <c r="B36" s="3791" t="s">
        <v>3384</v>
      </c>
      <c r="C36" s="3791" t="s">
        <v>3584</v>
      </c>
      <c r="D36" s="3791" t="s">
        <v>3444</v>
      </c>
      <c r="E36" s="3791">
        <v>2070793</v>
      </c>
      <c r="F36" s="3791">
        <v>1642730</v>
      </c>
      <c r="G36" s="3791">
        <v>0.79</v>
      </c>
      <c r="H36" s="3791" t="s">
        <v>3445</v>
      </c>
      <c r="I36" s="3791" t="s">
        <v>3585</v>
      </c>
      <c r="J36" s="3791" t="s">
        <v>3447</v>
      </c>
      <c r="K36" s="3792">
        <v>42558.000497685185</v>
      </c>
      <c r="L36" s="3792">
        <v>42558.000497685185</v>
      </c>
      <c r="M36" s="3791" t="s">
        <v>3448</v>
      </c>
      <c r="N36" s="3791" t="s">
        <v>3586</v>
      </c>
      <c r="O36" s="3791">
        <v>870000</v>
      </c>
      <c r="P36" s="3791">
        <v>220000</v>
      </c>
      <c r="Q36" s="3791" t="s">
        <v>633</v>
      </c>
      <c r="R36" s="3791">
        <v>870000</v>
      </c>
      <c r="S36" s="3791">
        <v>5296</v>
      </c>
      <c r="T36" s="3791">
        <v>0</v>
      </c>
    </row>
    <row r="37" spans="1:20" ht="14.25" hidden="1">
      <c r="A37" s="3791" t="s">
        <v>3587</v>
      </c>
      <c r="B37" s="3791" t="s">
        <v>3384</v>
      </c>
      <c r="C37" s="3791" t="s">
        <v>3588</v>
      </c>
      <c r="D37" s="3791" t="s">
        <v>3444</v>
      </c>
      <c r="E37" s="3791">
        <v>33619.79</v>
      </c>
      <c r="F37" s="3791">
        <v>134479</v>
      </c>
      <c r="G37" s="3791">
        <v>4</v>
      </c>
      <c r="H37" s="3791" t="s">
        <v>3445</v>
      </c>
      <c r="I37" s="3791" t="s">
        <v>3462</v>
      </c>
      <c r="J37" s="3791" t="s">
        <v>3447</v>
      </c>
      <c r="K37" s="3792">
        <v>42495.000497685185</v>
      </c>
      <c r="L37" s="3792">
        <v>42495.000497685185</v>
      </c>
      <c r="M37" s="3791" t="s">
        <v>3448</v>
      </c>
      <c r="N37" s="3791" t="s">
        <v>3589</v>
      </c>
      <c r="O37" s="3791">
        <v>153000</v>
      </c>
      <c r="P37" s="3791">
        <v>46000</v>
      </c>
      <c r="Q37" s="3791" t="s">
        <v>633</v>
      </c>
      <c r="R37" s="3791">
        <v>334000</v>
      </c>
      <c r="S37" s="3791">
        <v>24837</v>
      </c>
      <c r="T37" s="3791">
        <v>118.3</v>
      </c>
    </row>
    <row r="38" spans="1:20" ht="14.25" hidden="1">
      <c r="A38" s="3791" t="s">
        <v>3590</v>
      </c>
      <c r="B38" s="3791" t="s">
        <v>3384</v>
      </c>
      <c r="C38" s="3791" t="s">
        <v>3591</v>
      </c>
      <c r="D38" s="3791" t="s">
        <v>3444</v>
      </c>
      <c r="E38" s="3791">
        <v>71916.58</v>
      </c>
      <c r="F38" s="3791">
        <v>107875</v>
      </c>
      <c r="G38" s="3791">
        <v>1.5</v>
      </c>
      <c r="H38" s="3791" t="s">
        <v>3445</v>
      </c>
      <c r="I38" s="3791" t="s">
        <v>3446</v>
      </c>
      <c r="J38" s="3791" t="s">
        <v>3447</v>
      </c>
      <c r="K38" s="3792">
        <v>42426.000497685185</v>
      </c>
      <c r="L38" s="3792">
        <v>42426.000497685185</v>
      </c>
      <c r="M38" s="3791" t="s">
        <v>3448</v>
      </c>
      <c r="N38" s="3791" t="s">
        <v>3592</v>
      </c>
      <c r="O38" s="3791">
        <v>90000</v>
      </c>
      <c r="P38" s="3791">
        <v>27000</v>
      </c>
      <c r="Q38" s="3791" t="s">
        <v>633</v>
      </c>
      <c r="R38" s="3791">
        <v>181000</v>
      </c>
      <c r="S38" s="3791">
        <v>16779</v>
      </c>
      <c r="T38" s="3791">
        <v>101.11</v>
      </c>
    </row>
    <row r="39" spans="1:20" ht="14.25" hidden="1">
      <c r="A39" s="3791" t="s">
        <v>3593</v>
      </c>
      <c r="B39" s="3791" t="s">
        <v>3384</v>
      </c>
      <c r="C39" s="3791" t="s">
        <v>3594</v>
      </c>
      <c r="D39" s="3791" t="s">
        <v>3444</v>
      </c>
      <c r="E39" s="3791">
        <v>47919.26</v>
      </c>
      <c r="F39" s="3791">
        <v>143758</v>
      </c>
      <c r="G39" s="3791">
        <v>3</v>
      </c>
      <c r="H39" s="3791" t="s">
        <v>3445</v>
      </c>
      <c r="I39" s="3791" t="s">
        <v>3446</v>
      </c>
      <c r="J39" s="3791" t="s">
        <v>3447</v>
      </c>
      <c r="K39" s="3792">
        <v>42423.000497685185</v>
      </c>
      <c r="L39" s="3792">
        <v>42423.000497685185</v>
      </c>
      <c r="M39" s="3791" t="s">
        <v>3448</v>
      </c>
      <c r="N39" s="3791" t="s">
        <v>3592</v>
      </c>
      <c r="O39" s="3791">
        <v>120000</v>
      </c>
      <c r="P39" s="3791">
        <v>36000</v>
      </c>
      <c r="Q39" s="3791" t="s">
        <v>633</v>
      </c>
      <c r="R39" s="3791">
        <v>130000</v>
      </c>
      <c r="S39" s="3791">
        <v>9043</v>
      </c>
      <c r="T39" s="3791">
        <v>8.33</v>
      </c>
    </row>
    <row r="40" spans="1:20" ht="14.25" hidden="1">
      <c r="A40" s="3791" t="s">
        <v>3595</v>
      </c>
      <c r="B40" s="3791" t="s">
        <v>3384</v>
      </c>
      <c r="C40" s="3791" t="s">
        <v>3596</v>
      </c>
      <c r="D40" s="3791" t="s">
        <v>3444</v>
      </c>
      <c r="E40" s="3791">
        <v>61900.3</v>
      </c>
      <c r="F40" s="3791">
        <v>111421</v>
      </c>
      <c r="G40" s="3791">
        <v>1.8</v>
      </c>
      <c r="H40" s="3791" t="s">
        <v>3445</v>
      </c>
      <c r="I40" s="3791" t="s">
        <v>3446</v>
      </c>
      <c r="J40" s="3791" t="s">
        <v>3447</v>
      </c>
      <c r="K40" s="3792">
        <v>42361.000497685185</v>
      </c>
      <c r="L40" s="3792">
        <v>42361.000497685185</v>
      </c>
      <c r="M40" s="3791" t="s">
        <v>3448</v>
      </c>
      <c r="N40" s="3791" t="s">
        <v>3592</v>
      </c>
      <c r="O40" s="3791">
        <v>89500</v>
      </c>
      <c r="P40" s="3791">
        <v>27000</v>
      </c>
      <c r="Q40" s="3791" t="s">
        <v>633</v>
      </c>
      <c r="R40" s="3791">
        <v>197000</v>
      </c>
      <c r="S40" s="3791">
        <v>17681</v>
      </c>
      <c r="T40" s="3791">
        <v>120.11</v>
      </c>
    </row>
    <row r="41" spans="1:20" ht="14.25" hidden="1">
      <c r="A41" s="3791" t="s">
        <v>3597</v>
      </c>
      <c r="B41" s="3791" t="s">
        <v>3384</v>
      </c>
      <c r="C41" s="3791" t="s">
        <v>3598</v>
      </c>
      <c r="D41" s="3791" t="s">
        <v>3444</v>
      </c>
      <c r="E41" s="3791">
        <v>66594.820000000007</v>
      </c>
      <c r="F41" s="3791">
        <v>119871</v>
      </c>
      <c r="G41" s="3791">
        <v>1.8</v>
      </c>
      <c r="H41" s="3791" t="s">
        <v>3445</v>
      </c>
      <c r="I41" s="3791" t="s">
        <v>3446</v>
      </c>
      <c r="J41" s="3791" t="s">
        <v>3447</v>
      </c>
      <c r="K41" s="3792">
        <v>42361.000497685185</v>
      </c>
      <c r="L41" s="3792">
        <v>42361.000497685185</v>
      </c>
      <c r="M41" s="3791" t="s">
        <v>3448</v>
      </c>
      <c r="N41" s="3791" t="s">
        <v>3592</v>
      </c>
      <c r="O41" s="3791">
        <v>96000</v>
      </c>
      <c r="P41" s="3791">
        <v>29000</v>
      </c>
      <c r="Q41" s="3791" t="s">
        <v>633</v>
      </c>
      <c r="R41" s="3791">
        <v>196000</v>
      </c>
      <c r="S41" s="3791">
        <v>16351</v>
      </c>
      <c r="T41" s="3791">
        <v>104.17</v>
      </c>
    </row>
    <row r="42" spans="1:20" ht="14.25" hidden="1">
      <c r="A42" s="3791" t="s">
        <v>3599</v>
      </c>
      <c r="B42" s="3791" t="s">
        <v>3384</v>
      </c>
      <c r="C42" s="3791" t="s">
        <v>3600</v>
      </c>
      <c r="D42" s="3791" t="s">
        <v>3444</v>
      </c>
      <c r="E42" s="3791">
        <v>24464</v>
      </c>
      <c r="F42" s="3791">
        <v>48928</v>
      </c>
      <c r="G42" s="3791">
        <v>2</v>
      </c>
      <c r="H42" s="3791" t="s">
        <v>3445</v>
      </c>
      <c r="I42" s="3791" t="s">
        <v>3462</v>
      </c>
      <c r="J42" s="3791" t="s">
        <v>3447</v>
      </c>
      <c r="K42" s="3792">
        <v>42186.000497685185</v>
      </c>
      <c r="L42" s="3792">
        <v>42186.000497685185</v>
      </c>
      <c r="M42" s="3791" t="s">
        <v>3448</v>
      </c>
      <c r="N42" s="3791" t="s">
        <v>3601</v>
      </c>
      <c r="O42" s="3791">
        <v>28200</v>
      </c>
      <c r="P42" s="3791">
        <v>8500</v>
      </c>
      <c r="Q42" s="3791" t="s">
        <v>633</v>
      </c>
      <c r="R42" s="3791">
        <v>46800</v>
      </c>
      <c r="S42" s="3791">
        <v>9565</v>
      </c>
      <c r="T42" s="3791">
        <v>65.959999999999994</v>
      </c>
    </row>
    <row r="43" spans="1:20" ht="14.25" hidden="1">
      <c r="A43" s="3791" t="s">
        <v>3602</v>
      </c>
      <c r="B43" s="3791" t="s">
        <v>3384</v>
      </c>
      <c r="C43" s="3791" t="s">
        <v>3603</v>
      </c>
      <c r="D43" s="3791" t="s">
        <v>3444</v>
      </c>
      <c r="E43" s="3791">
        <v>38024.39</v>
      </c>
      <c r="F43" s="3791">
        <v>106468</v>
      </c>
      <c r="G43" s="3791">
        <v>2.8</v>
      </c>
      <c r="H43" s="3791" t="s">
        <v>3445</v>
      </c>
      <c r="I43" s="3791" t="s">
        <v>3604</v>
      </c>
      <c r="J43" s="3791" t="s">
        <v>3447</v>
      </c>
      <c r="K43" s="3792">
        <v>42185.000497685185</v>
      </c>
      <c r="L43" s="3792">
        <v>42185.000497685185</v>
      </c>
      <c r="M43" s="3791" t="s">
        <v>3448</v>
      </c>
      <c r="N43" s="3791" t="s">
        <v>3605</v>
      </c>
      <c r="O43" s="3791">
        <v>87000</v>
      </c>
      <c r="P43" s="3791">
        <v>26000</v>
      </c>
      <c r="Q43" s="3791" t="s">
        <v>633</v>
      </c>
      <c r="R43" s="3791">
        <v>97000</v>
      </c>
      <c r="S43" s="3791">
        <v>9111</v>
      </c>
      <c r="T43" s="3791">
        <v>11.49</v>
      </c>
    </row>
    <row r="44" spans="1:20" ht="14.25" hidden="1">
      <c r="A44" s="3791" t="s">
        <v>3606</v>
      </c>
      <c r="B44" s="3791" t="s">
        <v>3384</v>
      </c>
      <c r="C44" s="3791" t="s">
        <v>3607</v>
      </c>
      <c r="D44" s="3791" t="s">
        <v>3444</v>
      </c>
      <c r="E44" s="3791">
        <v>13920.77</v>
      </c>
      <c r="F44" s="3791">
        <v>16705</v>
      </c>
      <c r="G44" s="3791">
        <v>1.2</v>
      </c>
      <c r="H44" s="3791" t="s">
        <v>3445</v>
      </c>
      <c r="I44" s="3791" t="s">
        <v>3462</v>
      </c>
      <c r="J44" s="3791" t="s">
        <v>3447</v>
      </c>
      <c r="K44" s="3792">
        <v>42181.000497685185</v>
      </c>
      <c r="L44" s="3792">
        <v>42181.000497685185</v>
      </c>
      <c r="M44" s="3791" t="s">
        <v>3448</v>
      </c>
      <c r="N44" s="3791" t="s">
        <v>3608</v>
      </c>
      <c r="O44" s="3791">
        <v>10500</v>
      </c>
      <c r="P44" s="3791">
        <v>3200</v>
      </c>
      <c r="Q44" s="3791" t="s">
        <v>633</v>
      </c>
      <c r="R44" s="3791">
        <v>12200</v>
      </c>
      <c r="S44" s="3791">
        <v>7303</v>
      </c>
      <c r="T44" s="3791">
        <v>16.190000000000001</v>
      </c>
    </row>
    <row r="45" spans="1:20" ht="14.25" hidden="1">
      <c r="A45" s="3791" t="s">
        <v>3609</v>
      </c>
      <c r="B45" s="3791" t="s">
        <v>3384</v>
      </c>
      <c r="C45" s="3791" t="s">
        <v>3610</v>
      </c>
      <c r="D45" s="3791" t="s">
        <v>3444</v>
      </c>
      <c r="E45" s="3791">
        <v>65873.39</v>
      </c>
      <c r="F45" s="3791">
        <v>164683</v>
      </c>
      <c r="G45" s="3791">
        <v>2.5</v>
      </c>
      <c r="H45" s="3791" t="s">
        <v>3445</v>
      </c>
      <c r="I45" s="3791" t="s">
        <v>3604</v>
      </c>
      <c r="J45" s="3791" t="s">
        <v>3447</v>
      </c>
      <c r="K45" s="3792">
        <v>42087.000497685185</v>
      </c>
      <c r="L45" s="3792">
        <v>42087.000497685185</v>
      </c>
      <c r="M45" s="3791" t="s">
        <v>3448</v>
      </c>
      <c r="N45" s="3791" t="s">
        <v>3611</v>
      </c>
      <c r="O45" s="3791">
        <v>78000</v>
      </c>
      <c r="P45" s="3791">
        <v>23500</v>
      </c>
      <c r="Q45" s="3791" t="s">
        <v>633</v>
      </c>
      <c r="R45" s="3791">
        <v>108000</v>
      </c>
      <c r="S45" s="3791">
        <v>6558</v>
      </c>
      <c r="T45" s="3791">
        <v>38.46</v>
      </c>
    </row>
    <row r="46" spans="1:20" ht="14.25" hidden="1">
      <c r="A46" s="3791" t="s">
        <v>3612</v>
      </c>
      <c r="B46" s="3791" t="s">
        <v>3384</v>
      </c>
      <c r="C46" s="3791" t="s">
        <v>3613</v>
      </c>
      <c r="D46" s="3791" t="s">
        <v>3444</v>
      </c>
      <c r="E46" s="3791">
        <v>47100</v>
      </c>
      <c r="F46" s="3791">
        <v>450000</v>
      </c>
      <c r="G46" s="3791">
        <v>9.5500000000000007</v>
      </c>
      <c r="H46" s="3791" t="s">
        <v>3614</v>
      </c>
      <c r="I46" s="3791" t="s">
        <v>3446</v>
      </c>
      <c r="J46" s="3791" t="s">
        <v>3447</v>
      </c>
      <c r="K46" s="3792">
        <v>42020.000497685185</v>
      </c>
      <c r="L46" s="3792">
        <v>42020.000497685185</v>
      </c>
      <c r="M46" s="3791" t="s">
        <v>3448</v>
      </c>
      <c r="N46" s="3791" t="s">
        <v>3615</v>
      </c>
      <c r="O46" s="3791" t="s">
        <v>3549</v>
      </c>
      <c r="P46" s="3791">
        <v>150000</v>
      </c>
      <c r="Q46" s="3791" t="s">
        <v>633</v>
      </c>
      <c r="R46" s="3791">
        <v>503990</v>
      </c>
      <c r="S46" s="3791">
        <v>11200</v>
      </c>
      <c r="T46" s="3791">
        <v>0</v>
      </c>
    </row>
    <row r="47" spans="1:20" ht="14.25" hidden="1">
      <c r="A47" s="3791" t="s">
        <v>3616</v>
      </c>
      <c r="B47" s="3791" t="s">
        <v>3384</v>
      </c>
      <c r="C47" s="3791" t="s">
        <v>3617</v>
      </c>
      <c r="D47" s="3791" t="s">
        <v>3444</v>
      </c>
      <c r="E47" s="3791">
        <v>6189.23</v>
      </c>
      <c r="F47" s="3791">
        <v>6189</v>
      </c>
      <c r="G47" s="3791">
        <v>1</v>
      </c>
      <c r="H47" s="3791" t="s">
        <v>3445</v>
      </c>
      <c r="I47" s="3791" t="s">
        <v>3618</v>
      </c>
      <c r="J47" s="3791" t="s">
        <v>3447</v>
      </c>
      <c r="K47" s="3792">
        <v>42011.000497685185</v>
      </c>
      <c r="L47" s="3792">
        <v>42011.000497685185</v>
      </c>
      <c r="M47" s="3791" t="s">
        <v>3448</v>
      </c>
      <c r="N47" s="3791" t="s">
        <v>3619</v>
      </c>
      <c r="O47" s="3791">
        <v>7500</v>
      </c>
      <c r="P47" s="3791">
        <v>2300</v>
      </c>
      <c r="Q47" s="3791" t="s">
        <v>633</v>
      </c>
      <c r="R47" s="3791">
        <v>12900</v>
      </c>
      <c r="S47" s="3791">
        <v>20843</v>
      </c>
      <c r="T47" s="3791">
        <v>72</v>
      </c>
    </row>
    <row r="48" spans="1:20" ht="14.25" hidden="1">
      <c r="A48" s="3791" t="s">
        <v>3620</v>
      </c>
      <c r="B48" s="3791" t="s">
        <v>3384</v>
      </c>
      <c r="C48" s="3791" t="s">
        <v>3621</v>
      </c>
      <c r="D48" s="3791" t="s">
        <v>3444</v>
      </c>
      <c r="E48" s="3791">
        <v>37656</v>
      </c>
      <c r="F48" s="3791">
        <v>131600</v>
      </c>
      <c r="G48" s="3791">
        <v>3.49</v>
      </c>
      <c r="H48" s="3791" t="s">
        <v>3614</v>
      </c>
      <c r="I48" s="3791" t="s">
        <v>3604</v>
      </c>
      <c r="J48" s="3791" t="s">
        <v>3447</v>
      </c>
      <c r="K48" s="3792">
        <v>41862.000497685185</v>
      </c>
      <c r="L48" s="3792">
        <v>41862.000497685185</v>
      </c>
      <c r="M48" s="3791" t="s">
        <v>3448</v>
      </c>
      <c r="N48" s="3791" t="s">
        <v>3622</v>
      </c>
      <c r="O48" s="3791" t="s">
        <v>3549</v>
      </c>
      <c r="P48" s="3791">
        <v>33000</v>
      </c>
      <c r="Q48" s="3791" t="s">
        <v>633</v>
      </c>
      <c r="R48" s="3791">
        <v>151603.20000000001</v>
      </c>
      <c r="S48" s="3791">
        <v>11520</v>
      </c>
      <c r="T48" s="3791">
        <v>0</v>
      </c>
    </row>
    <row r="49" spans="1:20" ht="14.25" hidden="1">
      <c r="A49" s="3791" t="s">
        <v>3623</v>
      </c>
      <c r="B49" s="3791" t="s">
        <v>3384</v>
      </c>
      <c r="C49" s="3791" t="s">
        <v>3624</v>
      </c>
      <c r="D49" s="3791" t="s">
        <v>3444</v>
      </c>
      <c r="E49" s="3791">
        <v>14124.26</v>
      </c>
      <c r="F49" s="3791">
        <v>119961</v>
      </c>
      <c r="G49" s="3791">
        <v>8.49</v>
      </c>
      <c r="H49" s="3791" t="s">
        <v>3614</v>
      </c>
      <c r="I49" s="3791" t="s">
        <v>3604</v>
      </c>
      <c r="J49" s="3791" t="s">
        <v>3447</v>
      </c>
      <c r="K49" s="3792">
        <v>41862.000497685185</v>
      </c>
      <c r="L49" s="3792">
        <v>41862.000497685185</v>
      </c>
      <c r="M49" s="3791" t="s">
        <v>3448</v>
      </c>
      <c r="N49" s="3791" t="s">
        <v>3625</v>
      </c>
      <c r="O49" s="3791" t="s">
        <v>3549</v>
      </c>
      <c r="P49" s="3791">
        <v>30000</v>
      </c>
      <c r="Q49" s="3791" t="s">
        <v>633</v>
      </c>
      <c r="R49" s="3791">
        <v>135700</v>
      </c>
      <c r="S49" s="3791">
        <v>11312</v>
      </c>
      <c r="T49" s="3791">
        <v>0</v>
      </c>
    </row>
    <row r="50" spans="1:20" ht="14.25" hidden="1">
      <c r="A50" s="3791" t="s">
        <v>3626</v>
      </c>
      <c r="B50" s="3791" t="s">
        <v>3384</v>
      </c>
      <c r="C50" s="3791" t="s">
        <v>3627</v>
      </c>
      <c r="D50" s="3791" t="s">
        <v>3444</v>
      </c>
      <c r="E50" s="3791">
        <v>39645</v>
      </c>
      <c r="F50" s="3791">
        <v>189500</v>
      </c>
      <c r="G50" s="3791">
        <v>4.78</v>
      </c>
      <c r="H50" s="3791" t="s">
        <v>3614</v>
      </c>
      <c r="I50" s="3791" t="s">
        <v>3604</v>
      </c>
      <c r="J50" s="3791" t="s">
        <v>3447</v>
      </c>
      <c r="K50" s="3792">
        <v>41862.000497685185</v>
      </c>
      <c r="L50" s="3792">
        <v>41862.000497685185</v>
      </c>
      <c r="M50" s="3791" t="s">
        <v>3448</v>
      </c>
      <c r="N50" s="3791" t="s">
        <v>3628</v>
      </c>
      <c r="O50" s="3791" t="s">
        <v>3549</v>
      </c>
      <c r="P50" s="3791">
        <v>48000</v>
      </c>
      <c r="Q50" s="3791" t="s">
        <v>633</v>
      </c>
      <c r="R50" s="3791">
        <v>218304</v>
      </c>
      <c r="S50" s="3791">
        <v>11520</v>
      </c>
      <c r="T50" s="3791">
        <v>0</v>
      </c>
    </row>
    <row r="51" spans="1:20" ht="14.25" hidden="1">
      <c r="A51" s="3791" t="s">
        <v>3629</v>
      </c>
      <c r="B51" s="3791" t="s">
        <v>3384</v>
      </c>
      <c r="C51" s="3791" t="s">
        <v>3630</v>
      </c>
      <c r="D51" s="3791" t="s">
        <v>3444</v>
      </c>
      <c r="E51" s="3791">
        <v>9200</v>
      </c>
      <c r="F51" s="3791">
        <v>78139</v>
      </c>
      <c r="G51" s="3791">
        <v>8.49</v>
      </c>
      <c r="H51" s="3791" t="s">
        <v>3614</v>
      </c>
      <c r="I51" s="3791" t="s">
        <v>3604</v>
      </c>
      <c r="J51" s="3791" t="s">
        <v>3447</v>
      </c>
      <c r="K51" s="3792">
        <v>41862.000497685185</v>
      </c>
      <c r="L51" s="3792">
        <v>41862.000497685185</v>
      </c>
      <c r="M51" s="3791" t="s">
        <v>3448</v>
      </c>
      <c r="N51" s="3791" t="s">
        <v>3625</v>
      </c>
      <c r="O51" s="3791" t="s">
        <v>3549</v>
      </c>
      <c r="P51" s="3791">
        <v>19600</v>
      </c>
      <c r="Q51" s="3791" t="s">
        <v>633</v>
      </c>
      <c r="R51" s="3791">
        <v>88400</v>
      </c>
      <c r="S51" s="3791">
        <v>11313</v>
      </c>
      <c r="T51" s="3791">
        <v>0</v>
      </c>
    </row>
  </sheetData>
  <mergeCells count="1020">
    <mergeCell ref="J1"/>
    <mergeCell ref="K1"/>
    <mergeCell ref="L1"/>
    <mergeCell ref="M1"/>
    <mergeCell ref="N1"/>
    <mergeCell ref="O1"/>
    <mergeCell ref="P1"/>
    <mergeCell ref="Q1"/>
    <mergeCell ref="R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A1"/>
    <mergeCell ref="B1"/>
    <mergeCell ref="C1"/>
    <mergeCell ref="D1"/>
    <mergeCell ref="E1"/>
    <mergeCell ref="F1"/>
    <mergeCell ref="G1"/>
    <mergeCell ref="H1"/>
    <mergeCell ref="I1"/>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R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K5"/>
    <mergeCell ref="L5"/>
    <mergeCell ref="M5"/>
    <mergeCell ref="N5"/>
    <mergeCell ref="O5"/>
    <mergeCell ref="P5"/>
    <mergeCell ref="Q5"/>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0" t="s">
        <v>925</v>
      </c>
      <c r="E3" s="850" t="s">
        <v>931</v>
      </c>
      <c r="F3" s="850" t="s">
        <v>925</v>
      </c>
      <c r="G3" s="850" t="s">
        <v>926</v>
      </c>
      <c r="H3" s="850" t="s">
        <v>925</v>
      </c>
      <c r="I3" s="850" t="s">
        <v>926</v>
      </c>
    </row>
    <row r="4" spans="1:9" ht="15">
      <c r="A4" s="1500" t="str">
        <f>项目基本情况!S2</f>
        <v>北京市房地产</v>
      </c>
      <c r="B4" s="850">
        <f>项目基本情况!C17</f>
        <v>573.27</v>
      </c>
      <c r="C4" s="850">
        <f>项目基本情况!C18</f>
        <v>0</v>
      </c>
      <c r="D4" s="850" t="e">
        <f ca="1">结果表!D118</f>
        <v>#REF!</v>
      </c>
      <c r="E4" s="850" t="e">
        <f ca="1">结果表!E118</f>
        <v>#REF!</v>
      </c>
      <c r="F4" s="850" t="e">
        <f ca="1">结果表!F118</f>
        <v>#REF!</v>
      </c>
      <c r="G4" s="850" t="e">
        <f ca="1">结果表!G118</f>
        <v>#REF!</v>
      </c>
      <c r="H4" s="850">
        <f ca="1">结果表!H118</f>
        <v>1001</v>
      </c>
      <c r="I4" s="850">
        <f ca="1">结果表!I118</f>
        <v>17469</v>
      </c>
    </row>
    <row r="5" spans="1:9" ht="30" customHeight="1">
      <c r="A5" s="3465" t="s">
        <v>927</v>
      </c>
      <c r="B5" s="3465"/>
      <c r="C5" s="3465"/>
      <c r="D5" s="3465" t="e">
        <f ca="1">结果表!D119</f>
        <v>#REF!</v>
      </c>
      <c r="E5" s="3465"/>
      <c r="F5" s="3465" t="e">
        <f ca="1">结果表!F119</f>
        <v>#REF!</v>
      </c>
      <c r="G5" s="3465"/>
      <c r="H5" s="3465" t="str">
        <f ca="1">结果表!H119</f>
        <v>壹仟零壹万元整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1001</v>
      </c>
      <c r="E8" s="3466"/>
      <c r="F8" s="3466"/>
      <c r="G8" s="3466"/>
      <c r="H8" s="3466"/>
      <c r="I8" s="3466"/>
    </row>
    <row r="9" spans="1:9" ht="15">
      <c r="A9" s="3465" t="s">
        <v>927</v>
      </c>
      <c r="B9" s="3465"/>
      <c r="C9" s="3465"/>
      <c r="D9" s="3465" t="str">
        <f ca="1">结果表!D123</f>
        <v>壹仟零壹万元整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472" t="s">
        <v>949</v>
      </c>
      <c r="B1" s="3472"/>
      <c r="C1" s="3472"/>
      <c r="D1" s="3472"/>
    </row>
    <row r="2" spans="1:4" ht="18">
      <c r="A2" s="3473" t="s">
        <v>933</v>
      </c>
      <c r="B2" s="3473"/>
      <c r="C2" s="3473"/>
      <c r="D2" s="3473"/>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473" t="s">
        <v>939</v>
      </c>
      <c r="B6" s="3473"/>
      <c r="C6" s="3473"/>
      <c r="D6" s="3473"/>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486" t="s">
        <v>956</v>
      </c>
      <c r="B15" s="3481" t="s">
        <v>109</v>
      </c>
      <c r="C15" s="3482"/>
    </row>
    <row r="16" spans="1:7" ht="13.5">
      <c r="A16" s="3487"/>
      <c r="B16" s="3481" t="s">
        <v>42</v>
      </c>
      <c r="C16" s="3482"/>
    </row>
    <row r="17" spans="1:3" ht="13.5">
      <c r="A17" s="3487"/>
      <c r="B17" s="3484" t="s">
        <v>957</v>
      </c>
      <c r="C17" s="1527" t="s">
        <v>956</v>
      </c>
    </row>
    <row r="18" spans="1:3" ht="13.5">
      <c r="A18" s="3487"/>
      <c r="B18" s="3484"/>
      <c r="C18" s="1527" t="s">
        <v>958</v>
      </c>
    </row>
    <row r="19" spans="1:3" ht="13.5">
      <c r="A19" s="3487"/>
      <c r="B19" s="3484"/>
      <c r="C19" s="1527" t="s">
        <v>959</v>
      </c>
    </row>
    <row r="20" spans="1:3" ht="13.5">
      <c r="A20" s="3488"/>
      <c r="B20" s="3483" t="s">
        <v>960</v>
      </c>
      <c r="C20" s="3482"/>
    </row>
    <row r="21" spans="1:3" ht="13.5">
      <c r="A21" s="1528" t="s">
        <v>961</v>
      </c>
      <c r="B21" s="1529"/>
      <c r="C21" s="1530"/>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27" t="s">
        <v>967</v>
      </c>
    </row>
    <row r="26" spans="1:3" ht="13.5">
      <c r="A26" s="3485"/>
      <c r="B26" s="3484"/>
      <c r="C26" s="1527" t="s">
        <v>968</v>
      </c>
    </row>
    <row r="27" spans="1:3" ht="13.5">
      <c r="A27" s="3485"/>
      <c r="B27" s="3484"/>
      <c r="C27" s="1527" t="s">
        <v>969</v>
      </c>
    </row>
    <row r="28" spans="1:3" ht="13.5">
      <c r="A28" s="3485"/>
      <c r="B28" s="3484"/>
      <c r="C28" s="1527" t="s">
        <v>970</v>
      </c>
    </row>
    <row r="29" spans="1:3" ht="13.5">
      <c r="A29" s="3485"/>
      <c r="B29" s="3484"/>
      <c r="C29" s="1527" t="s">
        <v>971</v>
      </c>
    </row>
    <row r="30" spans="1:3" ht="13.5">
      <c r="A30" s="3485"/>
      <c r="B30" s="3484"/>
      <c r="C30" s="1527" t="s">
        <v>972</v>
      </c>
    </row>
    <row r="31" spans="1:3" ht="13.5">
      <c r="A31" s="3485"/>
      <c r="B31" s="3484"/>
      <c r="C31" s="1527" t="s">
        <v>973</v>
      </c>
    </row>
    <row r="32" spans="1:3" ht="13.5">
      <c r="A32" s="3485"/>
      <c r="B32" s="3484"/>
      <c r="C32" s="1527" t="s">
        <v>974</v>
      </c>
    </row>
    <row r="33" spans="1:3" ht="13.5">
      <c r="A33" s="3485"/>
      <c r="B33" s="3484"/>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45496</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2441</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38"/>
      <c r="E18" s="3491" t="s">
        <v>2162</v>
      </c>
      <c r="F18" s="3490"/>
      <c r="G18" s="3490"/>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2024-07-23T05:10:06Z</dcterms:modified>
</cp:coreProperties>
</file>