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抵押物清单（分楼）" sheetId="42" state="hidden" r:id="rId12"/>
    <sheet name="数据-基础表" sheetId="3" r:id="rId13"/>
    <sheet name="数据-汇总表" sheetId="6" r:id="rId14"/>
    <sheet name="精装公寓" sheetId="77" state="hidden" r:id="rId15"/>
    <sheet name="B2办公" sheetId="78" state="hidden" r:id="rId16"/>
    <sheet name="各层面积表" sheetId="79" r:id="rId17"/>
    <sheet name="Sheet6" sheetId="82" r:id="rId18"/>
    <sheet name="自编B-1栋" sheetId="84" r:id="rId19"/>
    <sheet name="自编B-2栋" sheetId="85" r:id="rId20"/>
    <sheet name="自编B-3栋" sheetId="8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土地比较法-住宅、综合" sheetId="39" r:id="rId28"/>
    <sheet name="假设开发法" sheetId="12" r:id="rId29"/>
    <sheet name="精装公寓比较法" sheetId="83" r:id="rId30"/>
    <sheet name="简装公寓比较法" sheetId="21" r:id="rId31"/>
    <sheet name="商业收益法" sheetId="15" r:id="rId32"/>
    <sheet name="收益法 (元)" sheetId="67" state="hidden" r:id="rId33"/>
    <sheet name="收益法（汇总）" sheetId="70" state="hidden" r:id="rId34"/>
    <sheet name="酒店收入计算" sheetId="66" state="hidden" r:id="rId35"/>
    <sheet name="办公收益法" sheetId="80" r:id="rId36"/>
    <sheet name="地下车库收益法" sheetId="8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简装公寓比较法!$A$1:$L$49</definedName>
    <definedName name="_xlnm._FilterDatabase" localSheetId="29" hidden="1">精装公寓比较法!$A$1:$L$49</definedName>
    <definedName name="_xlnm._FilterDatabase" localSheetId="12" hidden="1">'数据-基础表'!$A$12:$AT$587</definedName>
    <definedName name="_xlnm._FilterDatabase" localSheetId="42" hidden="1">'土地比较法-工业'!$A$1:$L$43</definedName>
    <definedName name="_xlnm._FilterDatabase" localSheetId="27" hidden="1">'土地比较法-住宅、综合'!$A$1:$L$48</definedName>
    <definedName name="_xlnm._FilterDatabase" localSheetId="10" hidden="1">项目基本情况!$A$42:$N$42</definedName>
    <definedName name="_xlnm._FilterDatabase" localSheetId="18" hidden="1">'自编B-1栋'!$A$1:$E$558</definedName>
    <definedName name="_xlnm._FilterDatabase" localSheetId="19" hidden="1">'自编B-2栋'!$B$1:$X$480</definedName>
    <definedName name="_xlnm._FilterDatabase" localSheetId="20" hidden="1">'自编B-3栋'!$A$1:$H$205</definedName>
    <definedName name="_xlnm.Print_Area" localSheetId="35">办公收益法!$A$1:$AK$69</definedName>
    <definedName name="_xlnm.Print_Area" localSheetId="36">地下车库收益法!$A$1:$AK$69</definedName>
    <definedName name="_xlnm.Print_Area" localSheetId="8">估价师及机构信息!$A$1:$F$29</definedName>
    <definedName name="_xlnm.Print_Area" localSheetId="31">商业收益法!$A$1:$AK$69</definedName>
    <definedName name="_xlnm.Print_Area" localSheetId="3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精装公寓比较法!$B$88:$M$88</definedName>
    <definedName name="住宅朝向">简装公寓比较法!$B$88:$M$88</definedName>
    <definedName name="住宅房型" localSheetId="29">精装公寓比较法!$B$118:$M$118</definedName>
    <definedName name="住宅房型">简装公寓比较法!$B$118:$M$118</definedName>
    <definedName name="住宅公共部分装修" localSheetId="29">精装公寓比较法!$B$109:$M$109</definedName>
    <definedName name="住宅公共部分装修">简装公寓比较法!$B$109:$M$109</definedName>
    <definedName name="住宅基础设施水平" localSheetId="29">精装公寓比较法!$B$116:$M$116</definedName>
    <definedName name="住宅基础设施水平">简装公寓比较法!$B$116:$M$116</definedName>
    <definedName name="住宅建筑结构" localSheetId="29">精装公寓比较法!$B$105:$M$105</definedName>
    <definedName name="住宅建筑结构">简装公寓比较法!$B$105:$M$105</definedName>
    <definedName name="住宅建筑类型" localSheetId="29">精装公寓比较法!$B$100:$M$100</definedName>
    <definedName name="住宅建筑类型">简装公寓比较法!$B$100:$M$100</definedName>
    <definedName name="住宅建筑品质" localSheetId="29">精装公寓比较法!$B$107:$M$107</definedName>
    <definedName name="住宅建筑品质">简装公寓比较法!$B$107:$M$107</definedName>
    <definedName name="住宅交易情况" localSheetId="29">精装公寓比较法!$A$61:$M$61</definedName>
    <definedName name="住宅交易情况">简装公寓比较法!$A$61:$M$61</definedName>
    <definedName name="住宅楼层" localSheetId="29">精装公寓比较法!$B$86:$M$86</definedName>
    <definedName name="住宅楼层">简装公寓比较法!$B$86:$M$86</definedName>
    <definedName name="住宅内部装修" localSheetId="29">精装公寓比较法!$B$122:$M$122</definedName>
    <definedName name="住宅内部装修">简装公寓比较法!$B$122:$M$122</definedName>
    <definedName name="住宅物业管理" localSheetId="29">精装公寓比较法!$B$114:$M$114</definedName>
    <definedName name="住宅物业管理">简装公寓比较法!$B$114:$M$114</definedName>
    <definedName name="住宅用途" localSheetId="29">精装公寓比较法!$B$63:$M$63</definedName>
    <definedName name="住宅用途">简装公寓比较法!$B$63:$M$63</definedName>
    <definedName name="住宅主力户型面积" localSheetId="29">精装公寓比较法!$B$120:$M$120</definedName>
    <definedName name="住宅主力户型面积">简装公寓比较法!$B$120:$M$120</definedName>
    <definedName name="注册房地产估价师">估价师及机构信息!$A$3:$A$24</definedName>
  </definedNames>
  <calcPr calcId="144525"/>
</workbook>
</file>

<file path=xl/calcChain.xml><?xml version="1.0" encoding="utf-8"?>
<calcChain xmlns="http://schemas.openxmlformats.org/spreadsheetml/2006/main">
  <c r="E118" i="39" l="1"/>
  <c r="F118" i="39" s="1"/>
  <c r="G118" i="39" s="1"/>
  <c r="D118" i="39"/>
  <c r="J20" i="9"/>
  <c r="AN19" i="3" l="1"/>
  <c r="AL18" i="3"/>
  <c r="K19" i="3"/>
  <c r="I18" i="3"/>
  <c r="I17" i="3"/>
  <c r="I14" i="3"/>
  <c r="B24" i="79"/>
  <c r="H45" i="85"/>
  <c r="I16" i="3"/>
  <c r="I15" i="3"/>
  <c r="C20" i="6"/>
  <c r="A7" i="1"/>
  <c r="C21" i="6"/>
  <c r="A8" i="1"/>
  <c r="C22" i="6"/>
  <c r="A9" i="1"/>
  <c r="A6" i="1"/>
  <c r="G1" i="80"/>
  <c r="F22" i="6"/>
  <c r="E22" i="6"/>
  <c r="K9" i="1"/>
  <c r="B43" i="1"/>
  <c r="B41" i="1"/>
  <c r="F32" i="80"/>
  <c r="B2" i="1"/>
  <c r="C42" i="1"/>
  <c r="F33" i="80"/>
  <c r="L22" i="6"/>
  <c r="F20" i="6"/>
  <c r="E20" i="6"/>
  <c r="BB15" i="3"/>
  <c r="BA15" i="3"/>
  <c r="BB18" i="3"/>
  <c r="BA18" i="3"/>
  <c r="BB16" i="3"/>
  <c r="BA16" i="3"/>
  <c r="BB17" i="3"/>
  <c r="BA17" i="3"/>
  <c r="BB13" i="3"/>
  <c r="BC13" i="3"/>
  <c r="BD13" i="3"/>
  <c r="BE13" i="3"/>
  <c r="BF13" i="3"/>
  <c r="BG13" i="3"/>
  <c r="BH13" i="3"/>
  <c r="BI13" i="3"/>
  <c r="BJ13" i="3"/>
  <c r="BK13" i="3"/>
  <c r="BA13" i="3"/>
  <c r="BB14" i="3"/>
  <c r="BA14" i="3"/>
  <c r="BA5" i="3"/>
  <c r="F21" i="6"/>
  <c r="E21" i="6"/>
  <c r="F19" i="6"/>
  <c r="E19" i="6"/>
  <c r="E27" i="6"/>
  <c r="BQ13" i="3"/>
  <c r="BQ14" i="3"/>
  <c r="BQ18" i="3"/>
  <c r="BQ5" i="3"/>
  <c r="BS13" i="3"/>
  <c r="BS5" i="3"/>
  <c r="F28" i="6"/>
  <c r="BR13" i="3"/>
  <c r="BR19" i="3"/>
  <c r="BR5" i="3"/>
  <c r="BT13" i="3"/>
  <c r="BT5" i="3"/>
  <c r="G28" i="6"/>
  <c r="E28" i="6"/>
  <c r="K22" i="6"/>
  <c r="M22" i="6"/>
  <c r="I22" i="6"/>
  <c r="AZ15" i="3"/>
  <c r="BL18" i="3"/>
  <c r="AZ18" i="3"/>
  <c r="AZ16" i="3"/>
  <c r="AZ17" i="3"/>
  <c r="BM13" i="3"/>
  <c r="BN13" i="3"/>
  <c r="BO13" i="3"/>
  <c r="BP13" i="3"/>
  <c r="BL13" i="3"/>
  <c r="AZ13" i="3"/>
  <c r="BM14" i="3"/>
  <c r="BL14" i="3"/>
  <c r="AZ14" i="3"/>
  <c r="BL19" i="3"/>
  <c r="AZ19" i="3"/>
  <c r="AZ5" i="3"/>
  <c r="H15" i="3"/>
  <c r="G15" i="3"/>
  <c r="H18" i="3"/>
  <c r="AC18" i="3"/>
  <c r="G18" i="3"/>
  <c r="H16" i="3"/>
  <c r="G16" i="3"/>
  <c r="H17" i="3"/>
  <c r="G17" i="3"/>
  <c r="H13" i="3"/>
  <c r="AC13" i="3"/>
  <c r="G13" i="3"/>
  <c r="AC14" i="3"/>
  <c r="H14" i="3"/>
  <c r="G14" i="3"/>
  <c r="AC19" i="3"/>
  <c r="G19" i="3"/>
  <c r="G5" i="3"/>
  <c r="B3" i="3"/>
  <c r="AY6" i="3"/>
  <c r="D3" i="6"/>
  <c r="E3" i="6"/>
  <c r="H22" i="6"/>
  <c r="D22" i="6"/>
  <c r="R22" i="6"/>
  <c r="R9" i="1"/>
  <c r="B52" i="1"/>
  <c r="F34" i="80"/>
  <c r="M9" i="1"/>
  <c r="S9" i="1"/>
  <c r="T9" i="1"/>
  <c r="F15" i="80"/>
  <c r="F17" i="80"/>
  <c r="F18" i="80"/>
  <c r="F20" i="80"/>
  <c r="B22" i="1"/>
  <c r="E1" i="73"/>
  <c r="K1" i="73"/>
  <c r="F23" i="80"/>
  <c r="F21" i="80"/>
  <c r="F28" i="80"/>
  <c r="C28" i="80"/>
  <c r="M47" i="80"/>
  <c r="F9" i="1"/>
  <c r="J51" i="80"/>
  <c r="B24" i="1"/>
  <c r="I58" i="84"/>
  <c r="I57" i="84"/>
  <c r="I56" i="84"/>
  <c r="H42" i="85"/>
  <c r="V46" i="86"/>
  <c r="V53" i="84"/>
  <c r="I42" i="84"/>
  <c r="I31" i="86"/>
  <c r="J30" i="86"/>
  <c r="T30" i="86"/>
  <c r="N30" i="86"/>
  <c r="L30" i="86"/>
  <c r="T41" i="84"/>
  <c r="R41" i="84"/>
  <c r="P41" i="84"/>
  <c r="N41" i="84"/>
  <c r="L41" i="84"/>
  <c r="J41" i="84"/>
  <c r="D206" i="86"/>
  <c r="D210" i="86"/>
  <c r="F210" i="86"/>
  <c r="D481" i="85"/>
  <c r="D559" i="84"/>
  <c r="Z19" i="1"/>
  <c r="Y20" i="1"/>
  <c r="Z20" i="1"/>
  <c r="U21" i="1"/>
  <c r="Z21" i="1"/>
  <c r="X19" i="1"/>
  <c r="W20" i="1"/>
  <c r="X20" i="1" s="1"/>
  <c r="X21" i="1" s="1"/>
  <c r="BC19" i="3"/>
  <c r="BB19" i="3"/>
  <c r="BD19" i="3"/>
  <c r="BE19" i="3"/>
  <c r="BF19" i="3"/>
  <c r="BG19" i="3"/>
  <c r="BH19" i="3"/>
  <c r="BI19" i="3"/>
  <c r="BJ19" i="3"/>
  <c r="BK19" i="3"/>
  <c r="BA19" i="3"/>
  <c r="BM19" i="3"/>
  <c r="BN19" i="3"/>
  <c r="BO19" i="3"/>
  <c r="BP19" i="3"/>
  <c r="BQ19" i="3"/>
  <c r="BS19" i="3"/>
  <c r="BT19" i="3"/>
  <c r="BC18" i="3"/>
  <c r="BD18" i="3"/>
  <c r="BE18" i="3"/>
  <c r="BF18" i="3"/>
  <c r="BG18" i="3"/>
  <c r="BH18" i="3"/>
  <c r="BI18" i="3"/>
  <c r="BJ18" i="3"/>
  <c r="BK18" i="3"/>
  <c r="BR18" i="3"/>
  <c r="BM18" i="3"/>
  <c r="BN18" i="3"/>
  <c r="BO18" i="3"/>
  <c r="BP18" i="3"/>
  <c r="BS18" i="3"/>
  <c r="BT18" i="3"/>
  <c r="BB11" i="3"/>
  <c r="BC11" i="3"/>
  <c r="E5" i="6"/>
  <c r="E6" i="6"/>
  <c r="D10" i="68"/>
  <c r="B27" i="1"/>
  <c r="B28" i="1"/>
  <c r="E10" i="68"/>
  <c r="C10" i="68"/>
  <c r="B29" i="1" s="1"/>
  <c r="C8" i="68" s="1"/>
  <c r="D91" i="39"/>
  <c r="E91" i="39"/>
  <c r="F17" i="39"/>
  <c r="AA17" i="39" s="1"/>
  <c r="D93" i="39"/>
  <c r="E93" i="39" s="1"/>
  <c r="D95" i="39"/>
  <c r="E95" i="39"/>
  <c r="F95" i="39"/>
  <c r="F21" i="39"/>
  <c r="AA21" i="39"/>
  <c r="D97" i="39"/>
  <c r="F23" i="39"/>
  <c r="AA23" i="39"/>
  <c r="D99" i="39"/>
  <c r="F25" i="39"/>
  <c r="AA25" i="39"/>
  <c r="D101" i="39"/>
  <c r="E101" i="39" s="1"/>
  <c r="F101" i="39" s="1"/>
  <c r="D103" i="39"/>
  <c r="E103" i="39"/>
  <c r="F29" i="39"/>
  <c r="AA29" i="39"/>
  <c r="D107" i="39"/>
  <c r="E107" i="39"/>
  <c r="F32" i="39"/>
  <c r="AA32" i="39"/>
  <c r="D89" i="39"/>
  <c r="E89" i="39"/>
  <c r="F89" i="39"/>
  <c r="F15" i="39"/>
  <c r="AA15" i="39"/>
  <c r="H17" i="39"/>
  <c r="AB17" i="39" s="1"/>
  <c r="H21" i="39"/>
  <c r="AB21" i="39"/>
  <c r="H23" i="39"/>
  <c r="AB23" i="39"/>
  <c r="H25" i="39"/>
  <c r="AB25" i="39"/>
  <c r="H29" i="39"/>
  <c r="AB29" i="39"/>
  <c r="H32" i="39"/>
  <c r="AB32" i="39"/>
  <c r="H15" i="39"/>
  <c r="AB15" i="39"/>
  <c r="J17" i="39"/>
  <c r="AC17" i="39" s="1"/>
  <c r="J21" i="39"/>
  <c r="AC21" i="39"/>
  <c r="J23" i="39"/>
  <c r="AC23" i="39"/>
  <c r="J25" i="39"/>
  <c r="AC25" i="39"/>
  <c r="J29" i="39"/>
  <c r="AC29" i="39"/>
  <c r="J32" i="39"/>
  <c r="AC32" i="39"/>
  <c r="J15" i="39"/>
  <c r="AC15" i="39"/>
  <c r="C19" i="68"/>
  <c r="F21" i="68"/>
  <c r="C40" i="68" s="1"/>
  <c r="B23" i="1"/>
  <c r="D9" i="68"/>
  <c r="D19" i="68" s="1"/>
  <c r="D37" i="68" s="1"/>
  <c r="G1" i="15"/>
  <c r="K6" i="1"/>
  <c r="F32" i="15"/>
  <c r="F33" i="15"/>
  <c r="H19" i="3"/>
  <c r="D19" i="6"/>
  <c r="E23" i="6"/>
  <c r="BB5" i="3"/>
  <c r="E8" i="6"/>
  <c r="F27" i="6"/>
  <c r="K19" i="6"/>
  <c r="L19" i="6"/>
  <c r="M19" i="6"/>
  <c r="I19" i="6"/>
  <c r="H19" i="6"/>
  <c r="R19" i="6"/>
  <c r="R6" i="1"/>
  <c r="F34" i="15"/>
  <c r="M6" i="1"/>
  <c r="S6" i="1"/>
  <c r="T6" i="1"/>
  <c r="F15" i="15"/>
  <c r="F17" i="15"/>
  <c r="F18" i="15"/>
  <c r="F20" i="15"/>
  <c r="F23" i="15"/>
  <c r="F21" i="15"/>
  <c r="F28" i="15"/>
  <c r="C28" i="15"/>
  <c r="F6" i="1"/>
  <c r="M47" i="15"/>
  <c r="J51" i="15"/>
  <c r="A10" i="1"/>
  <c r="A11" i="1"/>
  <c r="A12" i="1"/>
  <c r="A13" i="1"/>
  <c r="G1" i="81"/>
  <c r="K10" i="1"/>
  <c r="F32" i="81"/>
  <c r="F33" i="81"/>
  <c r="D23" i="6"/>
  <c r="K23" i="6"/>
  <c r="L23" i="6"/>
  <c r="M23" i="6"/>
  <c r="I23" i="6"/>
  <c r="H23" i="6"/>
  <c r="R23" i="6"/>
  <c r="R10" i="1"/>
  <c r="F34" i="81"/>
  <c r="M10" i="1"/>
  <c r="O10" i="1" s="1"/>
  <c r="P10" i="1" s="1"/>
  <c r="S10" i="1"/>
  <c r="T10" i="1"/>
  <c r="F15" i="81"/>
  <c r="F17" i="81"/>
  <c r="F18" i="81"/>
  <c r="F20" i="81"/>
  <c r="F23" i="81"/>
  <c r="F21" i="81"/>
  <c r="F28" i="81"/>
  <c r="C28" i="81"/>
  <c r="AE10" i="1"/>
  <c r="J51" i="81"/>
  <c r="R47" i="83"/>
  <c r="B126" i="83"/>
  <c r="F44" i="83"/>
  <c r="AA44" i="83"/>
  <c r="B128" i="83"/>
  <c r="F45" i="83"/>
  <c r="AA45" i="83"/>
  <c r="B130" i="83"/>
  <c r="F46" i="83"/>
  <c r="AA46" i="83"/>
  <c r="C7" i="83"/>
  <c r="C58" i="83"/>
  <c r="D58" i="83"/>
  <c r="E58" i="83"/>
  <c r="F58" i="83"/>
  <c r="G58" i="83"/>
  <c r="H58" i="83"/>
  <c r="I58" i="83"/>
  <c r="J58" i="83"/>
  <c r="K58" i="83"/>
  <c r="L58" i="83"/>
  <c r="M58" i="83"/>
  <c r="N58" i="83"/>
  <c r="O58" i="83"/>
  <c r="F7" i="83"/>
  <c r="AA7" i="83"/>
  <c r="T47" i="83"/>
  <c r="H44" i="83"/>
  <c r="AB44" i="83"/>
  <c r="H45" i="83"/>
  <c r="AB45" i="83"/>
  <c r="H46" i="83"/>
  <c r="AB46" i="83"/>
  <c r="H7" i="83"/>
  <c r="AB7" i="83"/>
  <c r="V47" i="83"/>
  <c r="J44" i="83"/>
  <c r="AC44" i="83"/>
  <c r="J45" i="83"/>
  <c r="AC45" i="83"/>
  <c r="J46" i="83"/>
  <c r="AC46" i="83"/>
  <c r="J7" i="83"/>
  <c r="AC7" i="83"/>
  <c r="D3" i="83"/>
  <c r="D3" i="21"/>
  <c r="C7" i="21"/>
  <c r="C58" i="21"/>
  <c r="D58" i="21"/>
  <c r="E58" i="21"/>
  <c r="F58" i="21"/>
  <c r="G58" i="21"/>
  <c r="H58" i="21"/>
  <c r="I58" i="21"/>
  <c r="J58" i="21"/>
  <c r="K58" i="21"/>
  <c r="L58" i="21"/>
  <c r="M58" i="21"/>
  <c r="N58" i="21"/>
  <c r="O58" i="21"/>
  <c r="F7" i="21"/>
  <c r="AA7" i="21"/>
  <c r="H7" i="21"/>
  <c r="AB7" i="21"/>
  <c r="J7" i="21"/>
  <c r="AC7" i="21"/>
  <c r="O6" i="1"/>
  <c r="P6" i="1"/>
  <c r="K7" i="1"/>
  <c r="M7" i="1"/>
  <c r="O7" i="1" s="1"/>
  <c r="K8" i="1"/>
  <c r="M8" i="1"/>
  <c r="O8" i="1" s="1"/>
  <c r="P8" i="1" s="1"/>
  <c r="O9" i="1"/>
  <c r="P9" i="1"/>
  <c r="K11" i="1"/>
  <c r="M11" i="1" s="1"/>
  <c r="K12" i="1"/>
  <c r="M12" i="1" s="1"/>
  <c r="O12" i="1" s="1"/>
  <c r="P12" i="1" s="1"/>
  <c r="K13" i="1"/>
  <c r="M13" i="1" s="1"/>
  <c r="O13" i="1" s="1"/>
  <c r="P13" i="1" s="1"/>
  <c r="K14" i="1"/>
  <c r="M14" i="1" s="1"/>
  <c r="O14" i="1" s="1"/>
  <c r="P14" i="1" s="1"/>
  <c r="F12" i="12"/>
  <c r="F13" i="12"/>
  <c r="C13" i="12"/>
  <c r="D14" i="12"/>
  <c r="F15" i="12"/>
  <c r="D17" i="12"/>
  <c r="E17" i="12"/>
  <c r="C17" i="12"/>
  <c r="D19" i="12"/>
  <c r="E19" i="12"/>
  <c r="C19" i="12"/>
  <c r="D20" i="12"/>
  <c r="E20" i="12"/>
  <c r="C20" i="12"/>
  <c r="F31" i="12"/>
  <c r="F24" i="12"/>
  <c r="C24" i="12"/>
  <c r="C17" i="9"/>
  <c r="D17" i="9"/>
  <c r="J140" i="83"/>
  <c r="C145" i="83"/>
  <c r="K139" i="83"/>
  <c r="K145" i="83"/>
  <c r="K144" i="83"/>
  <c r="K143" i="83"/>
  <c r="J142" i="83"/>
  <c r="K141"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B94" i="83"/>
  <c r="B92"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H19" i="83" s="1"/>
  <c r="E81" i="83"/>
  <c r="J19" i="83" s="1"/>
  <c r="D79" i="83"/>
  <c r="D77" i="83"/>
  <c r="E77" i="83" s="1"/>
  <c r="H15" i="83" s="1"/>
  <c r="B74" i="83"/>
  <c r="B72" i="83"/>
  <c r="B70" i="83"/>
  <c r="D69" i="83"/>
  <c r="E69" i="83"/>
  <c r="F69" i="83"/>
  <c r="G69" i="83"/>
  <c r="H69" i="83"/>
  <c r="I69" i="83"/>
  <c r="J69" i="83"/>
  <c r="K69" i="83"/>
  <c r="L69" i="83"/>
  <c r="M69" i="83"/>
  <c r="M67" i="83"/>
  <c r="L67" i="83"/>
  <c r="K67" i="83"/>
  <c r="J67" i="83"/>
  <c r="I67" i="83"/>
  <c r="H67" i="83"/>
  <c r="G67" i="83"/>
  <c r="F67" i="83"/>
  <c r="E67" i="83"/>
  <c r="D67" i="83"/>
  <c r="C67" i="83"/>
  <c r="D66" i="83"/>
  <c r="E66" i="83"/>
  <c r="F66" i="83"/>
  <c r="G66" i="83"/>
  <c r="H66" i="83"/>
  <c r="I66" i="83"/>
  <c r="C63" i="83"/>
  <c r="I54" i="83"/>
  <c r="J54" i="83"/>
  <c r="G54" i="83"/>
  <c r="H54" i="83"/>
  <c r="E54" i="83"/>
  <c r="F54" i="83"/>
  <c r="J8" i="83"/>
  <c r="AC8" i="83"/>
  <c r="J9" i="83"/>
  <c r="AC9" i="83"/>
  <c r="J10" i="83"/>
  <c r="AC10" i="83"/>
  <c r="C11" i="83"/>
  <c r="J11" i="83"/>
  <c r="AC11" i="83"/>
  <c r="J12" i="83"/>
  <c r="AC12" i="83"/>
  <c r="J13" i="83"/>
  <c r="AC13" i="83"/>
  <c r="J14" i="83"/>
  <c r="AC14" i="83"/>
  <c r="J21" i="83"/>
  <c r="AC21" i="83"/>
  <c r="J23" i="83"/>
  <c r="AC23" i="83"/>
  <c r="J25" i="83"/>
  <c r="AC25" i="83"/>
  <c r="J26" i="83"/>
  <c r="AC26" i="83"/>
  <c r="J27" i="83"/>
  <c r="AC27" i="83"/>
  <c r="J28" i="83"/>
  <c r="AC28" i="83"/>
  <c r="J29" i="83"/>
  <c r="AC29" i="83"/>
  <c r="J30" i="83"/>
  <c r="AC30" i="83"/>
  <c r="J31" i="83"/>
  <c r="AC31" i="83"/>
  <c r="J32" i="83"/>
  <c r="AC32" i="83"/>
  <c r="J33" i="83"/>
  <c r="AC33" i="83"/>
  <c r="J34" i="83"/>
  <c r="AC34" i="83"/>
  <c r="J35" i="83"/>
  <c r="AC35" i="83"/>
  <c r="J36" i="83"/>
  <c r="AC36" i="83"/>
  <c r="J37" i="83"/>
  <c r="AC37" i="83"/>
  <c r="J38" i="83"/>
  <c r="AC38" i="83"/>
  <c r="J39" i="83"/>
  <c r="AC39" i="83"/>
  <c r="J40" i="83"/>
  <c r="AC40" i="83"/>
  <c r="J41" i="83"/>
  <c r="AC41" i="83"/>
  <c r="J42" i="83"/>
  <c r="AC42" i="83"/>
  <c r="J43" i="83"/>
  <c r="AC43" i="83"/>
  <c r="F8" i="83"/>
  <c r="AA8" i="83"/>
  <c r="F9" i="83"/>
  <c r="AA9" i="83"/>
  <c r="F10" i="83"/>
  <c r="AA10" i="83"/>
  <c r="F11" i="83"/>
  <c r="AA11" i="83"/>
  <c r="F12" i="83"/>
  <c r="AA12" i="83"/>
  <c r="F13" i="83"/>
  <c r="AA13" i="83"/>
  <c r="F14" i="83"/>
  <c r="AA14" i="83"/>
  <c r="F21" i="83"/>
  <c r="AA21" i="83"/>
  <c r="F23" i="83"/>
  <c r="AA23" i="83"/>
  <c r="F25" i="83"/>
  <c r="AA25" i="83"/>
  <c r="F26" i="83"/>
  <c r="AA26" i="83"/>
  <c r="F27" i="83"/>
  <c r="AA27" i="83"/>
  <c r="F28" i="83"/>
  <c r="AA28" i="83"/>
  <c r="F29" i="83"/>
  <c r="AA29" i="83"/>
  <c r="F30" i="83"/>
  <c r="AA30" i="83"/>
  <c r="F31" i="83"/>
  <c r="AA31" i="83"/>
  <c r="F32" i="83"/>
  <c r="AA32" i="83"/>
  <c r="F33" i="83"/>
  <c r="AA33" i="83"/>
  <c r="F34" i="83"/>
  <c r="AA34" i="83"/>
  <c r="F35" i="83"/>
  <c r="AA35" i="83"/>
  <c r="F36" i="83"/>
  <c r="AA36" i="83"/>
  <c r="F37" i="83"/>
  <c r="AA37" i="83"/>
  <c r="F38" i="83"/>
  <c r="AA38" i="83"/>
  <c r="F39" i="83"/>
  <c r="AA39" i="83"/>
  <c r="F40" i="83"/>
  <c r="AA40" i="83"/>
  <c r="F41" i="83"/>
  <c r="AA41" i="83"/>
  <c r="F42" i="83"/>
  <c r="AA42" i="83"/>
  <c r="F43" i="83"/>
  <c r="AA43" i="83"/>
  <c r="H8" i="83"/>
  <c r="AB8" i="83"/>
  <c r="H9" i="83"/>
  <c r="AB9" i="83"/>
  <c r="H10" i="83"/>
  <c r="AB10" i="83"/>
  <c r="H11" i="83"/>
  <c r="AB11" i="83"/>
  <c r="H12" i="83"/>
  <c r="AB12" i="83"/>
  <c r="H13" i="83"/>
  <c r="AB13" i="83"/>
  <c r="H14" i="83"/>
  <c r="AB14" i="83"/>
  <c r="H21" i="83"/>
  <c r="AB21" i="83"/>
  <c r="H23" i="83"/>
  <c r="AB23" i="83"/>
  <c r="H25" i="83"/>
  <c r="AB25" i="83"/>
  <c r="H26" i="83"/>
  <c r="AB26"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P49" i="83"/>
  <c r="P48" i="83"/>
  <c r="P47" i="83"/>
  <c r="Q46" i="83"/>
  <c r="Z46" i="83"/>
  <c r="W46" i="83"/>
  <c r="U46" i="83"/>
  <c r="S46" i="83"/>
  <c r="Q45" i="83"/>
  <c r="Z45" i="83"/>
  <c r="W45" i="83"/>
  <c r="U45" i="83"/>
  <c r="S45" i="83"/>
  <c r="Q44" i="83"/>
  <c r="Z44" i="83"/>
  <c r="W44" i="83"/>
  <c r="U44" i="83"/>
  <c r="S44" i="83"/>
  <c r="Q43" i="83"/>
  <c r="Z43" i="83"/>
  <c r="W43" i="83"/>
  <c r="U43" i="83"/>
  <c r="S43" i="83"/>
  <c r="Q42" i="83"/>
  <c r="Z42" i="83"/>
  <c r="W42" i="83"/>
  <c r="U42" i="83"/>
  <c r="S42" i="83"/>
  <c r="Q41" i="83"/>
  <c r="Z41" i="83"/>
  <c r="W41" i="83"/>
  <c r="U41" i="83"/>
  <c r="S41" i="83"/>
  <c r="Q40" i="83"/>
  <c r="Z40" i="83"/>
  <c r="W40" i="83"/>
  <c r="U40" i="83"/>
  <c r="S40" i="83"/>
  <c r="Q39" i="83"/>
  <c r="Z39" i="83"/>
  <c r="W39" i="83"/>
  <c r="U39" i="83"/>
  <c r="S39" i="83"/>
  <c r="Q38" i="83"/>
  <c r="Z38" i="83"/>
  <c r="W38" i="83"/>
  <c r="U38" i="83"/>
  <c r="S38" i="83"/>
  <c r="Q37" i="83"/>
  <c r="Z37" i="83"/>
  <c r="W37" i="83"/>
  <c r="U37" i="83"/>
  <c r="S37" i="83"/>
  <c r="Q36" i="83"/>
  <c r="Z36" i="83"/>
  <c r="W36" i="83"/>
  <c r="U36" i="83"/>
  <c r="S36" i="83"/>
  <c r="Q35" i="83"/>
  <c r="Z35" i="83"/>
  <c r="W35" i="83"/>
  <c r="U35" i="83"/>
  <c r="S35" i="83"/>
  <c r="Q34" i="83"/>
  <c r="Z34" i="83"/>
  <c r="W34" i="83"/>
  <c r="U34" i="83"/>
  <c r="S34" i="83"/>
  <c r="Q33" i="83"/>
  <c r="Z33" i="83"/>
  <c r="W33" i="83"/>
  <c r="U33" i="83"/>
  <c r="S33" i="83"/>
  <c r="Q32" i="83"/>
  <c r="Z32" i="83"/>
  <c r="W32" i="83"/>
  <c r="U32" i="83"/>
  <c r="S32" i="83"/>
  <c r="Q31" i="83"/>
  <c r="Z31" i="83"/>
  <c r="W31" i="83"/>
  <c r="U31" i="83"/>
  <c r="S31" i="83"/>
  <c r="Q30" i="83"/>
  <c r="Z30" i="83"/>
  <c r="W30" i="83"/>
  <c r="U30" i="83"/>
  <c r="S30" i="83"/>
  <c r="Q29" i="83"/>
  <c r="Z29" i="83"/>
  <c r="W29" i="83"/>
  <c r="U29" i="83"/>
  <c r="S29" i="83"/>
  <c r="Q28" i="83"/>
  <c r="Z28" i="83"/>
  <c r="W28" i="83"/>
  <c r="U28" i="83"/>
  <c r="S28" i="83"/>
  <c r="Q27" i="83"/>
  <c r="Z27" i="83"/>
  <c r="W27" i="83"/>
  <c r="U27" i="83"/>
  <c r="S27" i="83"/>
  <c r="Q26" i="83"/>
  <c r="Z26" i="83"/>
  <c r="W26" i="83"/>
  <c r="U26" i="83"/>
  <c r="S26" i="83"/>
  <c r="Q25" i="83"/>
  <c r="Z25" i="83"/>
  <c r="W25" i="83"/>
  <c r="U25" i="83"/>
  <c r="S25" i="83"/>
  <c r="Q23" i="83"/>
  <c r="Z23" i="83"/>
  <c r="W23" i="83"/>
  <c r="U23" i="83"/>
  <c r="S23" i="83"/>
  <c r="C23" i="83"/>
  <c r="Q21" i="83"/>
  <c r="Z21" i="83"/>
  <c r="W21" i="83"/>
  <c r="U21" i="83"/>
  <c r="S21" i="83"/>
  <c r="C21" i="83"/>
  <c r="Q19" i="83"/>
  <c r="Z19" i="83"/>
  <c r="C19" i="83"/>
  <c r="Q17" i="83"/>
  <c r="Z17" i="83"/>
  <c r="C17" i="83"/>
  <c r="Q15" i="83"/>
  <c r="Z15" i="83"/>
  <c r="C15" i="83"/>
  <c r="Q14" i="83"/>
  <c r="Z14" i="83"/>
  <c r="W14" i="83"/>
  <c r="U14" i="83"/>
  <c r="S14" i="83"/>
  <c r="Q13" i="83"/>
  <c r="Z13" i="83"/>
  <c r="W13" i="83"/>
  <c r="U13" i="83"/>
  <c r="S13" i="83"/>
  <c r="Q12" i="83"/>
  <c r="Z12" i="83"/>
  <c r="W12" i="83"/>
  <c r="U12" i="83"/>
  <c r="S12" i="83"/>
  <c r="Q11" i="83"/>
  <c r="Z11" i="83"/>
  <c r="W11" i="83"/>
  <c r="U11" i="83"/>
  <c r="S11" i="83"/>
  <c r="Q10" i="83"/>
  <c r="Z10" i="83"/>
  <c r="W10" i="83"/>
  <c r="U10" i="83"/>
  <c r="S10" i="83"/>
  <c r="Q9" i="83"/>
  <c r="Z9" i="83"/>
  <c r="W9" i="83"/>
  <c r="U9" i="83"/>
  <c r="S9" i="83"/>
  <c r="W8" i="83"/>
  <c r="U8" i="83"/>
  <c r="S8" i="83"/>
  <c r="W7" i="83"/>
  <c r="U7" i="83"/>
  <c r="S7" i="83"/>
  <c r="J11" i="79"/>
  <c r="C38" i="39"/>
  <c r="C11" i="39"/>
  <c r="C8" i="82"/>
  <c r="D79" i="21"/>
  <c r="E79" i="21"/>
  <c r="H17" i="21" s="1"/>
  <c r="D69" i="21"/>
  <c r="E69" i="21"/>
  <c r="F69" i="21"/>
  <c r="G69" i="21"/>
  <c r="H11" i="21"/>
  <c r="AB11" i="21"/>
  <c r="D77" i="21"/>
  <c r="E77" i="21"/>
  <c r="H15" i="21"/>
  <c r="AB15" i="21"/>
  <c r="H42" i="21"/>
  <c r="AB42" i="21"/>
  <c r="F11" i="21"/>
  <c r="AA11" i="21"/>
  <c r="F15" i="21"/>
  <c r="AA15" i="21"/>
  <c r="F42" i="21"/>
  <c r="AA42" i="21"/>
  <c r="J41" i="21"/>
  <c r="AC41" i="21"/>
  <c r="J11" i="21"/>
  <c r="AC11" i="21"/>
  <c r="J15" i="21"/>
  <c r="AC15" i="21"/>
  <c r="J42" i="21"/>
  <c r="AC42" i="21"/>
  <c r="F10" i="1"/>
  <c r="R47" i="21"/>
  <c r="B126" i="21"/>
  <c r="F44" i="21"/>
  <c r="AA44" i="21"/>
  <c r="F40" i="21"/>
  <c r="AA40" i="21"/>
  <c r="D81" i="21"/>
  <c r="E81" i="21" s="1"/>
  <c r="T47" i="21"/>
  <c r="H44" i="21"/>
  <c r="AB44" i="21"/>
  <c r="H40" i="21"/>
  <c r="AB40" i="21"/>
  <c r="V47" i="21"/>
  <c r="J33" i="21"/>
  <c r="AC33" i="21"/>
  <c r="J37" i="21"/>
  <c r="AC37" i="21"/>
  <c r="J44" i="21"/>
  <c r="AC44" i="21"/>
  <c r="J40" i="21"/>
  <c r="AC40" i="21"/>
  <c r="D7" i="12"/>
  <c r="C11" i="21"/>
  <c r="R11" i="1"/>
  <c r="AE11" i="1"/>
  <c r="M47" i="81"/>
  <c r="J50" i="81"/>
  <c r="D10" i="1"/>
  <c r="K59" i="81"/>
  <c r="P74" i="81"/>
  <c r="Q72" i="81"/>
  <c r="F60" i="81"/>
  <c r="F61" i="81"/>
  <c r="F62" i="81"/>
  <c r="P61" i="81"/>
  <c r="Q59" i="81"/>
  <c r="F59" i="81"/>
  <c r="Q58" i="81"/>
  <c r="Q51" i="81"/>
  <c r="D46" i="81"/>
  <c r="F31" i="81"/>
  <c r="M18" i="81"/>
  <c r="M19" i="81"/>
  <c r="M20" i="81"/>
  <c r="D24" i="81"/>
  <c r="D23" i="81"/>
  <c r="D22" i="81"/>
  <c r="M17" i="81"/>
  <c r="J50" i="80"/>
  <c r="D9" i="1"/>
  <c r="K59" i="80"/>
  <c r="P74" i="80"/>
  <c r="Q72" i="80"/>
  <c r="F60" i="80"/>
  <c r="F61" i="80"/>
  <c r="F62" i="80"/>
  <c r="P61" i="80"/>
  <c r="Q59" i="80"/>
  <c r="F59" i="80"/>
  <c r="Q58" i="80"/>
  <c r="Q51" i="80"/>
  <c r="D46" i="80"/>
  <c r="F31" i="80"/>
  <c r="AG9" i="1"/>
  <c r="M18" i="80"/>
  <c r="M19" i="80"/>
  <c r="M20" i="80"/>
  <c r="D24" i="80"/>
  <c r="D23" i="80"/>
  <c r="D22" i="80"/>
  <c r="M17" i="80"/>
  <c r="B22" i="79"/>
  <c r="C20" i="79"/>
  <c r="F20" i="79"/>
  <c r="E20" i="79"/>
  <c r="D20" i="79"/>
  <c r="C42" i="78"/>
  <c r="B43" i="78"/>
  <c r="C32" i="77"/>
  <c r="B33" i="77"/>
  <c r="M42" i="78"/>
  <c r="K42" i="78"/>
  <c r="I42" i="78"/>
  <c r="G42" i="78"/>
  <c r="E42" i="78"/>
  <c r="M32" i="77"/>
  <c r="K32" i="77"/>
  <c r="I32" i="77"/>
  <c r="G32" i="77"/>
  <c r="E32"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G19" i="43"/>
  <c r="M20" i="43"/>
  <c r="M19" i="43"/>
  <c r="C19" i="43"/>
  <c r="I20" i="43"/>
  <c r="G20" i="43"/>
  <c r="C20" i="43"/>
  <c r="C36" i="43" s="1"/>
  <c r="C24" i="43"/>
  <c r="G17" i="43"/>
  <c r="H17" i="43"/>
  <c r="I17" i="43"/>
  <c r="J17" i="43"/>
  <c r="C16" i="43"/>
  <c r="C5" i="43"/>
  <c r="C39" i="43"/>
  <c r="G39" i="43" s="1"/>
  <c r="I39" i="43" s="1"/>
  <c r="C38" i="43"/>
  <c r="G38" i="43" s="1"/>
  <c r="I38" i="43" s="1"/>
  <c r="C37" i="43"/>
  <c r="G37" i="43" s="1"/>
  <c r="I37" i="43" s="1"/>
  <c r="D5" i="43"/>
  <c r="C35" i="43"/>
  <c r="G35" i="43" s="1"/>
  <c r="I35" i="43" s="1"/>
  <c r="J53" i="67"/>
  <c r="I5" i="3"/>
  <c r="AD5" i="3"/>
  <c r="AL5" i="3"/>
  <c r="I4" i="6"/>
  <c r="G3" i="43"/>
  <c r="C33" i="43"/>
  <c r="G33" i="43" s="1"/>
  <c r="I33" i="43" s="1"/>
  <c r="D8" i="71"/>
  <c r="AH6" i="71"/>
  <c r="AG6" i="71"/>
  <c r="AE6" i="71"/>
  <c r="AF6" i="71"/>
  <c r="AD6" i="71"/>
  <c r="L3" i="71"/>
  <c r="K3" i="71"/>
  <c r="I3" i="71"/>
  <c r="J3" i="71"/>
  <c r="BC14" i="3"/>
  <c r="BD14" i="3"/>
  <c r="BE14" i="3"/>
  <c r="BF14" i="3"/>
  <c r="BG14" i="3"/>
  <c r="BH14" i="3"/>
  <c r="BI14" i="3"/>
  <c r="BJ14" i="3"/>
  <c r="BK14" i="3"/>
  <c r="BN14" i="3"/>
  <c r="BO14" i="3"/>
  <c r="BP14" i="3"/>
  <c r="BR14" i="3"/>
  <c r="BS14" i="3"/>
  <c r="BT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4" i="6"/>
  <c r="L25" i="6"/>
  <c r="L26" i="6"/>
  <c r="P27" i="6"/>
  <c r="A7" i="70"/>
  <c r="A8" i="70"/>
  <c r="E8" i="70"/>
  <c r="A9" i="70"/>
  <c r="E9" i="70"/>
  <c r="A10" i="70"/>
  <c r="E10" i="70" s="1"/>
  <c r="E2" i="70" s="1"/>
  <c r="A11" i="70"/>
  <c r="E11" i="70"/>
  <c r="A12" i="70"/>
  <c r="E12" i="70"/>
  <c r="A13" i="70"/>
  <c r="E13" i="70"/>
  <c r="A6" i="70"/>
  <c r="Q25" i="40"/>
  <c r="Z25" i="40"/>
  <c r="D94" i="40"/>
  <c r="E94" i="40"/>
  <c r="F25" i="40"/>
  <c r="AA25" i="40"/>
  <c r="Z29" i="39"/>
  <c r="Q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E83" i="21"/>
  <c r="F21" i="21"/>
  <c r="AA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C21" i="68"/>
  <c r="F2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11" i="1"/>
  <c r="F12" i="1"/>
  <c r="F13" i="1"/>
  <c r="D6" i="1"/>
  <c r="D11" i="1"/>
  <c r="D12" i="1"/>
  <c r="D13" i="1"/>
  <c r="D7" i="1"/>
  <c r="D8" i="1"/>
  <c r="B8" i="1"/>
  <c r="E8" i="1"/>
  <c r="F3" i="35"/>
  <c r="B11" i="1"/>
  <c r="E11" i="1" s="1"/>
  <c r="B7"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E24" i="6"/>
  <c r="E25" i="6"/>
  <c r="E26" i="6"/>
  <c r="BC10" i="3"/>
  <c r="BD10" i="3"/>
  <c r="BB10" i="3"/>
  <c r="AC15" i="3"/>
  <c r="AC16" i="3"/>
  <c r="AC17" i="3"/>
  <c r="AT5" i="3"/>
  <c r="AH5" i="3"/>
  <c r="AP5" i="3"/>
  <c r="F35" i="11"/>
  <c r="F36" i="11"/>
  <c r="F38" i="11"/>
  <c r="E37" i="11"/>
  <c r="F20" i="11"/>
  <c r="F21" i="11"/>
  <c r="C21" i="11"/>
  <c r="F7" i="11"/>
  <c r="C7" i="11"/>
  <c r="C5" i="11"/>
  <c r="E14" i="12"/>
  <c r="BD11" i="3"/>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1" i="39"/>
  <c r="G91"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s="1"/>
  <c r="D85" i="21"/>
  <c r="B130" i="21"/>
  <c r="B128" i="21"/>
  <c r="J45" i="21"/>
  <c r="W45"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W40" i="21"/>
  <c r="H35" i="21"/>
  <c r="AB35" i="21"/>
  <c r="J8" i="21"/>
  <c r="AC8" i="21"/>
  <c r="H8" i="21"/>
  <c r="U8" i="21"/>
  <c r="H10" i="21"/>
  <c r="AB10" i="21"/>
  <c r="H39" i="21"/>
  <c r="U39" i="21"/>
  <c r="J34" i="21"/>
  <c r="W34" i="21"/>
  <c r="H36" i="21"/>
  <c r="U36" i="21"/>
  <c r="F35" i="21"/>
  <c r="AA35" i="21"/>
  <c r="J10" i="21"/>
  <c r="AC10" i="2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U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U15" i="39"/>
  <c r="W15" i="39"/>
  <c r="H41"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AQ10" i="1"/>
  <c r="B10" i="1"/>
  <c r="E10" i="1"/>
  <c r="D1" i="66"/>
  <c r="E10" i="66"/>
  <c r="AZ80" i="3"/>
  <c r="AZ84" i="3"/>
  <c r="AZ88" i="3"/>
  <c r="AZ107" i="3"/>
  <c r="AZ111" i="3"/>
  <c r="S13" i="1"/>
  <c r="AR13" i="1" s="1"/>
  <c r="R13" i="1"/>
  <c r="S11" i="1"/>
  <c r="AQ11" i="1" s="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W15" i="21"/>
  <c r="F77" i="21"/>
  <c r="G77" i="21"/>
  <c r="F23" i="21"/>
  <c r="S23" i="21"/>
  <c r="E85"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H33" i="21"/>
  <c r="AB33" i="21"/>
  <c r="F37" i="21"/>
  <c r="AA37" i="21"/>
  <c r="AA26" i="21"/>
  <c r="AB14" i="21"/>
  <c r="AB46" i="21"/>
  <c r="U40" i="21"/>
  <c r="AB31" i="21"/>
  <c r="U31" i="21"/>
  <c r="U13" i="21"/>
  <c r="AB13" i="21"/>
  <c r="W8" i="21"/>
  <c r="S35" i="21"/>
  <c r="AB37" i="21"/>
  <c r="W37" i="21"/>
  <c r="U15" i="21"/>
  <c r="W39" i="21"/>
  <c r="AC14" i="21"/>
  <c r="W30" i="21"/>
  <c r="S46" i="21"/>
  <c r="H45" i="21"/>
  <c r="U45" i="21"/>
  <c r="F29" i="21"/>
  <c r="S29" i="21"/>
  <c r="F13" i="21"/>
  <c r="AA13" i="21"/>
  <c r="AC38" i="21"/>
  <c r="H32" i="21"/>
  <c r="H9" i="21"/>
  <c r="J9" i="21"/>
  <c r="J32" i="21"/>
  <c r="F32" i="21"/>
  <c r="AA31" i="21"/>
  <c r="W29" i="21"/>
  <c r="S9" i="21"/>
  <c r="AA9" i="21"/>
  <c r="K141" i="21"/>
  <c r="K144" i="21"/>
  <c r="K143" i="21"/>
  <c r="U27" i="21"/>
  <c r="AB25" i="21"/>
  <c r="AA30" i="21"/>
  <c r="W13" i="21"/>
  <c r="W42" i="21"/>
  <c r="AC45" i="21"/>
  <c r="F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s="1"/>
  <c r="B5" i="62" s="1"/>
  <c r="B73" i="72" s="1"/>
  <c r="B9" i="49"/>
  <c r="E16" i="49"/>
  <c r="B11" i="49"/>
  <c r="E8" i="49"/>
  <c r="E21" i="49"/>
  <c r="E10" i="49"/>
  <c r="E9" i="49"/>
  <c r="E5" i="49"/>
  <c r="B6" i="49"/>
  <c r="B4" i="49"/>
  <c r="C4" i="4"/>
  <c r="B4" i="62" s="1"/>
  <c r="B71" i="72" s="1"/>
  <c r="B8" i="49"/>
  <c r="E4" i="49"/>
  <c r="E11" i="49"/>
  <c r="AQ13" i="1"/>
  <c r="F30" i="68"/>
  <c r="C30" i="68"/>
  <c r="F30" i="11"/>
  <c r="C48" i="11"/>
  <c r="F28" i="67"/>
  <c r="C28" i="67"/>
  <c r="F52" i="9"/>
  <c r="M18" i="67"/>
  <c r="F32" i="67"/>
  <c r="F60" i="67"/>
  <c r="F30" i="69"/>
  <c r="C48" i="69"/>
  <c r="F60" i="15"/>
  <c r="M18" i="15"/>
  <c r="E63" i="39"/>
  <c r="T11" i="1"/>
  <c r="D9" i="69"/>
  <c r="C9" i="69" s="1"/>
  <c r="AQ9"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S21" i="6"/>
  <c r="L27" i="6"/>
  <c r="S26" i="6"/>
  <c r="S22" i="6"/>
  <c r="M20" i="6"/>
  <c r="I20" i="6"/>
  <c r="AP7" i="1"/>
  <c r="C36" i="69" s="1"/>
  <c r="H16" i="1"/>
  <c r="K16" i="1"/>
  <c r="AB45" i="21"/>
  <c r="W33" i="21"/>
  <c r="S33" i="21"/>
  <c r="AA33" i="21"/>
  <c r="W32" i="21"/>
  <c r="AC32" i="21"/>
  <c r="AB9" i="21"/>
  <c r="U9" i="21"/>
  <c r="AA32" i="21"/>
  <c r="S32" i="21"/>
  <c r="W9" i="21"/>
  <c r="AC9" i="21"/>
  <c r="AB32" i="21"/>
  <c r="U32" i="21"/>
  <c r="AA10" i="21"/>
  <c r="S10" i="21"/>
  <c r="F31" i="15"/>
  <c r="M17" i="15"/>
  <c r="F59" i="67"/>
  <c r="F59" i="15"/>
  <c r="F31" i="67"/>
  <c r="M17" i="67"/>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E39" i="43"/>
  <c r="H7" i="35"/>
  <c r="F7" i="37"/>
  <c r="J7" i="35"/>
  <c r="F7" i="35"/>
  <c r="J7" i="36"/>
  <c r="H7" i="36"/>
  <c r="U7" i="36"/>
  <c r="J7" i="37"/>
  <c r="G59" i="34"/>
  <c r="H59" i="34"/>
  <c r="I59" i="34"/>
  <c r="J59" i="34"/>
  <c r="K59" i="34"/>
  <c r="L59" i="34"/>
  <c r="M59" i="34"/>
  <c r="N59" i="34"/>
  <c r="O59" i="34"/>
  <c r="E63" i="40"/>
  <c r="D65" i="40"/>
  <c r="J7" i="34"/>
  <c r="E68" i="39"/>
  <c r="F68" i="39"/>
  <c r="G68" i="39"/>
  <c r="H68" i="39"/>
  <c r="I68" i="39"/>
  <c r="J68" i="39"/>
  <c r="K68" i="39"/>
  <c r="L68" i="39"/>
  <c r="M68" i="39"/>
  <c r="N68" i="39"/>
  <c r="O68" i="39"/>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5" i="6"/>
  <c r="D26" i="6"/>
  <c r="D15" i="6"/>
  <c r="C18" i="4"/>
  <c r="D8" i="6"/>
  <c r="D21" i="6"/>
  <c r="D24" i="6"/>
  <c r="D14" i="6"/>
  <c r="D20" i="6"/>
  <c r="R20" i="6"/>
  <c r="R7" i="1"/>
  <c r="D5" i="6"/>
  <c r="D6" i="6"/>
  <c r="D12" i="6"/>
  <c r="D9" i="6"/>
  <c r="D11" i="6"/>
  <c r="D10" i="6"/>
  <c r="D13" i="6"/>
  <c r="L19" i="9"/>
  <c r="D28" i="6"/>
  <c r="D29" i="6"/>
  <c r="E61" i="40"/>
  <c r="H25" i="6"/>
  <c r="R25" i="6"/>
  <c r="H21" i="6"/>
  <c r="H26" i="6"/>
  <c r="H24" i="6"/>
  <c r="E35"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9" i="6"/>
  <c r="S27" i="6"/>
  <c r="I27" i="6"/>
  <c r="F50" i="11"/>
  <c r="F50" i="69"/>
  <c r="F50" i="68"/>
  <c r="G36" i="36"/>
  <c r="R37" i="36"/>
  <c r="AB7" i="34"/>
  <c r="T49" i="34"/>
  <c r="G49" i="34"/>
  <c r="G53" i="34"/>
  <c r="H53" i="34"/>
  <c r="W7" i="21"/>
  <c r="R26" i="6"/>
  <c r="R24" i="6"/>
  <c r="R21" i="6"/>
  <c r="R8" i="1"/>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D31" i="6"/>
  <c r="I6" i="6"/>
  <c r="G54" i="34"/>
  <c r="H54" i="34"/>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C49" i="34"/>
  <c r="C50" i="34"/>
  <c r="H63" i="40"/>
  <c r="G65" i="40"/>
  <c r="H70" i="39"/>
  <c r="I5" i="6"/>
  <c r="I63" i="40"/>
  <c r="H65" i="40"/>
  <c r="I70" i="39"/>
  <c r="J63" i="40"/>
  <c r="I65" i="40"/>
  <c r="J70" i="39"/>
  <c r="K63" i="40"/>
  <c r="J65" i="40"/>
  <c r="K70" i="39"/>
  <c r="L63" i="40"/>
  <c r="K65" i="40"/>
  <c r="L70" i="39"/>
  <c r="C34" i="69"/>
  <c r="C35" i="69" s="1"/>
  <c r="M63" i="40"/>
  <c r="L65" i="40"/>
  <c r="M70" i="39"/>
  <c r="D10" i="69"/>
  <c r="D19" i="69" s="1"/>
  <c r="N63" i="40"/>
  <c r="M65" i="40"/>
  <c r="O70" i="39"/>
  <c r="N70" i="39"/>
  <c r="O63" i="40"/>
  <c r="O65" i="40"/>
  <c r="N65" i="40"/>
  <c r="F7" i="40"/>
  <c r="H7" i="40"/>
  <c r="J7" i="40"/>
  <c r="W7" i="40"/>
  <c r="AC7" i="40"/>
  <c r="V42" i="40"/>
  <c r="I42" i="40" s="1"/>
  <c r="I46" i="40" s="1"/>
  <c r="AB7" i="40"/>
  <c r="T42" i="40"/>
  <c r="G42" i="40" s="1"/>
  <c r="U7" i="40"/>
  <c r="AA7" i="40"/>
  <c r="R42" i="40"/>
  <c r="E42" i="40" s="1"/>
  <c r="S7" i="40"/>
  <c r="J46"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s="1"/>
  <c r="C30" i="43"/>
  <c r="E30" i="43" s="1"/>
  <c r="C27" i="43" s="1"/>
  <c r="G16" i="1"/>
  <c r="H10" i="40" s="1"/>
  <c r="U10" i="40" s="1"/>
  <c r="Q16" i="1"/>
  <c r="F6" i="80"/>
  <c r="F9" i="80"/>
  <c r="F4" i="73"/>
  <c r="F35" i="80"/>
  <c r="C14" i="80"/>
  <c r="F26" i="80"/>
  <c r="F36" i="80"/>
  <c r="F13" i="80"/>
  <c r="F37" i="80"/>
  <c r="F38" i="80"/>
  <c r="F42" i="80"/>
  <c r="L48" i="80"/>
  <c r="M6" i="80"/>
  <c r="F8" i="15"/>
  <c r="F7" i="15"/>
  <c r="C14" i="15"/>
  <c r="F26" i="15"/>
  <c r="F36" i="15"/>
  <c r="F13" i="15"/>
  <c r="F37" i="15"/>
  <c r="F38" i="15"/>
  <c r="F42" i="15"/>
  <c r="M8" i="15"/>
  <c r="M9" i="15"/>
  <c r="F8" i="81"/>
  <c r="F7" i="81"/>
  <c r="F35" i="81"/>
  <c r="F16" i="81"/>
  <c r="F43" i="81"/>
  <c r="F40" i="81"/>
  <c r="M8" i="81"/>
  <c r="M9" i="81"/>
  <c r="F8" i="80"/>
  <c r="F7" i="80"/>
  <c r="F16" i="80"/>
  <c r="F43" i="80"/>
  <c r="D5" i="73"/>
  <c r="G1" i="73"/>
  <c r="F40" i="80"/>
  <c r="M8" i="80"/>
  <c r="M9" i="80"/>
  <c r="F6" i="15"/>
  <c r="F9" i="15"/>
  <c r="F35" i="15"/>
  <c r="F16" i="15"/>
  <c r="F43" i="15"/>
  <c r="F40" i="15"/>
  <c r="L48" i="15"/>
  <c r="M6" i="15"/>
  <c r="F6" i="81"/>
  <c r="F9" i="81"/>
  <c r="F36" i="81"/>
  <c r="F37" i="81"/>
  <c r="L48" i="81"/>
  <c r="M6" i="81"/>
  <c r="C14" i="81"/>
  <c r="F26" i="81"/>
  <c r="F13" i="81"/>
  <c r="F38" i="81"/>
  <c r="F42" i="81"/>
  <c r="F41" i="81"/>
  <c r="D2" i="83"/>
  <c r="L47" i="81"/>
  <c r="M28" i="81"/>
  <c r="M26" i="81"/>
  <c r="M21" i="81"/>
  <c r="M22" i="81"/>
  <c r="J15" i="81"/>
  <c r="M23" i="81"/>
  <c r="M24" i="81"/>
  <c r="C76" i="80"/>
  <c r="L47" i="80"/>
  <c r="M27" i="81"/>
  <c r="M28" i="80"/>
  <c r="M27" i="80"/>
  <c r="E8" i="76"/>
  <c r="E10" i="76"/>
  <c r="E12" i="76"/>
  <c r="B12" i="76"/>
  <c r="B10" i="76"/>
  <c r="B9" i="76"/>
  <c r="F5" i="73"/>
  <c r="F6" i="73"/>
  <c r="F3" i="73"/>
  <c r="D4" i="73"/>
  <c r="AO13" i="1"/>
  <c r="AO12" i="1"/>
  <c r="M24" i="15"/>
  <c r="M24" i="67"/>
  <c r="M23" i="15"/>
  <c r="F8" i="67"/>
  <c r="F26" i="67"/>
  <c r="M28" i="15"/>
  <c r="J15" i="15"/>
  <c r="M9" i="67"/>
  <c r="M6" i="67"/>
  <c r="J15" i="67"/>
  <c r="C76" i="15"/>
  <c r="M22" i="67"/>
  <c r="F37" i="67"/>
  <c r="F36" i="67"/>
  <c r="M26" i="15"/>
  <c r="F9" i="67"/>
  <c r="M29" i="15"/>
  <c r="M23" i="67"/>
  <c r="F35" i="67"/>
  <c r="M21" i="15"/>
  <c r="C76" i="81"/>
  <c r="M29" i="81"/>
  <c r="M29" i="80"/>
  <c r="M26" i="80"/>
  <c r="M21" i="80"/>
  <c r="M22" i="80"/>
  <c r="J15" i="80"/>
  <c r="M23" i="80"/>
  <c r="M24" i="80"/>
  <c r="E7" i="76"/>
  <c r="E9" i="76"/>
  <c r="E11" i="76"/>
  <c r="E13" i="76"/>
  <c r="B8" i="76"/>
  <c r="B11" i="76"/>
  <c r="B13" i="76"/>
  <c r="B7" i="76"/>
  <c r="F7" i="73"/>
  <c r="D3" i="73"/>
  <c r="D6" i="73"/>
  <c r="D7" i="73"/>
  <c r="AO11" i="1"/>
  <c r="AO10" i="1"/>
  <c r="C76" i="67"/>
  <c r="F6" i="67"/>
  <c r="M22" i="15"/>
  <c r="M26" i="67"/>
  <c r="F13" i="67"/>
  <c r="F7" i="67"/>
  <c r="L48" i="67"/>
  <c r="F43" i="67"/>
  <c r="L47" i="15"/>
  <c r="F16" i="67"/>
  <c r="L47" i="67"/>
  <c r="F38" i="67"/>
  <c r="F40" i="67"/>
  <c r="M28" i="67"/>
  <c r="M29" i="67"/>
  <c r="M8" i="67"/>
  <c r="F42" i="67"/>
  <c r="M21" i="67"/>
  <c r="F41" i="67"/>
  <c r="AO7" i="1"/>
  <c r="D2" i="37"/>
  <c r="D2" i="21"/>
  <c r="D2" i="34"/>
  <c r="E2" i="68"/>
  <c r="M27" i="67"/>
  <c r="M27" i="15"/>
  <c r="AO8" i="1"/>
  <c r="E2" i="69"/>
  <c r="D2" i="36"/>
  <c r="F20" i="31"/>
  <c r="D2" i="33"/>
  <c r="D2" i="35"/>
  <c r="C18" i="9" l="1"/>
  <c r="D18" i="9" s="1"/>
  <c r="S11" i="39"/>
  <c r="J19" i="21"/>
  <c r="F81" i="21"/>
  <c r="G81" i="21" s="1"/>
  <c r="F19" i="21"/>
  <c r="H19" i="21"/>
  <c r="AB19" i="83"/>
  <c r="U19" i="83"/>
  <c r="W19" i="83"/>
  <c r="AC19" i="83"/>
  <c r="F81" i="83"/>
  <c r="G81" i="83" s="1"/>
  <c r="F19" i="83"/>
  <c r="AB17" i="21"/>
  <c r="U17" i="21"/>
  <c r="J17" i="21"/>
  <c r="F17" i="21"/>
  <c r="J17" i="83"/>
  <c r="E79" i="83"/>
  <c r="H17" i="83"/>
  <c r="F15" i="83"/>
  <c r="AA15" i="83" s="1"/>
  <c r="AB15" i="83"/>
  <c r="U15" i="83"/>
  <c r="S15" i="83"/>
  <c r="F77" i="83"/>
  <c r="G77" i="83" s="1"/>
  <c r="J15" i="83"/>
  <c r="F27" i="39"/>
  <c r="H27" i="39"/>
  <c r="J27" i="39"/>
  <c r="G101" i="39"/>
  <c r="F19" i="39"/>
  <c r="J19" i="39"/>
  <c r="H19" i="39"/>
  <c r="F93" i="39"/>
  <c r="G93" i="39" s="1"/>
  <c r="G36" i="43"/>
  <c r="I36" i="43" s="1"/>
  <c r="E36" i="43"/>
  <c r="C34" i="43"/>
  <c r="I47" i="40"/>
  <c r="J47" i="40" s="1"/>
  <c r="E46" i="40"/>
  <c r="F46" i="40" s="1"/>
  <c r="H10" i="39"/>
  <c r="J10" i="39"/>
  <c r="F10" i="40"/>
  <c r="J10" i="40"/>
  <c r="F10" i="39"/>
  <c r="R43" i="40"/>
  <c r="C42" i="40" s="1"/>
  <c r="AR11" i="1"/>
  <c r="F27" i="68"/>
  <c r="C29" i="68" s="1"/>
  <c r="D27" i="68" s="1"/>
  <c r="F28" i="12"/>
  <c r="C29" i="12" s="1"/>
  <c r="D28" i="12" s="1"/>
  <c r="F27" i="69"/>
  <c r="C47" i="69" s="1"/>
  <c r="D45" i="69" s="1"/>
  <c r="G47" i="40"/>
  <c r="H47" i="40" s="1"/>
  <c r="G46" i="40"/>
  <c r="H46" i="40" s="1"/>
  <c r="E47" i="40"/>
  <c r="F47" i="40" s="1"/>
  <c r="F27" i="11"/>
  <c r="AB10" i="40"/>
  <c r="C43" i="40"/>
  <c r="K4" i="4"/>
  <c r="B46" i="48" s="1"/>
  <c r="B4" i="72" s="1"/>
  <c r="O11" i="1"/>
  <c r="P11" i="1" s="1"/>
  <c r="M16" i="1"/>
  <c r="L16" i="1" s="1"/>
  <c r="C10" i="69"/>
  <c r="E33" i="43"/>
  <c r="C26" i="43" s="1"/>
  <c r="C47" i="68"/>
  <c r="D45" i="68" s="1"/>
  <c r="R16" i="1"/>
  <c r="P7" i="1"/>
  <c r="P16" i="1" s="1"/>
  <c r="C11" i="12" s="1"/>
  <c r="C38" i="69"/>
  <c r="C8" i="69"/>
  <c r="C5" i="69" s="1"/>
  <c r="D37" i="69"/>
  <c r="C37" i="69" s="1"/>
  <c r="C33" i="69" s="1"/>
  <c r="C19" i="69"/>
  <c r="C20" i="69" s="1"/>
  <c r="C18" i="12"/>
  <c r="B2" i="35"/>
  <c r="B3" i="35" s="1"/>
  <c r="B2" i="33"/>
  <c r="B3" i="33" s="1"/>
  <c r="B20" i="31"/>
  <c r="B2" i="36"/>
  <c r="B3" i="36" s="1"/>
  <c r="B8" i="70"/>
  <c r="B2" i="34"/>
  <c r="B3" i="34" s="1"/>
  <c r="B2" i="37"/>
  <c r="B3" i="37" s="1"/>
  <c r="B7" i="70"/>
  <c r="F69" i="67"/>
  <c r="J20" i="67"/>
  <c r="F70" i="67"/>
  <c r="F68" i="67"/>
  <c r="F66" i="67"/>
  <c r="L58" i="67"/>
  <c r="L59" i="67"/>
  <c r="N59" i="67"/>
  <c r="M59" i="67"/>
  <c r="M59" i="15"/>
  <c r="L59" i="15" s="1"/>
  <c r="N59" i="15"/>
  <c r="L58" i="15"/>
  <c r="F71" i="67"/>
  <c r="J57" i="67"/>
  <c r="J55" i="67" s="1"/>
  <c r="J58" i="67" s="1"/>
  <c r="Q50" i="67" s="1"/>
  <c r="J60" i="67"/>
  <c r="Q48" i="67" s="1"/>
  <c r="I54" i="67"/>
  <c r="L56" i="67"/>
  <c r="J59" i="67"/>
  <c r="M7" i="67"/>
  <c r="F50" i="67"/>
  <c r="C6" i="67"/>
  <c r="Q71" i="67"/>
  <c r="B10" i="70"/>
  <c r="B11" i="70"/>
  <c r="J20" i="80"/>
  <c r="Q71" i="81"/>
  <c r="J20" i="15"/>
  <c r="F63" i="67"/>
  <c r="C62" i="67" s="1"/>
  <c r="C34" i="67"/>
  <c r="F64" i="67"/>
  <c r="F65" i="67"/>
  <c r="Q71" i="15"/>
  <c r="J6" i="67"/>
  <c r="C27" i="67"/>
  <c r="F51" i="67"/>
  <c r="B12" i="70"/>
  <c r="B13" i="70"/>
  <c r="E20" i="43"/>
  <c r="L58" i="80"/>
  <c r="N59" i="80"/>
  <c r="M59" i="80"/>
  <c r="L59" i="80" s="1"/>
  <c r="Q71" i="80"/>
  <c r="J20" i="81"/>
  <c r="L58" i="81"/>
  <c r="N59" i="81"/>
  <c r="M59" i="81"/>
  <c r="L59" i="81" s="1"/>
  <c r="F69" i="81"/>
  <c r="F66" i="81"/>
  <c r="C27" i="81"/>
  <c r="C18" i="81"/>
  <c r="C15" i="81"/>
  <c r="C19" i="81"/>
  <c r="J53" i="81"/>
  <c r="J60" i="81"/>
  <c r="Q48" i="81" s="1"/>
  <c r="L46" i="81"/>
  <c r="J59" i="81"/>
  <c r="J57" i="81"/>
  <c r="J55" i="81" s="1"/>
  <c r="J58" i="81" s="1"/>
  <c r="Q50" i="81" s="1"/>
  <c r="L60" i="81"/>
  <c r="L56" i="81"/>
  <c r="L57" i="81"/>
  <c r="I54" i="81"/>
  <c r="F65" i="81"/>
  <c r="F64" i="81"/>
  <c r="C6" i="81"/>
  <c r="J53" i="15"/>
  <c r="J60" i="15"/>
  <c r="Q48" i="15" s="1"/>
  <c r="J57" i="15"/>
  <c r="J55" i="15" s="1"/>
  <c r="J58" i="15" s="1"/>
  <c r="Q50" i="15" s="1"/>
  <c r="J59" i="15"/>
  <c r="L56" i="15"/>
  <c r="L57" i="15"/>
  <c r="I54" i="15"/>
  <c r="L60" i="15"/>
  <c r="F68" i="15"/>
  <c r="F71" i="15"/>
  <c r="C34" i="15"/>
  <c r="F63" i="15"/>
  <c r="C62" i="15" s="1"/>
  <c r="C6" i="15"/>
  <c r="F68" i="80"/>
  <c r="B40" i="1"/>
  <c r="F71" i="80"/>
  <c r="M7" i="80"/>
  <c r="J6" i="80" s="1"/>
  <c r="F50" i="80"/>
  <c r="F51" i="80"/>
  <c r="F68" i="81"/>
  <c r="F71" i="81"/>
  <c r="C34" i="81"/>
  <c r="F63" i="81"/>
  <c r="C62" i="81" s="1"/>
  <c r="M7" i="81"/>
  <c r="J6" i="81" s="1"/>
  <c r="F50" i="81"/>
  <c r="F51" i="81"/>
  <c r="F66" i="15"/>
  <c r="F65" i="15"/>
  <c r="F64" i="15"/>
  <c r="C27" i="15"/>
  <c r="C15" i="15"/>
  <c r="C18" i="15"/>
  <c r="M7" i="15"/>
  <c r="J6" i="15" s="1"/>
  <c r="F50" i="15"/>
  <c r="F51" i="15"/>
  <c r="J60" i="80"/>
  <c r="Q48" i="80" s="1"/>
  <c r="J57" i="80"/>
  <c r="J55" i="80" s="1"/>
  <c r="J58" i="80" s="1"/>
  <c r="Q50" i="80" s="1"/>
  <c r="J53" i="80"/>
  <c r="J59" i="80"/>
  <c r="L60" i="80"/>
  <c r="L56" i="80"/>
  <c r="L57" i="80"/>
  <c r="I54" i="80"/>
  <c r="F66" i="80"/>
  <c r="F65" i="80"/>
  <c r="F64" i="80"/>
  <c r="C27" i="80"/>
  <c r="C15" i="80"/>
  <c r="C18" i="80"/>
  <c r="C34" i="80"/>
  <c r="F63" i="80"/>
  <c r="C62" i="80" s="1"/>
  <c r="I1" i="73"/>
  <c r="B39" i="1" s="1"/>
  <c r="C6" i="80"/>
  <c r="C39" i="69"/>
  <c r="C46" i="69" s="1"/>
  <c r="C45" i="69" s="1"/>
  <c r="C29" i="69"/>
  <c r="D27" i="69" s="1"/>
  <c r="E6" i="76"/>
  <c r="C17" i="67"/>
  <c r="C17" i="81"/>
  <c r="C16" i="81"/>
  <c r="C14" i="67"/>
  <c r="C16" i="67"/>
  <c r="C17" i="15"/>
  <c r="C16" i="15"/>
  <c r="C17" i="80"/>
  <c r="C16" i="80"/>
  <c r="AB19" i="21" l="1"/>
  <c r="U19" i="21"/>
  <c r="T48" i="21"/>
  <c r="G48" i="21" s="1"/>
  <c r="G52" i="21" s="1"/>
  <c r="H52" i="21" s="1"/>
  <c r="AA19" i="21"/>
  <c r="S19" i="21"/>
  <c r="W19" i="21"/>
  <c r="AC19" i="21"/>
  <c r="AA19" i="83"/>
  <c r="S19" i="83"/>
  <c r="AA17" i="21"/>
  <c r="R48" i="21" s="1"/>
  <c r="S17" i="21"/>
  <c r="AC17" i="21"/>
  <c r="W17" i="21"/>
  <c r="F79" i="83"/>
  <c r="G79" i="83" s="1"/>
  <c r="F17" i="83"/>
  <c r="AB17" i="83"/>
  <c r="T48" i="83" s="1"/>
  <c r="G48" i="83" s="1"/>
  <c r="U17" i="83"/>
  <c r="W17" i="83"/>
  <c r="AC17" i="83"/>
  <c r="W15" i="83"/>
  <c r="AC15" i="83"/>
  <c r="V48" i="83" s="1"/>
  <c r="I48" i="83" s="1"/>
  <c r="AB27" i="39"/>
  <c r="U27" i="39"/>
  <c r="AC27" i="39"/>
  <c r="W27" i="39"/>
  <c r="AA27" i="39"/>
  <c r="S27" i="39"/>
  <c r="AC19" i="39"/>
  <c r="W19" i="39"/>
  <c r="AB19" i="39"/>
  <c r="U19" i="39"/>
  <c r="AA19" i="39"/>
  <c r="S19" i="39"/>
  <c r="G34" i="43"/>
  <c r="I34" i="43" s="1"/>
  <c r="E34" i="43"/>
  <c r="C12" i="12"/>
  <c r="C15" i="12"/>
  <c r="N16" i="1"/>
  <c r="F11" i="12" s="1"/>
  <c r="C14" i="12" s="1"/>
  <c r="W10" i="40"/>
  <c r="AC10" i="40"/>
  <c r="W10" i="39"/>
  <c r="AC10" i="39"/>
  <c r="V47" i="39" s="1"/>
  <c r="I47" i="39" s="1"/>
  <c r="I51" i="39" s="1"/>
  <c r="J51" i="39" s="1"/>
  <c r="S10" i="39"/>
  <c r="AA10" i="39"/>
  <c r="R47" i="39" s="1"/>
  <c r="AA10" i="40"/>
  <c r="S10" i="40"/>
  <c r="U10" i="39"/>
  <c r="AB10" i="39"/>
  <c r="T47" i="39" s="1"/>
  <c r="G47" i="39" s="1"/>
  <c r="E2" i="76"/>
  <c r="B2" i="43"/>
  <c r="C28" i="69"/>
  <c r="C27" i="69" s="1"/>
  <c r="O16" i="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47" i="11"/>
  <c r="D45" i="11" s="1"/>
  <c r="C28" i="11"/>
  <c r="C27" i="11" s="1"/>
  <c r="C29" i="11"/>
  <c r="D27" i="11" s="1"/>
  <c r="C49" i="80"/>
  <c r="L46" i="80"/>
  <c r="C19" i="80"/>
  <c r="C15" i="67"/>
  <c r="C18" i="67"/>
  <c r="C19" i="15"/>
  <c r="F1" i="80"/>
  <c r="Q52" i="80"/>
  <c r="C49" i="15"/>
  <c r="C49" i="81"/>
  <c r="Q57" i="15"/>
  <c r="Q66" i="15"/>
  <c r="L46" i="15"/>
  <c r="Q57" i="81"/>
  <c r="Q66" i="81"/>
  <c r="Q74" i="80"/>
  <c r="Q61" i="80"/>
  <c r="Q60" i="80"/>
  <c r="Q73" i="80"/>
  <c r="C49" i="67"/>
  <c r="Q73" i="15"/>
  <c r="Q60" i="15"/>
  <c r="Q74" i="15"/>
  <c r="Q61" i="15"/>
  <c r="Q73" i="67"/>
  <c r="Q60" i="67"/>
  <c r="M11" i="15"/>
  <c r="J10" i="15" s="1"/>
  <c r="J5" i="15" s="1"/>
  <c r="M11" i="81"/>
  <c r="J10" i="81" s="1"/>
  <c r="J5" i="81" s="1"/>
  <c r="F11" i="80"/>
  <c r="C53" i="80" s="1"/>
  <c r="M11" i="80"/>
  <c r="J10" i="80" s="1"/>
  <c r="J5" i="80" s="1"/>
  <c r="F11" i="15"/>
  <c r="C53" i="15" s="1"/>
  <c r="F11" i="81"/>
  <c r="M11" i="67"/>
  <c r="J10" i="67" s="1"/>
  <c r="J5" i="67" s="1"/>
  <c r="F11" i="67"/>
  <c r="Q57" i="80"/>
  <c r="Q66" i="80"/>
  <c r="F24" i="81"/>
  <c r="C24" i="81" s="1"/>
  <c r="F24" i="80"/>
  <c r="C24" i="80" s="1"/>
  <c r="F22" i="68"/>
  <c r="F24" i="15"/>
  <c r="C24" i="15" s="1"/>
  <c r="F25" i="12"/>
  <c r="C26" i="12" s="1"/>
  <c r="D25" i="12" s="1"/>
  <c r="F22" i="69"/>
  <c r="F22" i="11"/>
  <c r="F24" i="67"/>
  <c r="C24" i="67" s="1"/>
  <c r="F1" i="15"/>
  <c r="Q52" i="15"/>
  <c r="F1" i="81"/>
  <c r="Q52" i="81"/>
  <c r="C20" i="81"/>
  <c r="C26" i="81" s="1"/>
  <c r="Q61" i="81"/>
  <c r="Q74" i="81"/>
  <c r="Q60" i="81"/>
  <c r="Q73" i="81"/>
  <c r="O17" i="43"/>
  <c r="M17" i="43"/>
  <c r="P17" i="43"/>
  <c r="N17" i="43"/>
  <c r="Q74" i="67"/>
  <c r="Q61" i="67"/>
  <c r="B6" i="76"/>
  <c r="AE9" i="1"/>
  <c r="F41" i="80" s="1"/>
  <c r="AE6" i="1"/>
  <c r="F41" i="15" s="1"/>
  <c r="V48" i="21" l="1"/>
  <c r="I48" i="21" s="1"/>
  <c r="G53" i="21" s="1"/>
  <c r="H53" i="21" s="1"/>
  <c r="R49" i="21"/>
  <c r="E48" i="21"/>
  <c r="G52" i="83"/>
  <c r="H52" i="83" s="1"/>
  <c r="G53" i="83"/>
  <c r="H53" i="83" s="1"/>
  <c r="AA17" i="83"/>
  <c r="R48" i="83" s="1"/>
  <c r="S17" i="83"/>
  <c r="I52" i="83"/>
  <c r="J52" i="83" s="1"/>
  <c r="C19" i="67"/>
  <c r="C16" i="12"/>
  <c r="C21" i="12" s="1"/>
  <c r="C22" i="12" s="1"/>
  <c r="C48" i="80"/>
  <c r="C66" i="80" s="1"/>
  <c r="G52" i="39"/>
  <c r="H52" i="39" s="1"/>
  <c r="G51" i="39"/>
  <c r="H51" i="39" s="1"/>
  <c r="E47" i="39"/>
  <c r="R48" i="39"/>
  <c r="F34" i="68"/>
  <c r="C34" i="68" s="1"/>
  <c r="F34" i="11"/>
  <c r="B2" i="76"/>
  <c r="B3" i="76" s="1"/>
  <c r="B3" i="43"/>
  <c r="C23" i="81"/>
  <c r="C29" i="81" s="1"/>
  <c r="C13" i="81" s="1"/>
  <c r="F69" i="15"/>
  <c r="F69" i="80"/>
  <c r="J26" i="80"/>
  <c r="J29" i="80" s="1"/>
  <c r="J24" i="80"/>
  <c r="J18" i="80"/>
  <c r="J24" i="67"/>
  <c r="J18" i="67"/>
  <c r="J26" i="67"/>
  <c r="J29" i="67" s="1"/>
  <c r="J26" i="81"/>
  <c r="J29" i="81" s="1"/>
  <c r="J18" i="81"/>
  <c r="J24" i="81"/>
  <c r="J26" i="15"/>
  <c r="J29" i="15" s="1"/>
  <c r="J24" i="15"/>
  <c r="J18" i="15"/>
  <c r="C26" i="69"/>
  <c r="D22" i="69" s="1"/>
  <c r="C44" i="69"/>
  <c r="D41" i="69" s="1"/>
  <c r="C42" i="69"/>
  <c r="C25" i="69"/>
  <c r="C23" i="69"/>
  <c r="C24" i="69"/>
  <c r="C60" i="80"/>
  <c r="C10" i="15"/>
  <c r="C5" i="15" s="1"/>
  <c r="C25" i="11"/>
  <c r="C44" i="11"/>
  <c r="D41" i="11" s="1"/>
  <c r="C23" i="11"/>
  <c r="C26" i="11"/>
  <c r="D22" i="11" s="1"/>
  <c r="C24" i="11"/>
  <c r="C26" i="68"/>
  <c r="D22" i="68" s="1"/>
  <c r="C44" i="68"/>
  <c r="D41" i="68" s="1"/>
  <c r="C24" i="68"/>
  <c r="C10" i="67"/>
  <c r="C5" i="67" s="1"/>
  <c r="C53" i="67"/>
  <c r="C48" i="67" s="1"/>
  <c r="C10" i="81"/>
  <c r="C5" i="81" s="1"/>
  <c r="C53" i="81"/>
  <c r="C48" i="81" s="1"/>
  <c r="C43" i="69"/>
  <c r="C48" i="15"/>
  <c r="C10" i="80"/>
  <c r="C5" i="80" s="1"/>
  <c r="C20" i="15"/>
  <c r="C23" i="15" s="1"/>
  <c r="C20" i="67"/>
  <c r="C20" i="80"/>
  <c r="C23" i="80" s="1"/>
  <c r="I52" i="21" l="1"/>
  <c r="J52" i="21" s="1"/>
  <c r="E53" i="21"/>
  <c r="F53" i="21" s="1"/>
  <c r="E52" i="21"/>
  <c r="F52" i="21" s="1"/>
  <c r="I53" i="21"/>
  <c r="J53" i="21" s="1"/>
  <c r="C48" i="21"/>
  <c r="C49" i="21"/>
  <c r="E48" i="83"/>
  <c r="R49" i="83"/>
  <c r="C22" i="69"/>
  <c r="C31" i="69" s="1"/>
  <c r="C57" i="81"/>
  <c r="C61" i="81" s="1"/>
  <c r="C38" i="68"/>
  <c r="C35" i="68"/>
  <c r="J19" i="81"/>
  <c r="C36" i="81"/>
  <c r="C37" i="11"/>
  <c r="C36" i="11"/>
  <c r="C34" i="11"/>
  <c r="C48" i="39"/>
  <c r="C47" i="39"/>
  <c r="C37" i="68"/>
  <c r="C36" i="68"/>
  <c r="E51" i="39"/>
  <c r="F51" i="39" s="1"/>
  <c r="E52" i="39"/>
  <c r="F52" i="39" s="1"/>
  <c r="I52" i="39"/>
  <c r="J52" i="39" s="1"/>
  <c r="C26" i="15"/>
  <c r="C29" i="15" s="1"/>
  <c r="C26" i="80"/>
  <c r="C29" i="80"/>
  <c r="C13" i="80" s="1"/>
  <c r="J14" i="81"/>
  <c r="J13" i="81" s="1"/>
  <c r="J23" i="81" s="1"/>
  <c r="Q49" i="81"/>
  <c r="C66" i="81"/>
  <c r="C60" i="81"/>
  <c r="C26" i="67"/>
  <c r="C23" i="67"/>
  <c r="C66" i="15"/>
  <c r="C60" i="15"/>
  <c r="C38" i="81"/>
  <c r="C32" i="81"/>
  <c r="C33" i="81"/>
  <c r="C38" i="67"/>
  <c r="C32" i="67"/>
  <c r="C22" i="11"/>
  <c r="C31" i="11" s="1"/>
  <c r="J17" i="81"/>
  <c r="C37" i="81"/>
  <c r="C75" i="81"/>
  <c r="Q70" i="81"/>
  <c r="C56" i="81"/>
  <c r="C65" i="81" s="1"/>
  <c r="C36" i="80"/>
  <c r="C32" i="80"/>
  <c r="C33" i="80"/>
  <c r="C38" i="80"/>
  <c r="C60" i="67"/>
  <c r="C66" i="67"/>
  <c r="C32" i="15"/>
  <c r="C33" i="15"/>
  <c r="C38" i="15"/>
  <c r="C41" i="69"/>
  <c r="C49" i="69" s="1"/>
  <c r="C51" i="69" s="1"/>
  <c r="C52" i="69" s="1"/>
  <c r="B2" i="69" s="1"/>
  <c r="B3" i="69" s="1"/>
  <c r="B2" i="21" l="1"/>
  <c r="E8" i="12" s="1"/>
  <c r="B3" i="21"/>
  <c r="E6" i="12" s="1"/>
  <c r="C48" i="83"/>
  <c r="C49" i="83"/>
  <c r="E53" i="83"/>
  <c r="F53" i="83" s="1"/>
  <c r="E52" i="83"/>
  <c r="F52" i="83" s="1"/>
  <c r="I53" i="83"/>
  <c r="J53" i="83" s="1"/>
  <c r="C64" i="81"/>
  <c r="J22" i="81"/>
  <c r="J16" i="81" s="1"/>
  <c r="J25" i="81" s="1"/>
  <c r="C33" i="68"/>
  <c r="C42" i="68" s="1"/>
  <c r="C13" i="15"/>
  <c r="C37" i="15" s="1"/>
  <c r="C36" i="15"/>
  <c r="J14" i="80"/>
  <c r="J13" i="80" s="1"/>
  <c r="J23" i="80" s="1"/>
  <c r="C38" i="11"/>
  <c r="C35" i="11"/>
  <c r="B56" i="39"/>
  <c r="F56" i="39" s="1"/>
  <c r="B60" i="39"/>
  <c r="F60" i="39" s="1"/>
  <c r="B64" i="39"/>
  <c r="F64" i="39" s="1"/>
  <c r="B59" i="39"/>
  <c r="F59" i="39" s="1"/>
  <c r="B63" i="39"/>
  <c r="F63" i="39" s="1"/>
  <c r="B58" i="39"/>
  <c r="F58" i="39" s="1"/>
  <c r="B62" i="39"/>
  <c r="F62" i="39" s="1"/>
  <c r="B57" i="39"/>
  <c r="F57" i="39" s="1"/>
  <c r="B61" i="39"/>
  <c r="F61" i="39" s="1"/>
  <c r="B65" i="39"/>
  <c r="F65" i="39" s="1"/>
  <c r="C57" i="80"/>
  <c r="C64" i="80" s="1"/>
  <c r="J19" i="15"/>
  <c r="J17" i="15" s="1"/>
  <c r="J19" i="80"/>
  <c r="J17" i="80" s="1"/>
  <c r="Q49" i="80"/>
  <c r="C57" i="15"/>
  <c r="C61" i="15" s="1"/>
  <c r="C59" i="15" s="1"/>
  <c r="Q49" i="15"/>
  <c r="J14" i="15"/>
  <c r="J13" i="15" s="1"/>
  <c r="J23" i="15" s="1"/>
  <c r="C29" i="67"/>
  <c r="J14" i="67" s="1"/>
  <c r="C57" i="69"/>
  <c r="C56" i="69" s="1"/>
  <c r="C31" i="15"/>
  <c r="C31" i="80"/>
  <c r="C31" i="81"/>
  <c r="C30" i="81" s="1"/>
  <c r="C39" i="81" s="1"/>
  <c r="C59" i="81"/>
  <c r="C37" i="80"/>
  <c r="Q70" i="80"/>
  <c r="C75" i="80"/>
  <c r="C56" i="80"/>
  <c r="C65" i="80" s="1"/>
  <c r="B3" i="83" l="1"/>
  <c r="D6" i="12" s="1"/>
  <c r="B2" i="83"/>
  <c r="D8" i="12" s="1"/>
  <c r="C58" i="81"/>
  <c r="C67" i="81" s="1"/>
  <c r="C68" i="81" s="1"/>
  <c r="C71" i="81" s="1"/>
  <c r="C75" i="15"/>
  <c r="J22" i="80"/>
  <c r="Q70" i="15"/>
  <c r="C33" i="67"/>
  <c r="C31" i="67" s="1"/>
  <c r="C39" i="68"/>
  <c r="C46" i="68" s="1"/>
  <c r="C45" i="68" s="1"/>
  <c r="C61" i="80"/>
  <c r="C59" i="80" s="1"/>
  <c r="C58" i="80" s="1"/>
  <c r="C67" i="80" s="1"/>
  <c r="C68" i="80" s="1"/>
  <c r="C71" i="80" s="1"/>
  <c r="C33" i="11"/>
  <c r="C39" i="11" s="1"/>
  <c r="C43" i="11" s="1"/>
  <c r="C56" i="15"/>
  <c r="C65" i="15" s="1"/>
  <c r="C6" i="68"/>
  <c r="F66" i="39"/>
  <c r="B2" i="39" s="1"/>
  <c r="B3" i="39" s="1"/>
  <c r="C42" i="11"/>
  <c r="J19" i="67"/>
  <c r="J17" i="67" s="1"/>
  <c r="C64" i="15"/>
  <c r="J22" i="15"/>
  <c r="J16" i="15" s="1"/>
  <c r="J25" i="15" s="1"/>
  <c r="C13" i="67"/>
  <c r="C56" i="67" s="1"/>
  <c r="C65" i="67" s="1"/>
  <c r="Q49" i="67"/>
  <c r="C36" i="67"/>
  <c r="C57" i="67"/>
  <c r="C61" i="67" s="1"/>
  <c r="C59" i="67" s="1"/>
  <c r="J16" i="80"/>
  <c r="J25" i="80" s="1"/>
  <c r="C30" i="80"/>
  <c r="C39" i="80" s="1"/>
  <c r="C30" i="15"/>
  <c r="C39" i="15" s="1"/>
  <c r="Q70" i="67"/>
  <c r="C40" i="81"/>
  <c r="Q69" i="81"/>
  <c r="Q68" i="81" s="1"/>
  <c r="C80" i="81"/>
  <c r="C79" i="81" s="1"/>
  <c r="J22" i="67"/>
  <c r="J13" i="67"/>
  <c r="J23" i="67" s="1"/>
  <c r="L51" i="81"/>
  <c r="C58" i="15" l="1"/>
  <c r="C67" i="15" s="1"/>
  <c r="C68" i="15" s="1"/>
  <c r="C71" i="15" s="1"/>
  <c r="C43" i="68"/>
  <c r="C41" i="68" s="1"/>
  <c r="C49" i="68" s="1"/>
  <c r="C51" i="68" s="1"/>
  <c r="C37" i="67"/>
  <c r="C30" i="67" s="1"/>
  <c r="C39" i="67" s="1"/>
  <c r="C40" i="67" s="1"/>
  <c r="C75" i="67"/>
  <c r="C41" i="11"/>
  <c r="C7" i="68"/>
  <c r="C5" i="68" s="1"/>
  <c r="C46" i="11"/>
  <c r="C45" i="11" s="1"/>
  <c r="C64" i="67"/>
  <c r="C58" i="67" s="1"/>
  <c r="C67" i="67" s="1"/>
  <c r="C68" i="67" s="1"/>
  <c r="C71" i="67" s="1"/>
  <c r="J16" i="67"/>
  <c r="J25" i="67" s="1"/>
  <c r="Q67" i="81"/>
  <c r="C40" i="15"/>
  <c r="Q69" i="15"/>
  <c r="Q68" i="15" s="1"/>
  <c r="B2" i="81"/>
  <c r="B3" i="81" s="1"/>
  <c r="Q47" i="81"/>
  <c r="Q53" i="81" s="1"/>
  <c r="Q56" i="81"/>
  <c r="Q62" i="81" s="1"/>
  <c r="Q65" i="81"/>
  <c r="Q75" i="81" s="1"/>
  <c r="C43" i="81"/>
  <c r="C83" i="81"/>
  <c r="C82" i="81" s="1"/>
  <c r="C46" i="81"/>
  <c r="C40" i="80"/>
  <c r="Q69" i="80"/>
  <c r="Q68" i="80" s="1"/>
  <c r="C80" i="15"/>
  <c r="C79" i="15" s="1"/>
  <c r="C80" i="80"/>
  <c r="C79" i="80" s="1"/>
  <c r="L51" i="67"/>
  <c r="L51" i="15"/>
  <c r="L51" i="80"/>
  <c r="Q69" i="67" l="1"/>
  <c r="Q68" i="67" s="1"/>
  <c r="C80" i="67"/>
  <c r="C79" i="67" s="1"/>
  <c r="C45" i="67"/>
  <c r="C46" i="67" s="1"/>
  <c r="C49" i="11"/>
  <c r="C51" i="11" s="1"/>
  <c r="C23" i="68"/>
  <c r="C20" i="68"/>
  <c r="Q67" i="80"/>
  <c r="Q67" i="15"/>
  <c r="Q67" i="67"/>
  <c r="L57" i="67"/>
  <c r="L60" i="67" s="1"/>
  <c r="B2" i="80"/>
  <c r="Q65" i="80"/>
  <c r="Q75" i="80" s="1"/>
  <c r="Q47" i="80"/>
  <c r="Q53" i="80" s="1"/>
  <c r="Q56" i="80"/>
  <c r="Q62" i="80" s="1"/>
  <c r="C43" i="80"/>
  <c r="C83" i="80"/>
  <c r="C82" i="80" s="1"/>
  <c r="C46" i="80"/>
  <c r="B2" i="15"/>
  <c r="Q65" i="15"/>
  <c r="Q75" i="15" s="1"/>
  <c r="Q47" i="15"/>
  <c r="Q53" i="15" s="1"/>
  <c r="Q56" i="15"/>
  <c r="Q62" i="15" s="1"/>
  <c r="C43" i="15"/>
  <c r="C83" i="15"/>
  <c r="C82" i="15" s="1"/>
  <c r="C46" i="15"/>
  <c r="C43" i="67"/>
  <c r="Q65" i="67"/>
  <c r="Q56" i="67"/>
  <c r="Q47" i="67"/>
  <c r="Q53" i="67" s="1"/>
  <c r="C83" i="67"/>
  <c r="C82" i="67" s="1"/>
  <c r="AO9" i="1"/>
  <c r="AO6" i="1"/>
  <c r="C25" i="68" l="1"/>
  <c r="C22" i="68" s="1"/>
  <c r="C28" i="68"/>
  <c r="C27" i="68" s="1"/>
  <c r="C52" i="11"/>
  <c r="B2" i="11" s="1"/>
  <c r="B3" i="11" s="1"/>
  <c r="B6" i="70"/>
  <c r="B9" i="70"/>
  <c r="C8" i="12"/>
  <c r="B3" i="15"/>
  <c r="C6" i="12" s="1"/>
  <c r="Q66" i="67"/>
  <c r="Q75" i="67" s="1"/>
  <c r="Q57" i="67"/>
  <c r="Q62" i="67" s="1"/>
  <c r="L46" i="67"/>
  <c r="D2" i="67" s="1"/>
  <c r="F8" i="12"/>
  <c r="B3" i="80"/>
  <c r="F6" i="12" s="1"/>
  <c r="C31" i="68" l="1"/>
  <c r="C52" i="68" s="1"/>
  <c r="C57" i="68" s="1"/>
  <c r="C56" i="68" s="1"/>
  <c r="C56" i="11"/>
  <c r="C57" i="11" s="1"/>
  <c r="B2" i="70"/>
  <c r="B3" i="70" s="1"/>
  <c r="B2" i="67"/>
  <c r="B3" i="67"/>
  <c r="C4" i="12"/>
  <c r="B2" i="68" l="1"/>
  <c r="C31" i="12"/>
  <c r="C23" i="12"/>
  <c r="C19" i="9"/>
  <c r="C21" i="9" l="1"/>
  <c r="C102" i="9"/>
  <c r="B3" i="68"/>
  <c r="C30" i="12"/>
  <c r="C28" i="12" s="1"/>
  <c r="C27" i="12"/>
  <c r="C25" i="12" s="1"/>
  <c r="C20" i="9"/>
  <c r="D35" i="9"/>
  <c r="D34" i="9"/>
  <c r="C103" i="9" l="1"/>
  <c r="C32" i="12"/>
  <c r="B2" i="12" s="1"/>
  <c r="D19" i="9"/>
  <c r="D102" i="9" l="1"/>
  <c r="D22" i="9"/>
  <c r="D21" i="9"/>
  <c r="G19" i="9"/>
  <c r="C32" i="9" s="1"/>
  <c r="B3" i="12"/>
  <c r="G21" i="9"/>
  <c r="D20" i="9"/>
  <c r="D103" i="9" l="1"/>
  <c r="G20" i="9"/>
  <c r="H118" i="9"/>
  <c r="C35" i="9"/>
  <c r="F118" i="9" s="1"/>
  <c r="F119" i="9" l="1"/>
  <c r="F5" i="52" s="1"/>
  <c r="B53" i="72" s="1"/>
  <c r="G118" i="9"/>
  <c r="G4" i="52" s="1"/>
  <c r="B52" i="72" s="1"/>
  <c r="F4" i="52"/>
  <c r="B51" i="72" s="1"/>
  <c r="C34" i="9"/>
  <c r="D118" i="9" s="1"/>
  <c r="H4" i="52"/>
  <c r="D14" i="74"/>
  <c r="H101" i="9"/>
  <c r="C104" i="9"/>
  <c r="I118" i="9"/>
  <c r="H119" i="9"/>
  <c r="H5" i="52" s="1"/>
  <c r="C105" i="9" l="1"/>
  <c r="H102" i="9"/>
  <c r="D7" i="53" s="1"/>
  <c r="B21" i="72" s="1"/>
  <c r="I4" i="52"/>
  <c r="E118" i="9"/>
  <c r="E4" i="52" s="1"/>
  <c r="B48" i="72" s="1"/>
  <c r="H107" i="9"/>
  <c r="M48" i="9"/>
  <c r="D5" i="53"/>
  <c r="D45" i="9"/>
  <c r="E14" i="74"/>
  <c r="F14" i="74"/>
  <c r="B5" i="74"/>
  <c r="D119" i="9"/>
  <c r="D5" i="52" s="1"/>
  <c r="B49" i="72" s="1"/>
  <c r="D4" i="52"/>
  <c r="B47" i="72" s="1"/>
  <c r="D5" i="74" l="1"/>
  <c r="C5" i="74"/>
  <c r="D6" i="53"/>
  <c r="B22" i="72" s="1"/>
  <c r="B20" i="72"/>
  <c r="H108" i="9"/>
  <c r="D15" i="53" s="1"/>
  <c r="B31" i="72" s="1"/>
  <c r="D13" i="53"/>
  <c r="D122" i="9"/>
  <c r="M49" i="9"/>
  <c r="D53" i="9"/>
  <c r="D52" i="9"/>
  <c r="C64" i="9"/>
  <c r="C63" i="9" s="1"/>
  <c r="C67" i="9" s="1"/>
  <c r="C68" i="9" s="1"/>
  <c r="D54" i="9" s="1"/>
  <c r="C78" i="9"/>
  <c r="C73" i="9" s="1"/>
  <c r="C93" i="9"/>
  <c r="C86" i="9" s="1"/>
  <c r="D55" i="9"/>
  <c r="M53" i="9" s="1"/>
  <c r="C72" i="9"/>
  <c r="C85" i="9"/>
  <c r="C79" i="9" l="1"/>
  <c r="C80" i="9" s="1"/>
  <c r="E80" i="9" s="1"/>
  <c r="E81" i="9" s="1"/>
  <c r="D123" i="9"/>
  <c r="D9" i="52" s="1"/>
  <c r="D8" i="52"/>
  <c r="G14" i="74"/>
  <c r="B6" i="74" s="1"/>
  <c r="C95" i="9"/>
  <c r="L63" i="9"/>
  <c r="M63" i="9" s="1"/>
  <c r="L64" i="9"/>
  <c r="M64" i="9" s="1"/>
  <c r="L65" i="9"/>
  <c r="M65" i="9" s="1"/>
  <c r="L66" i="9"/>
  <c r="M66" i="9" s="1"/>
  <c r="L67" i="9"/>
  <c r="M67" i="9" s="1"/>
  <c r="L68" i="9"/>
  <c r="M68" i="9" s="1"/>
  <c r="B30" i="72"/>
  <c r="D14" i="53"/>
  <c r="B32" i="72" s="1"/>
  <c r="C81" i="9" l="1"/>
  <c r="M69" i="9"/>
  <c r="N69" i="9" s="1"/>
  <c r="C96" i="9"/>
  <c r="E96" i="9" s="1"/>
  <c r="E97" i="9" s="1"/>
  <c r="C6" i="74"/>
  <c r="D6" i="74"/>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<sst xmlns="http://schemas.openxmlformats.org/spreadsheetml/2006/main" count="12966" uniqueCount="4871">
  <si>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</si>
  <si>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</si>
  <si>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</si>
  <si>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</si>
  <si>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</si>
  <si>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</si>
  <si>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</si>
  <si>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</si>
  <si>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</si>
  <si>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</si>
  <si>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</si>
  <si>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</si>
  <si>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</si>
  <si>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</si>
  <si>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</si>
  <si>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</si>
  <si>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</si>
  <si>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</si>
  <si>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</si>
  <si>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</si>
  <si>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</si>
  <si>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</si>
  <si>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</si>
  <si>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</si>
  <si>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</si>
  <si>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</si>
  <si>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</si>
  <si>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</si>
  <si>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</si>
  <si>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</si>
  <si>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</si>
  <si>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</si>
  <si>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</si>
  <si>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</si>
  <si>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</si>
  <si>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</si>
  <si>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</si>
  <si>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</si>
  <si>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</si>
  <si>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</si>
  <si>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</si>
  <si>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</si>
  <si>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</si>
  <si>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</si>
  <si>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</si>
  <si>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</si>
  <si>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</si>
  <si>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</si>
  <si>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</si>
  <si>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</si>
  <si>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</si>
  <si>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</si>
  <si>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</si>
  <si>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</si>
  <si>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</si>
  <si>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</si>
  <si>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</si>
  <si>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</si>
  <si>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</si>
  <si>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</si>
  <si>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</si>
  <si>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</si>
  <si>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</si>
  <si>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</si>
  <si>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</si>
  <si>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</si>
  <si>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</si>
  <si>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</si>
  <si>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</si>
  <si>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</si>
  <si>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</si>
  <si>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</si>
  <si>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</si>
  <si>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</si>
  <si>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</si>
  <si>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</si>
  <si>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</si>
  <si>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</si>
  <si>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</si>
  <si>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</si>
  <si>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</si>
  <si>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</si>
  <si>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</si>
  <si>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</si>
  <si>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</si>
  <si>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</si>
  <si>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</si>
  <si>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</si>
  <si>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</si>
  <si>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</si>
  <si>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</si>
  <si>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</si>
  <si>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</si>
  <si>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</si>
  <si>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</si>
  <si>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</si>
  <si>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</si>
  <si>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</si>
  <si>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</si>
  <si>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</si>
  <si>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</si>
  <si>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</si>
  <si>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</si>
  <si>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</si>
  <si>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</si>
  <si>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</si>
  <si>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</si>
  <si>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</si>
  <si>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</si>
  <si>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</si>
  <si>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</si>
  <si>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</si>
  <si>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</si>
  <si>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</si>
  <si>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</si>
  <si>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</si>
  <si>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</si>
  <si>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</si>
  <si>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</si>
  <si>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</si>
  <si>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</si>
  <si>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</si>
  <si>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</si>
  <si>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</si>
  <si>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</si>
  <si>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</si>
  <si>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</si>
  <si>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</si>
  <si>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</si>
  <si>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</si>
  <si>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</si>
  <si>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</si>
  <si>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</si>
  <si>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</si>
  <si>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</si>
  <si>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</si>
  <si>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</si>
  <si>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</si>
  <si>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</si>
  <si>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</si>
  <si>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</si>
  <si>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</si>
  <si>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</si>
  <si>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</si>
  <si>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</si>
  <si>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</si>
  <si>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</si>
  <si>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</si>
  <si>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</si>
  <si>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</si>
  <si>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</si>
  <si>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</si>
  <si>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</si>
  <si>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</si>
  <si>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</si>
  <si>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</si>
  <si>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</si>
  <si>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</si>
  <si>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</si>
  <si>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</si>
  <si>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</si>
  <si>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</si>
  <si>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</si>
  <si>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</si>
  <si>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</si>
  <si>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</si>
  <si>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</si>
  <si>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</si>
  <si>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</si>
  <si>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</si>
  <si>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</si>
  <si>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</si>
  <si>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</si>
  <si>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</si>
  <si>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</si>
  <si>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</si>
  <si>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</si>
  <si>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</si>
  <si>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</si>
  <si>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</si>
  <si>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</si>
  <si>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</si>
  <si>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</si>
  <si>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</si>
  <si>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</si>
  <si>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</si>
  <si>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</si>
  <si>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</si>
  <si>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</si>
  <si>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</si>
  <si>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</si>
  <si>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</si>
  <si>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</si>
  <si>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</si>
  <si>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</si>
  <si>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</si>
  <si>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</si>
  <si>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</si>
  <si>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</si>
  <si>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</si>
  <si>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</si>
  <si>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</si>
  <si>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</si>
  <si>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</si>
  <si>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</si>
  <si>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</si>
  <si>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</si>
  <si>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</si>
  <si>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</si>
  <si>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</si>
  <si>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</si>
  <si>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</si>
  <si>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</si>
  <si>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</si>
  <si>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</si>
  <si>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</si>
  <si>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</si>
  <si>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</si>
  <si>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</si>
  <si>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</si>
  <si>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</si>
  <si>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</si>
  <si>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</si>
  <si>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</si>
  <si>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</si>
  <si>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</si>
  <si>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</si>
  <si>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</si>
  <si>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</si>
  <si>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</si>
  <si>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</si>
  <si>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</si>
  <si>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</si>
  <si>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</si>
  <si>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</si>
  <si>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</si>
  <si>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</si>
  <si>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</si>
  <si>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</si>
  <si>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</si>
  <si>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</si>
  <si>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</si>
  <si>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</si>
  <si>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</si>
  <si>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</si>
  <si>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</si>
  <si>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</si>
  <si>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</si>
  <si>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</si>
  <si>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</si>
  <si>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</si>
  <si>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</si>
  <si>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</si>
  <si>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</si>
  <si>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</si>
  <si>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</si>
  <si>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</si>
  <si>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</si>
  <si>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</si>
  <si>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</si>
  <si>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</si>
  <si>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</si>
  <si>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</si>
  <si>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</si>
  <si>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</si>
  <si>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</si>
  <si>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</si>
  <si>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</si>
  <si>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</si>
  <si>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</si>
  <si>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</si>
  <si>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</si>
  <si>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</si>
  <si>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</si>
  <si>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</si>
  <si>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</si>
  <si>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</si>
  <si>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</si>
  <si>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</si>
  <si>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</si>
  <si>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</si>
  <si>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</si>
  <si>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</si>
  <si>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</si>
  <si>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</si>
  <si>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</si>
  <si>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</si>
  <si>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</si>
  <si>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</si>
  <si>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</si>
  <si>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</si>
  <si>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</si>
  <si>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</si>
  <si>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</si>
  <si>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</si>
  <si>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</si>
  <si>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</si>
  <si>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</si>
  <si>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</si>
  <si>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</si>
  <si>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</si>
  <si>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</si>
  <si>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</si>
  <si>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</si>
  <si>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</si>
  <si>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</si>
  <si>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</si>
  <si>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</si>
  <si>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</si>
  <si>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</si>
  <si>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</si>
  <si>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</si>
  <si>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</si>
  <si>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</si>
  <si>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</si>
  <si>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</si>
  <si>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</si>
  <si>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</si>
  <si>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</si>
  <si>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</si>
  <si>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</si>
  <si>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</si>
  <si>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</si>
  <si>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</si>
  <si>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</si>
  <si>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</si>
  <si>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</si>
  <si>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</si>
  <si>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</si>
  <si>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</si>
  <si>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</si>
  <si>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</si>
  <si>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</si>
  <si>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</si>
  <si>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</si>
  <si>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</si>
  <si>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</si>
  <si>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</si>
  <si>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</si>
  <si>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</si>
  <si>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</si>
  <si>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</si>
  <si>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</si>
  <si>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</si>
  <si>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</si>
  <si>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</si>
  <si>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</si>
  <si>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</si>
  <si>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</si>
  <si>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</si>
  <si>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</si>
  <si>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</si>
  <si>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</si>
  <si>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</si>
  <si>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</si>
  <si>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</si>
  <si>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</si>
  <si>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</si>
  <si>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</si>
  <si>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</si>
  <si>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</si>
  <si>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</si>
  <si>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</si>
  <si>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</si>
  <si>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</si>
  <si>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</si>
  <si>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</si>
  <si>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</si>
  <si>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</si>
  <si>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</si>
  <si>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</si>
  <si>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</si>
  <si>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</si>
  <si>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</si>
  <si>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</si>
  <si>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</si>
  <si>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</si>
  <si>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</si>
  <si>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</si>
  <si>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</si>
  <si>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</si>
  <si>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</si>
  <si>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</si>
  <si>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</si>
  <si>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</si>
  <si>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</si>
  <si>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</si>
  <si>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</si>
  <si>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</si>
  <si>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</si>
  <si>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</si>
  <si>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</si>
  <si>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</si>
  <si>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</si>
  <si>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</si>
  <si>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</si>
  <si>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</si>
  <si>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</si>
  <si>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</si>
  <si>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</si>
  <si>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</si>
  <si>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</si>
  <si>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</si>
  <si>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</si>
  <si>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</si>
  <si>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</si>
  <si>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</si>
  <si>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</si>
  <si>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</si>
  <si>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</si>
  <si>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</si>
  <si>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</si>
  <si>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</si>
  <si>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</si>
  <si>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</si>
  <si>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</si>
  <si>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</si>
  <si>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</si>
  <si>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</si>
  <si>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</si>
  <si>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</si>
  <si>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</si>
  <si>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</si>
  <si>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</si>
  <si>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</si>
  <si>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</si>
  <si>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</si>
  <si>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</si>
  <si>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</si>
  <si>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</si>
  <si>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</si>
  <si>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</si>
  <si>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</si>
  <si>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</si>
  <si>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</si>
  <si>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</si>
  <si>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</si>
  <si>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</si>
  <si>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</si>
  <si>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</si>
  <si>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</si>
  <si>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</si>
  <si>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</si>
  <si>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</si>
  <si>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</si>
  <si>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</si>
  <si>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</si>
  <si>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</si>
  <si>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</si>
  <si>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</si>
  <si>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</si>
  <si>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</si>
  <si>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</si>
  <si>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</si>
  <si>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</si>
  <si>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</si>
  <si>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</si>
  <si>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</si>
  <si>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</si>
  <si>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</si>
  <si>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</si>
  <si>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</si>
  <si>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</si>
  <si>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</si>
  <si>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</si>
  <si>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</si>
  <si>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</si>
  <si>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</si>
  <si>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</si>
  <si>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</si>
  <si>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</si>
  <si>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</si>
  <si>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</si>
  <si>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</si>
  <si>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</si>
  <si>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</si>
  <si>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</si>
  <si>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</si>
  <si>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</si>
  <si>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</si>
  <si>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</si>
  <si>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</si>
  <si>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</si>
  <si>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</si>
  <si>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</si>
  <si>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</si>
  <si>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</si>
  <si>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</si>
  <si>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</si>
  <si>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</si>
  <si>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</si>
  <si>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</si>
  <si>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</si>
  <si>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</si>
  <si>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</si>
  <si>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</si>
  <si>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</si>
  <si>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</si>
  <si>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</si>
  <si>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</si>
  <si>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</si>
  <si>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</si>
  <si>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</si>
  <si>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</si>
  <si>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</si>
  <si>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</si>
  <si>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</si>
  <si>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</si>
  <si>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</si>
  <si>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</si>
  <si>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</si>
  <si>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</si>
  <si>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</si>
  <si>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</si>
  <si>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</si>
  <si>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</si>
  <si>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</si>
  <si>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</si>
  <si>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</si>
  <si>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</si>
  <si>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</si>
  <si>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</si>
  <si>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</si>
  <si>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</si>
  <si>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</si>
  <si>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</si>
  <si>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</si>
  <si>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</si>
  <si>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</si>
  <si>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</si>
  <si>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</si>
  <si>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</si>
  <si>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</si>
  <si>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</si>
  <si>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</si>
  <si>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</si>
  <si>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</si>
  <si>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</si>
  <si>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</si>
  <si>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</si>
  <si>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</si>
  <si>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</si>
  <si>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</si>
  <si>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</si>
  <si>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</si>
  <si>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</si>
  <si>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</si>
  <si>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</si>
  <si>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</si>
  <si>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</si>
  <si>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</si>
  <si>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</si>
  <si>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</si>
  <si>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</si>
  <si>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</si>
  <si>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</si>
  <si>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</si>
  <si>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</si>
  <si>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</si>
  <si>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</si>
  <si>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</si>
  <si>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</si>
  <si>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</si>
  <si>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</si>
  <si>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</si>
  <si>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</si>
  <si>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</si>
  <si>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</si>
  <si>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</si>
  <si>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</si>
  <si>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</si>
  <si>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</si>
  <si>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</si>
  <si>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</si>
  <si>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</si>
  <si>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</si>
  <si>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</si>
  <si>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</si>
  <si>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</si>
  <si>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</si>
  <si>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</si>
  <si>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</si>
  <si>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</si>
  <si>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</si>
  <si>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</si>
  <si>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</si>
  <si>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</si>
  <si>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</si>
  <si>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</si>
  <si>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</si>
  <si>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</si>
  <si>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</si>
  <si>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</si>
  <si>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</si>
  <si>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</si>
  <si>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</si>
  <si>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</si>
  <si>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</si>
  <si>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</si>
  <si>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</si>
  <si>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</si>
  <si>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</si>
  <si>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</si>
  <si>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</si>
  <si>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</si>
  <si>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</si>
  <si>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</si>
  <si>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</si>
  <si>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</si>
  <si>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</si>
  <si>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</si>
  <si>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</si>
  <si>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</si>
  <si>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</si>
  <si>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</si>
  <si>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</si>
  <si>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</si>
  <si>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</si>
  <si>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</si>
  <si>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</si>
  <si>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</si>
  <si>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</si>
  <si>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</si>
  <si>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</si>
  <si>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</si>
  <si>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</si>
  <si>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</si>
  <si>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</si>
  <si>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</si>
  <si>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</si>
  <si>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</si>
  <si>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</si>
  <si>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</si>
  <si>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</si>
  <si>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</si>
  <si>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</si>
  <si>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</si>
  <si>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</si>
  <si>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</si>
  <si>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</si>
  <si>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</si>
  <si>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</si>
  <si>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</si>
  <si>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</si>
  <si>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</si>
  <si>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</si>
  <si>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</si>
  <si>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</si>
  <si>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</si>
  <si>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</si>
  <si>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</si>
  <si>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</si>
  <si>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</si>
  <si>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</si>
  <si>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</si>
  <si>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</si>
  <si>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</si>
  <si>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</si>
  <si>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</si>
  <si>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</si>
  <si>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</si>
  <si>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</si>
  <si>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</si>
  <si>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</si>
  <si>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</si>
  <si>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</si>
  <si>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</si>
  <si>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</si>
  <si>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</si>
  <si>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</si>
  <si>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</si>
  <si>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</si>
  <si>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</si>
  <si>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</si>
  <si>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</si>
  <si>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</si>
  <si>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</si>
  <si>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</si>
  <si>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</si>
  <si>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</si>
  <si>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</si>
  <si>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</si>
  <si>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</si>
  <si>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</si>
  <si>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</si>
  <si>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</si>
  <si>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</si>
  <si>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</si>
  <si>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</si>
  <si>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</si>
  <si>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</si>
  <si>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</si>
  <si>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</si>
  <si>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</si>
  <si>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</si>
  <si>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</si>
  <si>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</si>
  <si>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</si>
  <si>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</si>
  <si>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</si>
  <si>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</si>
  <si>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</si>
  <si>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</si>
  <si>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</si>
  <si>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</si>
  <si>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</si>
  <si>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</si>
  <si>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</si>
  <si>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</si>
  <si>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</si>
  <si>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</si>
  <si>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</si>
  <si>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</si>
  <si>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</si>
  <si>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</si>
  <si>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</si>
  <si>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</si>
  <si>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</si>
  <si>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</si>
  <si>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</si>
  <si>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</si>
  <si>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</si>
  <si>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</si>
  <si>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</si>
  <si>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</si>
  <si>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</si>
  <si>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</si>
  <si>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</si>
  <si>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</si>
  <si>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</si>
  <si>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</si>
  <si>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</si>
  <si>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</si>
  <si>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</si>
  <si>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</si>
  <si>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</si>
  <si>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</si>
  <si>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</si>
  <si>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</si>
  <si>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</si>
  <si>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</si>
  <si>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</si>
  <si>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</si>
  <si>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</si>
  <si>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</si>
  <si>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</si>
  <si>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</si>
  <si>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</si>
  <si>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</si>
  <si>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</si>
  <si>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</si>
  <si>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</si>
  <si>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</si>
  <si>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</si>
  <si>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</si>
  <si>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</si>
  <si>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</si>
  <si>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</si>
  <si>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</si>
  <si>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</si>
  <si>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</si>
  <si>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</si>
  <si>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</si>
  <si>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</si>
  <si>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</si>
  <si>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</si>
  <si>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</si>
  <si>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</si>
  <si>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</si>
  <si>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</si>
  <si>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</si>
  <si>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</si>
  <si>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</si>
  <si>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</si>
  <si>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</si>
  <si>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</si>
  <si>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</si>
  <si>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</si>
  <si>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</si>
  <si>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</si>
  <si>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</si>
  <si>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</si>
  <si>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</si>
  <si>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</si>
  <si>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</si>
  <si>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</si>
  <si>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</si>
  <si>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</si>
  <si>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</si>
  <si>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</si>
  <si>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</si>
  <si>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</si>
  <si>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</si>
  <si>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</si>
  <si>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</si>
  <si>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</si>
  <si>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</si>
  <si>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</si>
  <si>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</si>
  <si>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</si>
  <si>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</si>
  <si>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</si>
  <si>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</si>
  <si>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</si>
  <si>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</si>
  <si>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</si>
  <si>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</si>
  <si>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</si>
  <si>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</si>
  <si>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</si>
  <si>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</si>
  <si>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</si>
  <si>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</si>
  <si>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</si>
  <si>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</si>
  <si>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</si>
  <si>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</si>
  <si>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</si>
  <si>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</si>
  <si>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</si>
  <si>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</si>
  <si>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</si>
  <si>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</si>
  <si>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</si>
  <si>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</si>
  <si>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</si>
  <si>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</si>
  <si>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</si>
  <si>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</si>
  <si>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</si>
  <si>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</si>
  <si>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</si>
  <si>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</si>
  <si>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</si>
  <si>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</si>
  <si>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</si>
  <si>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</si>
  <si>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</si>
  <si>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</si>
  <si>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</si>
  <si>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</si>
  <si>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</si>
  <si>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</si>
  <si>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</si>
  <si>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</si>
  <si>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</si>
  <si>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</si>
  <si>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</si>
  <si>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</si>
  <si>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</si>
  <si>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</si>
  <si>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</si>
  <si>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</si>
  <si>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</si>
  <si>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</si>
  <si>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</si>
  <si>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</si>
  <si>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</si>
  <si>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</si>
  <si>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</si>
  <si>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</si>
  <si>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</si>
  <si>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</si>
  <si>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</si>
  <si>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</si>
  <si>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</si>
  <si>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</si>
  <si>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</si>
  <si>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</si>
  <si>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</si>
  <si>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</si>
  <si>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</si>
  <si>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</si>
  <si>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</si>
  <si>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</si>
  <si>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</si>
  <si>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</si>
  <si>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</si>
  <si>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</si>
  <si>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</si>
  <si>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</si>
  <si>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</si>
  <si>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</si>
  <si>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</si>
  <si>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</si>
  <si>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</si>
  <si>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</si>
  <si>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</si>
  <si>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</si>
  <si>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</si>
  <si>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</si>
  <si>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</si>
  <si>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</si>
  <si>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</si>
  <si>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</si>
  <si>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</si>
  <si>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</si>
  <si>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</si>
  <si>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</si>
  <si>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</si>
  <si>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</si>
  <si>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</si>
  <si>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</si>
  <si>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</si>
  <si>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</si>
  <si>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</si>
  <si>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</si>
  <si>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</si>
  <si>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</si>
  <si>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</si>
  <si>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</si>
  <si>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</si>
  <si>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</si>
  <si>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</si>
  <si>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</si>
  <si>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</si>
  <si>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</si>
  <si>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</si>
  <si>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</si>
  <si>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</si>
  <si>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</si>
  <si>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</si>
  <si>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</si>
  <si>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</si>
  <si>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</si>
  <si>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</si>
  <si>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</si>
  <si>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</si>
  <si>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</si>
  <si>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</si>
  <si>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</si>
  <si>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</si>
  <si>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</si>
  <si>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</si>
  <si>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</si>
  <si>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</si>
  <si>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</si>
  <si>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</si>
  <si>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</si>
  <si>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</si>
  <si>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</si>
  <si>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</si>
  <si>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</si>
  <si>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</si>
  <si>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</si>
  <si>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</si>
  <si>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</si>
  <si>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</si>
  <si>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</si>
  <si>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</si>
  <si>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</si>
  <si>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</si>
  <si>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</si>
  <si>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</si>
  <si>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</si>
  <si>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</si>
  <si>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</si>
  <si>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</si>
  <si>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</si>
  <si>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</si>
  <si>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</si>
  <si>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</si>
  <si>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</si>
  <si>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</si>
  <si>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</si>
  <si>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</si>
  <si>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</si>
  <si>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</si>
  <si>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</si>
  <si>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</si>
  <si>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</si>
  <si>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</si>
  <si>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</si>
  <si>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</si>
  <si>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</si>
  <si>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</si>
  <si>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</si>
  <si>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</si>
  <si>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</si>
  <si>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</si>
  <si>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</si>
  <si>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</si>
  <si>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</si>
  <si>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</si>
  <si>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</si>
  <si>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</si>
  <si>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</si>
  <si>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</si>
  <si>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</si>
  <si>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</si>
  <si>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</si>
  <si>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</si>
  <si>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</si>
  <si>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</si>
  <si>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</si>
  <si>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</si>
  <si>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</si>
  <si>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</si>
  <si>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</si>
  <si>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</si>
  <si>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</si>
  <si>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</si>
  <si>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</si>
  <si>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</si>
  <si>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</si>
  <si>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</si>
  <si>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</si>
  <si>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</si>
  <si>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</si>
  <si>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</si>
  <si>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</si>
  <si>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</si>
  <si>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</si>
  <si>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</si>
  <si>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</si>
  <si>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</si>
  <si>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</si>
  <si>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</si>
  <si>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</si>
  <si>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</si>
  <si>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</si>
  <si>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</si>
  <si>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</si>
  <si>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</si>
  <si>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</si>
  <si>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</si>
  <si>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</si>
  <si>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</si>
  <si>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</si>
  <si>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</si>
  <si>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</si>
  <si>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</si>
  <si>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</si>
  <si>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</si>
  <si>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</si>
  <si>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</si>
  <si>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</si>
  <si>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</si>
  <si>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</si>
  <si>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</si>
  <si>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</si>
  <si>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</si>
  <si>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</si>
  <si>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</si>
  <si>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</si>
  <si>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</si>
  <si>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</si>
  <si>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</si>
  <si>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</si>
  <si>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</si>
  <si>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</si>
  <si>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</si>
  <si>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</si>
  <si>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</si>
  <si>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</si>
  <si>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</si>
  <si>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</si>
  <si>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</si>
  <si>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</si>
  <si>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</si>
  <si>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</si>
  <si>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</si>
  <si>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</si>
  <si>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</si>
  <si>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</si>
  <si>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</si>
  <si>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</si>
  <si>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</si>
  <si>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</si>
  <si>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</si>
  <si>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</si>
  <si>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</si>
  <si>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</si>
  <si>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</si>
  <si>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</si>
  <si>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</si>
  <si>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</si>
  <si>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</si>
  <si>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</si>
  <si>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</si>
  <si>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</si>
  <si>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</si>
  <si>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</si>
  <si>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</si>
  <si>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</si>
  <si>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</si>
  <si>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</si>
  <si>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</si>
  <si>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</si>
  <si>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</si>
  <si>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</si>
  <si>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</si>
  <si>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</si>
  <si>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</si>
  <si>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</si>
  <si>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</si>
  <si>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</si>
  <si>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</si>
  <si>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</si>
  <si>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</si>
  <si>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</si>
  <si>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</si>
  <si>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</si>
  <si>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</si>
  <si>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</si>
  <si>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</si>
  <si>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</si>
  <si>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</si>
  <si>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</si>
  <si>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</si>
  <si>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</si>
  <si>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</si>
  <si>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</si>
  <si>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</si>
  <si>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</si>
  <si>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</si>
  <si>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</si>
  <si>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</si>
  <si>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</si>
  <si>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</si>
  <si>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</si>
  <si>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</si>
  <si>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</si>
  <si>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</si>
  <si>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</si>
  <si>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</si>
  <si>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</si>
  <si>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</si>
  <si>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</si>
  <si>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</si>
  <si>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</si>
  <si>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</si>
  <si>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</si>
  <si>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</si>
  <si>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</si>
  <si>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</si>
  <si>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</si>
  <si>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</si>
  <si>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</si>
  <si>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</si>
  <si>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</si>
  <si>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</si>
  <si>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</si>
  <si>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</si>
  <si>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</si>
  <si>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</si>
  <si>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</si>
  <si>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</si>
  <si>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</si>
  <si>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</si>
  <si>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</si>
  <si>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</si>
  <si>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</si>
  <si>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</si>
  <si>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</si>
  <si>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</si>
  <si>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</si>
  <si>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</si>
  <si>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</si>
  <si>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</si>
  <si>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</si>
  <si>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</si>
  <si>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</si>
  <si>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</si>
  <si>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</si>
  <si>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</si>
  <si>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</si>
  <si>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</si>
  <si>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</si>
  <si>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</si>
  <si>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</si>
  <si>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</si>
  <si>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</si>
  <si>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</si>
  <si>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</si>
  <si>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</si>
  <si>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</si>
  <si>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</si>
  <si>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</si>
  <si>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</si>
  <si>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</si>
  <si>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</si>
  <si>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</si>
  <si>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</si>
  <si>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</si>
  <si>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</si>
  <si>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</si>
  <si>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</si>
  <si>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</si>
  <si>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</si>
  <si>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</si>
  <si>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</si>
  <si>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</si>
  <si>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</si>
  <si>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</si>
  <si>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</si>
  <si>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</si>
  <si>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</si>
  <si>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</si>
  <si>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</si>
  <si>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</si>
  <si>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</si>
  <si>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</si>
  <si>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</si>
  <si>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</si>
  <si>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</si>
  <si>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</si>
  <si>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</si>
  <si>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</si>
  <si>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</si>
  <si>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</si>
  <si>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</si>
  <si>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</si>
  <si>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</si>
  <si>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</si>
  <si>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</si>
  <si>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</si>
  <si>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</si>
  <si>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</si>
  <si>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</si>
  <si>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</si>
  <si>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</si>
  <si>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</si>
  <si>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</si>
  <si>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</si>
  <si>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</si>
  <si>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</si>
  <si>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</si>
  <si>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</si>
  <si>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</si>
  <si>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</si>
  <si>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</si>
  <si>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</si>
  <si>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</si>
  <si>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</si>
  <si>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</si>
  <si>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</si>
  <si>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</si>
  <si>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</si>
  <si>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</si>
  <si>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</si>
  <si>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</si>
  <si>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</si>
  <si>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</si>
  <si>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</si>
  <si>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</si>
  <si>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</si>
  <si>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</si>
  <si>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</si>
  <si>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</si>
  <si>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</si>
  <si>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</si>
  <si>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</si>
  <si>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</si>
  <si>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</si>
  <si>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</si>
  <si>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</si>
  <si>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</si>
  <si>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</si>
  <si>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</si>
  <si>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</si>
  <si>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</si>
  <si>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</si>
  <si>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</si>
  <si>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</si>
  <si>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</si>
  <si>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</si>
  <si>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</si>
  <si>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</si>
  <si>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</si>
  <si>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</si>
  <si>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</si>
  <si>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</si>
  <si>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</si>
  <si>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</si>
  <si>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</si>
  <si>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</si>
  <si>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</si>
  <si>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</si>
  <si>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</si>
  <si>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</si>
  <si>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</si>
  <si>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</si>
  <si>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</si>
  <si>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</si>
  <si>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</si>
  <si>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</si>
  <si>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</si>
  <si>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</si>
  <si>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</si>
  <si>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</si>
  <si>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</si>
  <si>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</si>
  <si>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</si>
  <si>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</si>
  <si>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</si>
  <si>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</si>
  <si>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</si>
  <si>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</si>
  <si>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</si>
  <si>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</si>
  <si>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</si>
  <si>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</si>
  <si>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</si>
  <si>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</si>
  <si>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</si>
  <si>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</si>
  <si>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</si>
  <si>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</si>
  <si>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</si>
  <si>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</si>
  <si>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</si>
  <si>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</si>
  <si>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</si>
  <si>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</si>
  <si>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</si>
  <si>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</si>
  <si>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</si>
  <si>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</si>
  <si>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</si>
  <si>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</si>
  <si>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</si>
  <si>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</si>
  <si>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</si>
  <si>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</si>
  <si>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</si>
  <si>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</si>
  <si>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</si>
  <si>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</si>
  <si>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</si>
  <si>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</si>
  <si>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</si>
  <si>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</si>
  <si>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</si>
  <si>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</si>
  <si>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</si>
  <si>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</si>
  <si>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</si>
  <si>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</si>
  <si>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</si>
  <si>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</si>
  <si>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</si>
  <si>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</si>
  <si>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</si>
  <si>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</si>
  <si>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</si>
  <si>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</si>
  <si>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</si>
  <si>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</si>
  <si>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</si>
  <si>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</si>
  <si>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</si>
  <si>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</si>
  <si>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</si>
  <si>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</si>
  <si>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</si>
  <si>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</si>
  <si>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</si>
  <si>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</si>
  <si>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</si>
  <si>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</si>
  <si>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</si>
  <si>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</si>
  <si>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</si>
  <si>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</si>
  <si>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</si>
  <si>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</si>
  <si>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</si>
  <si>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</si>
  <si>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</si>
  <si>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</si>
  <si>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</si>
  <si>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</si>
  <si>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</si>
  <si>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</si>
  <si>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</si>
  <si>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</si>
  <si>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</si>
  <si>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</si>
  <si>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</si>
  <si>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</si>
  <si>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</si>
  <si>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</si>
  <si>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</si>
  <si>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</si>
  <si>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</si>
  <si>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</si>
  <si>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</si>
  <si>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</si>
  <si>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</si>
  <si>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</si>
  <si>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</si>
  <si>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</si>
  <si>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</si>
  <si>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</si>
  <si>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</si>
  <si>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</si>
  <si>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</si>
  <si>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</si>
  <si>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</si>
  <si>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</si>
  <si>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</si>
  <si>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</si>
  <si>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</si>
  <si>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</si>
  <si>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</si>
  <si>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</si>
  <si>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</si>
  <si>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</si>
  <si>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</si>
  <si>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</si>
  <si>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</si>
  <si>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</si>
  <si>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</si>
  <si>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</si>
  <si>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</si>
  <si>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</si>
  <si>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</si>
  <si>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</si>
  <si>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</si>
  <si>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</si>
  <si>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</si>
  <si>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</si>
  <si>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</si>
  <si>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</si>
  <si>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</si>
  <si>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</si>
  <si>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</si>
  <si>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</si>
  <si>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</si>
  <si>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</si>
  <si>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</si>
  <si>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</si>
  <si>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</si>
  <si>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</si>
  <si>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</si>
  <si>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</si>
  <si>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</si>
  <si>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</si>
  <si>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</si>
  <si>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</si>
  <si>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</si>
  <si>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</si>
  <si>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</si>
  <si>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</si>
  <si>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</si>
  <si>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</si>
  <si>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</si>
  <si>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</si>
  <si>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</si>
  <si>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</si>
  <si>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</si>
  <si>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</si>
  <si>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</si>
  <si>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</si>
  <si>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</si>
  <si>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</si>
  <si>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</si>
  <si>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</si>
  <si>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</si>
  <si>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</si>
  <si>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</si>
  <si>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</si>
  <si>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</si>
  <si>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</si>
  <si>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</si>
  <si>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</si>
  <si>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</si>
  <si>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</si>
  <si>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</si>
  <si>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</si>
  <si>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</si>
  <si>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</si>
  <si>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</si>
  <si>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</si>
  <si>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</si>
  <si>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</si>
  <si>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</si>
  <si>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</si>
  <si>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</si>
  <si>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</si>
  <si>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</si>
  <si>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</si>
  <si>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</si>
  <si>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</si>
  <si>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</si>
  <si>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</si>
  <si>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</si>
  <si>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</si>
  <si>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</si>
  <si>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</si>
  <si>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</si>
  <si>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</si>
  <si>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</si>
  <si>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</si>
  <si>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</si>
  <si>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</si>
  <si>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</si>
  <si>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</si>
  <si>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</si>
  <si>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</si>
  <si>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</si>
  <si>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</si>
  <si>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</si>
  <si>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</si>
  <si>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</si>
  <si>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</si>
  <si>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</si>
  <si>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</si>
  <si>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</si>
  <si>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</si>
  <si>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</si>
  <si>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</si>
  <si>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</si>
  <si>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</si>
  <si>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</si>
  <si>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</si>
  <si>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</si>
  <si>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</si>
  <si>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</si>
  <si>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</si>
  <si>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</si>
  <si>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</si>
  <si>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</si>
  <si>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</si>
  <si>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</si>
  <si>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</si>
  <si>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</si>
  <si>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</si>
  <si>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</si>
  <si>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</si>
  <si>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</si>
  <si>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</si>
  <si>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</si>
  <si>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</si>
  <si>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</si>
  <si>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</si>
  <si>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</si>
  <si>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</si>
  <si>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</si>
  <si>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</si>
  <si>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</si>
  <si>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</si>
  <si>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</si>
  <si>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</si>
  <si>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</si>
  <si>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</si>
  <si>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</si>
  <si>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</si>
  <si>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</si>
  <si>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</si>
  <si>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</si>
  <si>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</si>
  <si>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</si>
  <si>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</si>
  <si>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</si>
  <si>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</si>
  <si>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</si>
  <si>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</si>
  <si>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</si>
  <si>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</si>
  <si>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</si>
  <si>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</si>
  <si>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</si>
  <si>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</si>
  <si>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</si>
  <si>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</si>
  <si>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</si>
  <si>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</si>
  <si>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</si>
  <si>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</si>
  <si>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</si>
  <si>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</si>
  <si>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</si>
  <si>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</si>
  <si>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</si>
  <si>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</si>
  <si>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</si>
  <si>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</si>
  <si>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</si>
  <si>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</si>
  <si>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</si>
  <si>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</si>
  <si>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</si>
  <si>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</si>
  <si>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</si>
  <si>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</si>
  <si>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</si>
  <si>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</si>
  <si>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</si>
  <si>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</si>
  <si>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</si>
  <si>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</si>
  <si>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</si>
  <si>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</si>
  <si>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</si>
  <si>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</si>
  <si>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</si>
  <si>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</si>
  <si>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</si>
  <si>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</si>
  <si>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</si>
  <si>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</si>
  <si>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</si>
  <si>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</si>
  <si>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</si>
  <si>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</si>
  <si>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</si>
  <si>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</si>
  <si>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</si>
  <si>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</si>
  <si>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</si>
  <si>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</si>
  <si>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</si>
  <si>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</si>
  <si>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</si>
  <si>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</si>
  <si>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</si>
  <si>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</si>
  <si>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</si>
  <si>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</si>
  <si>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</si>
  <si>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</si>
  <si>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</si>
  <si>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</si>
  <si>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</si>
  <si>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</si>
  <si>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</si>
  <si>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</si>
  <si>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</si>
  <si>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</si>
  <si>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</si>
  <si>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</si>
  <si>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</si>
  <si>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</si>
  <si>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</si>
  <si>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</si>
  <si>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</si>
  <si>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</si>
  <si>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</si>
  <si>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</si>
  <si>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</si>
  <si>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</si>
  <si>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</si>
  <si>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</si>
  <si>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</si>
  <si>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</si>
  <si>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</si>
  <si>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</si>
  <si>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</si>
  <si>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</si>
  <si>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</si>
  <si>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</si>
  <si>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</si>
  <si>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</si>
  <si>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</si>
  <si>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</si>
  <si>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</si>
  <si>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</si>
  <si>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</si>
  <si>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</si>
  <si>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</si>
  <si>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</si>
  <si>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</si>
  <si>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</si>
  <si>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</si>
  <si>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</si>
  <si>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</si>
  <si>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</si>
  <si>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</si>
  <si>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</si>
  <si>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</si>
  <si>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</si>
  <si>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</si>
  <si>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</si>
  <si>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</si>
  <si>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</si>
  <si>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</si>
  <si>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</si>
  <si>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</si>
  <si>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</si>
  <si>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</si>
  <si>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</si>
  <si>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</si>
  <si>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</si>
  <si>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</si>
  <si>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</si>
  <si>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</si>
  <si>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</si>
  <si>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</si>
  <si>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</si>
  <si>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</si>
  <si>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</si>
  <si>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</si>
  <si>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</si>
  <si>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</si>
  <si>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</si>
  <si>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</si>
  <si>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</si>
  <si>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</si>
  <si>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</si>
  <si>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</si>
  <si>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</si>
  <si>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</si>
  <si>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</si>
  <si>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</si>
  <si>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</si>
  <si>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</si>
  <si>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</si>
  <si>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</si>
  <si>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</si>
  <si>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</si>
  <si>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</si>
  <si>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</si>
  <si>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</si>
  <si>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</si>
  <si>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</si>
  <si>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</si>
  <si>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</si>
  <si>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</si>
  <si>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</si>
  <si>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</si>
  <si>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</si>
  <si>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</si>
  <si>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</si>
  <si>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</si>
  <si>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</si>
  <si>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</si>
  <si>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</si>
  <si>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</si>
  <si>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</si>
  <si>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</si>
  <si>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</si>
  <si>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</si>
  <si>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</si>
  <si>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</si>
  <si>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</si>
  <si>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</si>
  <si>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</si>
  <si>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</si>
  <si>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</si>
  <si>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</si>
  <si>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</si>
  <si>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</si>
  <si>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</si>
  <si>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</si>
  <si>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</si>
  <si>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</si>
  <si>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</si>
  <si>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</si>
  <si>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</si>
  <si>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</si>
  <si>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</si>
  <si>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</si>
  <si>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</si>
  <si>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</si>
  <si>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</si>
  <si>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</si>
  <si>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</si>
  <si>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</si>
  <si>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</si>
  <si>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</si>
  <si>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</si>
  <si>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</si>
  <si>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</si>
  <si>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</si>
  <si>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</si>
  <si>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</si>
  <si>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</si>
  <si>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</si>
  <si>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</si>
  <si>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</si>
  <si>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</si>
  <si>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</si>
  <si>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</si>
  <si>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</si>
  <si>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</si>
  <si>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</si>
  <si>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</si>
  <si>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</si>
  <si>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</si>
  <si>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</si>
  <si>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</si>
  <si>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</si>
  <si>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</si>
  <si>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</si>
  <si>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</si>
  <si>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</si>
  <si>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</si>
  <si>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</si>
  <si>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</si>
  <si>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</si>
  <si>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</si>
  <si>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</si>
  <si>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</si>
  <si>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</si>
  <si>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</si>
  <si>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</si>
  <si>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</si>
  <si>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</si>
  <si>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</si>
  <si>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</si>
  <si>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</si>
  <si>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</si>
  <si>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</si>
  <si>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</si>
  <si>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</si>
  <si>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</si>
  <si>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</si>
  <si>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</si>
  <si>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</si>
  <si>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</si>
  <si>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</si>
  <si>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</si>
  <si>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</si>
  <si>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</si>
  <si>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</si>
  <si>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</si>
  <si>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</si>
  <si>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</si>
  <si>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</si>
  <si>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</si>
  <si>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</si>
  <si>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</si>
  <si>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</si>
  <si>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</si>
  <si>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</si>
  <si>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</si>
  <si>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</si>
  <si>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</si>
  <si>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</si>
  <si>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</si>
  <si>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</si>
  <si>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</si>
  <si>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</si>
  <si>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</si>
  <si>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</si>
  <si>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</si>
  <si>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</si>
  <si>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</si>
  <si>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</si>
  <si>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</si>
  <si>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</si>
  <si>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</si>
  <si>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</si>
  <si>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</si>
  <si>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</si>
  <si>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</si>
  <si>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</si>
  <si>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</si>
  <si>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</si>
  <si>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</si>
  <si>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</si>
  <si>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</si>
  <si>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</si>
  <si>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</si>
  <si>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</si>
  <si>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</si>
  <si>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</si>
  <si>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</si>
  <si>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</si>
  <si>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</si>
  <si>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</si>
  <si>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</si>
  <si>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</si>
  <si>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</si>
  <si>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</si>
  <si>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</si>
  <si>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</si>
  <si>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</si>
  <si>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</si>
  <si>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</si>
  <si>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</si>
  <si>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</si>
  <si>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</si>
  <si>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</si>
  <si>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</si>
  <si>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</si>
  <si>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</si>
  <si>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</si>
  <si>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</si>
  <si>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</si>
  <si>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</si>
  <si>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</si>
  <si>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</si>
  <si>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</si>
  <si>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</si>
  <si>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</si>
  <si>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</si>
  <si>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</si>
  <si>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</si>
  <si>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</si>
  <si>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</si>
  <si>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</si>
  <si>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</si>
  <si>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</si>
  <si>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</si>
  <si>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</si>
  <si>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</si>
  <si>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</si>
  <si>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</si>
  <si>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</si>
  <si>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</si>
  <si>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</si>
  <si>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</si>
  <si>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</si>
  <si>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</si>
  <si>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</si>
  <si>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</si>
  <si>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</si>
  <si>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</si>
  <si>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</si>
  <si>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</si>
  <si>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</si>
  <si>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</si>
  <si>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</si>
  <si>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</si>
  <si>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</si>
  <si>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</si>
  <si>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</si>
  <si>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</si>
  <si>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</si>
  <si>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</si>
  <si>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</si>
  <si>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</si>
  <si>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</si>
  <si>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</si>
  <si>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</si>
  <si>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</si>
  <si>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</si>
  <si>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</si>
  <si>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</si>
  <si>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</si>
  <si>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</si>
  <si>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</si>
  <si>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</si>
  <si>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</si>
  <si>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</si>
  <si>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</si>
  <si>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</si>
  <si>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</si>
  <si>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</si>
  <si>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</si>
  <si>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</si>
  <si>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</si>
  <si>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</si>
  <si>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</si>
  <si>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</si>
  <si>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</si>
  <si>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</si>
  <si>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</si>
  <si>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</si>
  <si>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</si>
  <si>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</si>
  <si>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</si>
  <si>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</si>
  <si>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</si>
  <si>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</si>
  <si>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</si>
  <si>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</si>
  <si>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</si>
  <si>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</si>
  <si>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</si>
  <si>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</si>
  <si>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</si>
  <si>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</si>
  <si>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</si>
  <si>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</si>
  <si>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</si>
  <si>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</si>
  <si>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</si>
  <si>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</si>
  <si>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</si>
  <si>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</si>
  <si>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</si>
  <si>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</si>
  <si>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</si>
  <si>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</si>
  <si>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</si>
  <si>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</si>
  <si>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</si>
  <si>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</si>
  <si>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</si>
  <si>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</si>
  <si>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</si>
  <si>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</si>
  <si>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</si>
  <si>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</si>
  <si>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</si>
  <si>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</si>
  <si>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</si>
  <si>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</si>
  <si>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</si>
  <si>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</si>
  <si>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</si>
  <si>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</si>
  <si>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</si>
  <si>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</si>
  <si>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</si>
  <si>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</si>
  <si>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</si>
  <si>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</si>
  <si>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</si>
  <si>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</si>
  <si>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</si>
  <si>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</si>
  <si>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</si>
  <si>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</si>
  <si>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</si>
  <si>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</si>
  <si>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</si>
  <si>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</si>
  <si>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</si>
  <si>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</si>
  <si>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</si>
  <si>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</si>
  <si>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</si>
  <si>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</si>
  <si>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</si>
  <si>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</si>
  <si>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</si>
  <si>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</si>
  <si>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</si>
  <si>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</si>
  <si>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</si>
  <si>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</si>
  <si>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</si>
  <si>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</si>
  <si>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</si>
  <si>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</si>
  <si>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</si>
  <si>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</si>
  <si>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</si>
  <si>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</si>
  <si>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</si>
  <si>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</si>
  <si>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</si>
  <si>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</si>
  <si>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</si>
  <si>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</si>
  <si>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</si>
  <si>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</si>
  <si>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</si>
  <si>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</si>
  <si>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</si>
  <si>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</si>
  <si>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</si>
  <si>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</si>
  <si>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</si>
  <si>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</si>
  <si>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</si>
  <si>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</si>
  <si>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</si>
  <si>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</si>
  <si>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</si>
  <si>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</si>
  <si>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</si>
  <si>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</si>
  <si>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</si>
  <si>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</si>
  <si>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</si>
  <si>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</si>
  <si>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</si>
  <si>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</si>
  <si>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</si>
  <si>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</si>
  <si>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</si>
  <si>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</si>
  <si>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</si>
  <si>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</si>
  <si>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</si>
  <si>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</si>
  <si>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</si>
  <si>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</si>
  <si>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</si>
  <si>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</si>
  <si>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</si>
  <si>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</si>
  <si>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</si>
  <si>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</si>
  <si>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</si>
  <si>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</si>
  <si>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</si>
  <si>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</si>
  <si>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</si>
  <si>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</si>
  <si>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</si>
  <si>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</si>
  <si>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</si>
  <si>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</si>
  <si>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</si>
  <si>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</si>
  <si>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</si>
  <si>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</si>
  <si>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</si>
  <si>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</si>
  <si>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</si>
  <si>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</si>
  <si>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</si>
  <si>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</si>
  <si>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</si>
  <si>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</si>
  <si>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</si>
  <si>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</si>
  <si>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</si>
  <si>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</si>
  <si>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</si>
  <si>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</si>
  <si>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</si>
  <si>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</si>
  <si>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</si>
  <si>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</si>
  <si>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</si>
  <si>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</si>
  <si>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</si>
  <si>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</si>
  <si>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</si>
  <si>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</si>
  <si>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</si>
  <si>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</si>
  <si>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</si>
  <si>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</si>
  <si>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</si>
  <si>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</si>
  <si>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</si>
  <si>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</si>
  <si>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</si>
  <si>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</si>
  <si>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</si>
  <si>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</si>
  <si>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</si>
  <si>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</si>
  <si>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</si>
  <si>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</si>
  <si>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</si>
  <si>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</si>
  <si>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</si>
  <si>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</si>
  <si>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</si>
  <si>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</si>
  <si>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</si>
  <si>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</si>
  <si>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</si>
  <si>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</si>
  <si>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</si>
  <si>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</si>
  <si>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</si>
  <si>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</si>
  <si>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</si>
  <si>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</si>
  <si>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</si>
  <si>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</si>
  <si>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</si>
  <si>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</si>
  <si>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</si>
  <si>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</si>
  <si>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</si>
  <si>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</si>
  <si>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</si>
  <si>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</si>
  <si>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</si>
  <si>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</si>
  <si>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</si>
  <si>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</si>
  <si>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</si>
  <si>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</si>
  <si>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</si>
  <si>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</si>
  <si>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</si>
  <si>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</si>
  <si>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</si>
  <si>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</si>
  <si>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</si>
  <si>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</si>
  <si>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</si>
  <si>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</si>
  <si>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</si>
  <si>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</si>
  <si>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</si>
  <si>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</si>
  <si>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</si>
  <si>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</si>
  <si>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</si>
  <si>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</si>
  <si>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</si>
  <si>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</si>
  <si>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</si>
  <si>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</si>
  <si>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</si>
  <si>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</si>
  <si>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</si>
  <si>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</si>
  <si>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</si>
  <si>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</si>
  <si>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</si>
  <si>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</si>
  <si>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</si>
  <si>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</si>
  <si>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</si>
  <si>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</si>
  <si>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</si>
  <si>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</si>
  <si>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</si>
  <si>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</si>
  <si>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</si>
  <si>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</si>
  <si>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</si>
  <si>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</si>
  <si>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</si>
  <si>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</si>
  <si>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</si>
  <si>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</si>
  <si>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</si>
  <si>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</si>
  <si>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</si>
  <si>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</si>
  <si>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</si>
  <si>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</si>
  <si>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</si>
  <si>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</si>
  <si>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</si>
  <si>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</si>
  <si>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</si>
  <si>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</si>
  <si>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</si>
  <si>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</si>
  <si>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</si>
  <si>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</si>
  <si>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</si>
  <si>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</si>
  <si>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</si>
  <si>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</si>
  <si>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</si>
  <si>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</si>
  <si>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</si>
  <si>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</si>
  <si>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</si>
  <si>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</si>
  <si>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</si>
  <si>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</si>
  <si>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</si>
  <si>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</si>
  <si>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</si>
  <si>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</si>
  <si>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</si>
  <si>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</si>
  <si>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</si>
  <si>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</si>
  <si>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</si>
  <si>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</si>
  <si>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</si>
  <si>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</si>
  <si>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</si>
  <si>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</si>
  <si>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</si>
  <si>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</si>
  <si>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</si>
  <si>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</si>
  <si>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</si>
  <si>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</si>
  <si>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</si>
  <si>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</si>
  <si>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</si>
  <si>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</si>
  <si>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</si>
  <si>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</si>
  <si>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</si>
  <si>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</si>
  <si>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</si>
  <si>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</si>
  <si>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</si>
  <si>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</si>
  <si>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</si>
  <si>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</si>
  <si>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</si>
  <si>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</si>
  <si>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</si>
  <si>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</si>
  <si>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</si>
  <si>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</si>
  <si>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</si>
  <si>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</si>
  <si>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</si>
  <si>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</si>
  <si>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</si>
  <si>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</si>
  <si>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</si>
  <si>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</si>
  <si>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</si>
  <si>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</si>
  <si>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</si>
  <si>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</si>
  <si>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</si>
  <si>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</si>
  <si>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</si>
  <si>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</si>
  <si>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</si>
  <si>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</si>
  <si>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</si>
  <si>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</si>
  <si>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</si>
  <si>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</si>
  <si>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</si>
  <si>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</si>
  <si>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</si>
  <si>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</si>
  <si>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</si>
  <si>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</si>
  <si>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</si>
  <si>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</si>
  <si>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</si>
  <si>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</si>
  <si>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</si>
  <si>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</si>
  <si>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</si>
  <si>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</si>
  <si>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</si>
  <si>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</si>
  <si>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</si>
  <si>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</si>
  <si>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</si>
  <si>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</si>
  <si>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</si>
  <si>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</si>
  <si>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</si>
  <si>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</si>
  <si>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</si>
  <si>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</si>
  <si>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</si>
  <si>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</si>
  <si>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</si>
  <si>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</si>
  <si>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</si>
  <si>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</si>
  <si>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</si>
  <si>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</si>
  <si>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</si>
  <si>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</si>
  <si>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</si>
  <si>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</si>
  <si>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</si>
  <si>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</si>
  <si>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</si>
  <si>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</si>
  <si>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</si>
  <si>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</si>
  <si>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</si>
  <si>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</si>
  <si>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</si>
  <si>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</si>
  <si>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</si>
  <si>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</si>
  <si>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</si>
  <si>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</si>
  <si>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</si>
  <si>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</si>
  <si>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</si>
  <si>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</si>
  <si>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</si>
  <si>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</si>
  <si>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</si>
  <si>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</si>
  <si>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</si>
  <si>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</si>
  <si>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</si>
  <si>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</si>
  <si>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</si>
  <si>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</si>
  <si>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</si>
  <si>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</si>
  <si>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</si>
  <si>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</si>
  <si>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</si>
  <si>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</si>
  <si>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</si>
  <si>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</si>
  <si>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</si>
  <si>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</si>
  <si>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</si>
  <si>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</si>
  <si>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</si>
  <si>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</si>
  <si>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</si>
  <si>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</si>
  <si>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</si>
  <si>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</si>
  <si>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</si>
  <si>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</si>
  <si>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</si>
  <si>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</si>
  <si>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</si>
  <si>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</si>
  <si>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</si>
  <si>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</si>
  <si>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</si>
  <si>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</si>
  <si>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</si>
  <si>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</si>
  <si>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</si>
  <si>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</si>
  <si>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</si>
  <si>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</si>
  <si>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</si>
  <si>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</si>
  <si>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</si>
  <si>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</si>
  <si>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</si>
  <si>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</si>
  <si>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</si>
  <si>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</si>
  <si>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</si>
  <si>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</si>
  <si>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</si>
  <si>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</si>
  <si>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</si>
  <si>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</si>
  <si>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</si>
  <si>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</si>
  <si>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</si>
  <si>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</si>
  <si>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</si>
  <si>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</si>
  <si>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</si>
  <si>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</si>
  <si>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</si>
  <si>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</si>
  <si>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</si>
  <si>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</si>
  <si>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</si>
  <si>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</si>
  <si>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</si>
  <si>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</si>
  <si>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</si>
  <si>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</si>
  <si>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</si>
  <si>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</si>
  <si>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</si>
  <si>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</si>
  <si>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</si>
  <si>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</si>
  <si>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</si>
  <si>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</si>
  <si>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</si>
  <si>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</si>
  <si>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</si>
  <si>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</si>
  <si>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</si>
  <si>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</si>
  <si>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</si>
  <si>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</si>
  <si>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</si>
  <si>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</si>
  <si>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</si>
  <si>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</si>
  <si>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</si>
  <si>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</si>
  <si>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</si>
  <si>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</si>
  <si>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</si>
  <si>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</si>
  <si>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</si>
  <si>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</si>
  <si>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</si>
  <si>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</si>
  <si>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</si>
  <si>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</si>
  <si>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</si>
  <si>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</si>
  <si>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</si>
  <si>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</si>
  <si>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</si>
  <si>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</si>
  <si>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</si>
  <si>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</si>
  <si>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</si>
  <si>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</si>
  <si>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</si>
  <si>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</si>
  <si>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</si>
  <si>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</si>
  <si>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</si>
  <si>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</si>
  <si>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</si>
  <si>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</si>
  <si>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</si>
  <si>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</si>
  <si>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</si>
  <si>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</si>
  <si>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</si>
  <si>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</si>
  <si>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</si>
  <si>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</si>
  <si>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</si>
  <si>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</si>
  <si>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</si>
  <si>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</si>
  <si>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</si>
  <si>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</si>
  <si>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</si>
  <si>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</si>
  <si>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</si>
  <si>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</si>
  <si>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</si>
  <si>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</si>
  <si>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</si>
  <si>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</si>
  <si>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</si>
  <si>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</si>
  <si>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</si>
  <si>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</si>
  <si>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</si>
  <si>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</si>
  <si>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</si>
  <si>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</si>
  <si>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</si>
  <si>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</si>
  <si>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</si>
  <si>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</si>
  <si>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</si>
  <si>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</si>
  <si>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</si>
  <si>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</si>
  <si>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</si>
  <si>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</si>
  <si>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</si>
  <si>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</si>
  <si>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</si>
  <si>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</si>
  <si>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</si>
  <si>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</si>
  <si>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</si>
  <si>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</si>
  <si>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</si>
  <si>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</si>
  <si>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</si>
  <si>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</si>
  <si>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</si>
  <si>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</si>
  <si>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</si>
  <si>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</si>
  <si>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</si>
  <si>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</si>
  <si>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</si>
  <si>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</si>
  <si>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</si>
  <si>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</si>
  <si>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</si>
  <si>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</si>
  <si>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</si>
  <si>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</si>
  <si>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</si>
  <si>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</si>
  <si>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</si>
  <si>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</si>
  <si>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</si>
  <si>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</si>
  <si>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</si>
  <si>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</si>
  <si>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</si>
  <si>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</si>
  <si>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</si>
  <si>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</si>
  <si>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</si>
  <si>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</si>
  <si>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</si>
  <si>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</si>
  <si>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</si>
  <si>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</si>
  <si>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</si>
  <si>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</si>
  <si>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</si>
  <si>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</si>
  <si>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</si>
  <si>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</si>
  <si>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</si>
  <si>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</si>
  <si>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</si>
  <si>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</si>
  <si>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</si>
  <si>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</si>
  <si>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</si>
  <si>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</si>
  <si>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</si>
  <si>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</si>
  <si>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</si>
  <si>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</si>
  <si>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</si>
  <si>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</si>
  <si>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</si>
  <si>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</si>
  <si>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</si>
  <si>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</si>
  <si>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</si>
  <si>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</si>
  <si>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</si>
  <si>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</si>
  <si>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</si>
  <si>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</si>
  <si>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</si>
  <si>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</si>
  <si>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</si>
  <si>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</si>
  <si>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</si>
  <si>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</si>
  <si>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</si>
  <si>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</si>
  <si>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</si>
  <si>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</si>
  <si>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</si>
  <si>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</si>
  <si>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</si>
  <si>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</si>
  <si>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</si>
  <si>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</si>
  <si>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</si>
  <si>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</si>
  <si>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</si>
  <si>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</si>
  <si>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</si>
  <si>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</si>
  <si>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</si>
  <si>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</si>
  <si>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</si>
  <si>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</si>
  <si>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</si>
  <si>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</si>
  <si>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</si>
  <si>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</si>
  <si>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</si>
  <si>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</si>
  <si>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</si>
  <si>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</si>
  <si>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</si>
  <si>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</si>
  <si>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</si>
  <si>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</si>
  <si>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</si>
  <si>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</si>
  <si>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</si>
  <si>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</si>
  <si>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</si>
  <si>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</si>
  <si>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</si>
  <si>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</si>
  <si>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</si>
  <si>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</si>
  <si>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</si>
  <si>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</si>
  <si>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</si>
  <si>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</si>
  <si>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</si>
  <si>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</si>
  <si>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</si>
  <si>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</si>
  <si>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</si>
  <si>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</si>
  <si>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</si>
  <si>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</si>
  <si>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</si>
  <si>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</si>
  <si>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</si>
  <si>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</si>
  <si>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</si>
  <si>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</si>
  <si>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</si>
  <si>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</si>
  <si>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</si>
  <si>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</si>
  <si>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</si>
  <si>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</si>
  <si>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</si>
  <si>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</si>
  <si>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</si>
  <si>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</si>
  <si>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</si>
  <si>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</si>
  <si>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</si>
  <si>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</si>
  <si>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</si>
  <si>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</si>
  <si>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</si>
  <si>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</si>
  <si>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</si>
  <si>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</si>
  <si>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</si>
  <si>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</si>
  <si>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</si>
  <si>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</si>
  <si>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</si>
  <si>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</si>
  <si>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</si>
  <si>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</si>
  <si>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</si>
  <si>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</si>
  <si>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</si>
  <si>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</si>
  <si>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</si>
  <si>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</si>
  <si>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</si>
  <si>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</si>
  <si>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</si>
  <si>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</si>
  <si>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</si>
  <si>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</si>
  <si>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</si>
  <si>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</si>
  <si>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</si>
  <si>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</si>
  <si>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</si>
  <si>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</si>
  <si>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</si>
  <si>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</si>
  <si>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</si>
  <si>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</si>
  <si>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</si>
  <si>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</si>
  <si>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</si>
  <si>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</si>
  <si>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</si>
  <si>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</si>
  <si>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</si>
  <si>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</si>
  <si>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</si>
  <si>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</si>
  <si>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</si>
  <si>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</si>
  <si>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</si>
  <si>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</si>
  <si>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</si>
  <si>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</si>
  <si>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</si>
  <si>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</si>
  <si>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</si>
  <si>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</si>
  <si>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</si>
  <si>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</si>
  <si>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</si>
  <si>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</si>
  <si>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</si>
  <si>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</si>
  <si>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</si>
  <si>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</si>
  <si>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</si>
  <si>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</si>
  <si>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</si>
  <si>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</si>
  <si>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</si>
  <si>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</si>
  <si>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</si>
  <si>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</si>
  <si>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</si>
  <si>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</si>
  <si>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</si>
  <si>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</si>
  <si>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</si>
  <si>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</si>
  <si>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</si>
  <si>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</si>
  <si>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</si>
  <si>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</si>
  <si>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</si>
  <si>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</si>
  <si>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</si>
  <si>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</si>
  <si>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</si>
  <si>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</si>
  <si>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</si>
  <si>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</si>
  <si>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</si>
  <si>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</si>
  <si>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</si>
  <si>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</si>
  <si>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</si>
  <si>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</si>
  <si>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</si>
  <si>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</si>
  <si>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</si>
  <si>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</si>
  <si>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</si>
  <si>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</si>
  <si>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</si>
  <si>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</si>
  <si>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</si>
  <si>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</si>
  <si>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</si>
  <si>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</si>
  <si>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</si>
  <si>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</si>
  <si>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</si>
  <si>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</si>
  <si>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</si>
  <si>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</si>
  <si>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</si>
  <si>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</si>
  <si>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</si>
  <si>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</si>
  <si>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</si>
  <si>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</si>
  <si>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</si>
  <si>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</si>
  <si>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</si>
  <si>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</si>
  <si>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</si>
  <si>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</si>
  <si>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</si>
  <si>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</si>
  <si>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</si>
  <si>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</si>
  <si>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</si>
  <si>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</si>
  <si>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</si>
  <si>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</si>
  <si>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</si>
  <si>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</si>
  <si>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</si>
  <si>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</si>
  <si>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</si>
  <si>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</si>
  <si>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</si>
  <si>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</si>
  <si>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</si>
  <si>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</si>
  <si>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</si>
  <si>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</si>
  <si>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</si>
  <si>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</si>
  <si>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</si>
  <si>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</si>
  <si>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</si>
  <si>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</si>
  <si>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</si>
  <si>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</si>
  <si>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</si>
  <si>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</si>
  <si>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</si>
  <si>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</si>
  <si>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</si>
  <si>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</si>
  <si>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</si>
  <si>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</si>
  <si>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</si>
  <si>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</si>
  <si>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</si>
  <si>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</si>
  <si>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</si>
  <si>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</si>
  <si>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</si>
  <si>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</si>
  <si>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</si>
  <si>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</si>
  <si>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</si>
  <si>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</si>
  <si>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</si>
  <si>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</si>
  <si>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</si>
  <si>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</si>
  <si>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</si>
  <si>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</si>
  <si>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</si>
  <si>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</si>
  <si>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</si>
  <si>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</si>
  <si>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</si>
  <si>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</si>
  <si>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</si>
  <si>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</si>
  <si>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</si>
  <si>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</si>
  <si>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</si>
  <si>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</si>
  <si>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</si>
  <si>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</si>
  <si>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</si>
  <si>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</si>
  <si>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</si>
  <si>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</si>
  <si>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</si>
  <si>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</si>
  <si>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</si>
  <si>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</si>
  <si>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</si>
  <si>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</si>
  <si>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</si>
  <si>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</si>
  <si>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</si>
  <si>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</si>
  <si>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</si>
  <si>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</si>
  <si>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</si>
  <si>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</si>
  <si>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</si>
  <si>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</si>
  <si>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</si>
  <si>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</si>
  <si>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</si>
  <si>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</si>
  <si>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</si>
  <si>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</si>
  <si>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</si>
  <si>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</si>
  <si>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</si>
  <si>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</si>
  <si>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</si>
  <si>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</si>
  <si>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</si>
  <si>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</si>
  <si>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</si>
  <si>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</si>
  <si>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</si>
  <si>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</si>
  <si>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</si>
  <si>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</si>
  <si>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</si>
  <si>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</si>
  <si>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</si>
  <si>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</si>
  <si>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</si>
  <si>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</si>
  <si>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</si>
  <si>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</si>
  <si>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</si>
  <si>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</si>
  <si>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</si>
  <si>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</si>
  <si>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</si>
  <si>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</si>
  <si>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</si>
  <si>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</si>
  <si>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</si>
  <si>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</si>
  <si>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</si>
  <si>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</si>
  <si>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</si>
  <si>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</si>
  <si>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</si>
  <si>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</si>
  <si>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</si>
  <si>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</si>
  <si>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</si>
  <si>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</si>
  <si>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</si>
  <si>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</si>
  <si>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</si>
  <si>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</si>
  <si>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</si>
  <si>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</si>
  <si>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</si>
  <si>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</si>
  <si>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</si>
  <si>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</si>
  <si>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</si>
  <si>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</si>
  <si>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</si>
  <si>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</si>
  <si>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</si>
  <si>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</si>
  <si>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</si>
  <si>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</si>
  <si>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</si>
  <si>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</si>
  <si>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</si>
  <si>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</si>
  <si>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</si>
  <si>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</si>
  <si>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</si>
  <si>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</si>
  <si>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</si>
  <si>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</si>
  <si>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</si>
  <si>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</si>
  <si>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</si>
  <si>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</si>
  <si>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</si>
  <si>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</si>
  <si>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</si>
  <si>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</si>
  <si>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</si>
  <si>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</si>
  <si>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</si>
  <si>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</si>
  <si>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</si>
  <si>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</si>
  <si>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</si>
  <si>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</si>
  <si>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</si>
  <si>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</si>
  <si>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</si>
  <si>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</si>
  <si>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</si>
  <si>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</si>
  <si>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</si>
  <si>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</si>
  <si>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</si>
  <si>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</si>
  <si>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</si>
  <si>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</si>
  <si>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</si>
  <si>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</si>
  <si>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</si>
  <si>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</si>
  <si>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</si>
  <si>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</si>
  <si>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</si>
  <si>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</si>
  <si>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</si>
  <si>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</si>
  <si>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</si>
  <si>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</si>
  <si>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</si>
  <si>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</si>
  <si>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</si>
  <si>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</si>
  <si>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</si>
  <si>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</si>
  <si>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</si>
  <si>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</si>
  <si>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</si>
  <si>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</si>
  <si>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</si>
  <si>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</si>
  <si>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</si>
  <si>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</si>
  <si>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</si>
  <si>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</si>
  <si>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</si>
  <si>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</si>
  <si>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</si>
  <si>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</si>
  <si>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</si>
  <si>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</si>
  <si>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</si>
  <si>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</si>
  <si>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</si>
  <si>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</si>
  <si>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</si>
  <si>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</si>
  <si>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</si>
  <si>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</si>
  <si>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</si>
  <si>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</si>
  <si>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王鹏</t>
  </si>
  <si>
    <t>郑燚</t>
  </si>
  <si>
    <t>广东粤财信托有限公司</t>
    <phoneticPr fontId="7" type="noConversion"/>
  </si>
  <si>
    <t>抵押</t>
  </si>
  <si>
    <t>房地产抵押价值</t>
  </si>
  <si>
    <t>其他：</t>
  </si>
  <si>
    <t>广东省</t>
    <phoneticPr fontId="7" type="noConversion"/>
  </si>
  <si>
    <r>
      <rPr>
        <sz val="12"/>
        <color theme="9" tint="-0.249977111117893"/>
        <rFont val="宋体"/>
        <family val="3"/>
        <charset val="134"/>
      </rPr>
      <t>广州市天河区元岗路粤隆客车厂地块</t>
    </r>
    <r>
      <rPr>
        <sz val="12"/>
        <color theme="9" tint="-0.249977111117893"/>
        <rFont val="Arial"/>
        <family val="2"/>
      </rPr>
      <t>1</t>
    </r>
    <r>
      <rPr>
        <sz val="12"/>
        <color theme="9" tint="-0.249977111117893"/>
        <rFont val="宋体"/>
        <family val="3"/>
        <charset val="134"/>
      </rPr>
      <t>、地块</t>
    </r>
    <r>
      <rPr>
        <sz val="12"/>
        <color theme="9" tint="-0.249977111117893"/>
        <rFont val="Arial"/>
        <family val="2"/>
      </rPr>
      <t>2</t>
    </r>
    <phoneticPr fontId="7" type="noConversion"/>
  </si>
  <si>
    <t>企业</t>
  </si>
  <si>
    <t>广州市远翔房地产开发有限公司</t>
    <phoneticPr fontId="7" type="noConversion"/>
  </si>
  <si>
    <t>出让</t>
  </si>
  <si>
    <r>
      <rPr>
        <sz val="12"/>
        <color theme="9" tint="-0.249977111117893"/>
        <rFont val="宋体"/>
        <family val="3"/>
        <charset val="134"/>
      </rPr>
      <t>住宅</t>
    </r>
    <r>
      <rPr>
        <sz val="12"/>
        <color theme="9" tint="-0.249977111117893"/>
        <rFont val="Arial"/>
        <family val="2"/>
      </rPr>
      <t>67.01</t>
    </r>
    <r>
      <rPr>
        <sz val="12"/>
        <color theme="9" tint="-0.249977111117893"/>
        <rFont val="宋体"/>
        <family val="3"/>
        <charset val="134"/>
      </rPr>
      <t>年、商业</t>
    </r>
    <r>
      <rPr>
        <sz val="12"/>
        <color theme="9" tint="-0.249977111117893"/>
        <rFont val="Arial"/>
        <family val="2"/>
      </rPr>
      <t>36.99</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</si>
  <si>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2015</t>
    </r>
    <r>
      <rPr>
        <sz val="12"/>
        <color theme="9" tint="-0.249977111117893"/>
        <rFont val="宋体"/>
        <family val="3"/>
        <charset val="134"/>
      </rPr>
      <t>）广州市不动产权第</t>
    </r>
    <r>
      <rPr>
        <sz val="12"/>
        <color theme="9" tint="-0.249977111117893"/>
        <rFont val="Arial"/>
        <family val="2"/>
      </rPr>
      <t>00410001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</si>
  <si>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t>否</t>
  </si>
  <si>
    <t>是</t>
  </si>
  <si>
    <t>地上</t>
  </si>
  <si>
    <t>地下</t>
  </si>
  <si>
    <r>
      <t>B</t>
    </r>
    <r>
      <rPr>
        <sz val="11"/>
        <color theme="1"/>
        <rFont val="宋体"/>
        <family val="3"/>
        <charset val="134"/>
        <scheme val="minor"/>
      </rPr>
      <t>3#</t>
    </r>
    <phoneticPr fontId="144" type="noConversion"/>
  </si>
  <si>
    <t>建筑面积（平方米）</t>
    <phoneticPr fontId="144" type="noConversion"/>
  </si>
  <si>
    <t>合计</t>
    <phoneticPr fontId="144" type="noConversion"/>
  </si>
  <si>
    <t>4层（房号）</t>
    <phoneticPr fontId="144" type="noConversion"/>
  </si>
  <si>
    <t>5层（房号）</t>
    <phoneticPr fontId="144" type="noConversion"/>
  </si>
  <si>
    <t>6层（房号）</t>
    <phoneticPr fontId="144" type="noConversion"/>
  </si>
  <si>
    <t>11层（房号）</t>
    <phoneticPr fontId="144" type="noConversion"/>
  </si>
  <si>
    <t>10层（房号）</t>
    <phoneticPr fontId="144" type="noConversion"/>
  </si>
  <si>
    <t>二期B3#3-6、10、11层精装公寓</t>
    <phoneticPr fontId="144" type="noConversion"/>
  </si>
  <si>
    <r>
      <t>二期B</t>
    </r>
    <r>
      <rPr>
        <sz val="11"/>
        <color theme="1"/>
        <rFont val="宋体"/>
        <family val="3"/>
        <charset val="134"/>
        <scheme val="minor"/>
      </rPr>
      <t>2#办公</t>
    </r>
    <phoneticPr fontId="144" type="noConversion"/>
  </si>
  <si>
    <r>
      <t>B</t>
    </r>
    <r>
      <rPr>
        <sz val="11"/>
        <color theme="1"/>
        <rFont val="宋体"/>
        <family val="3"/>
        <charset val="134"/>
        <scheme val="minor"/>
      </rPr>
      <t>2#</t>
    </r>
    <phoneticPr fontId="144" type="noConversion"/>
  </si>
  <si>
    <t>3层</t>
    <phoneticPr fontId="144" type="noConversion"/>
  </si>
  <si>
    <t>3层（房号）</t>
    <phoneticPr fontId="144" type="noConversion"/>
  </si>
  <si>
    <t>3层（房号）</t>
    <phoneticPr fontId="144" type="noConversion"/>
  </si>
  <si>
    <t>建筑面积（平方米）</t>
    <phoneticPr fontId="144" type="noConversion"/>
  </si>
  <si>
    <t>4、7~8、11~12、15层（房号）</t>
    <phoneticPr fontId="144" type="noConversion"/>
  </si>
  <si>
    <t>5、9（房号）</t>
    <phoneticPr fontId="144" type="noConversion"/>
  </si>
  <si>
    <t>6、10（房号）</t>
    <phoneticPr fontId="144" type="noConversion"/>
  </si>
  <si>
    <t>13（房号）</t>
    <phoneticPr fontId="144" type="noConversion"/>
  </si>
  <si>
    <t>14（房号）</t>
    <phoneticPr fontId="144" type="noConversion"/>
  </si>
  <si>
    <t>合计</t>
    <phoneticPr fontId="144" type="noConversion"/>
  </si>
  <si>
    <t>总计</t>
    <phoneticPr fontId="144" type="noConversion"/>
  </si>
  <si>
    <t>房屋预测各层建筑功能面积表</t>
    <phoneticPr fontId="144" type="noConversion"/>
  </si>
  <si>
    <t>所在层</t>
    <phoneticPr fontId="144" type="noConversion"/>
  </si>
  <si>
    <t>功能名称</t>
    <phoneticPr fontId="144" type="noConversion"/>
  </si>
  <si>
    <t>套数</t>
    <phoneticPr fontId="144" type="noConversion"/>
  </si>
  <si>
    <t>套内面积</t>
    <phoneticPr fontId="144" type="noConversion"/>
  </si>
  <si>
    <t>分摊面积</t>
    <phoneticPr fontId="144" type="noConversion"/>
  </si>
  <si>
    <t>建筑面积</t>
    <phoneticPr fontId="144" type="noConversion"/>
  </si>
  <si>
    <t>备注</t>
    <phoneticPr fontId="144" type="noConversion"/>
  </si>
  <si>
    <t>B2层</t>
    <phoneticPr fontId="144" type="noConversion"/>
  </si>
  <si>
    <t>B1层</t>
    <phoneticPr fontId="144" type="noConversion"/>
  </si>
  <si>
    <t>1层</t>
    <phoneticPr fontId="144" type="noConversion"/>
  </si>
  <si>
    <t>2层</t>
    <phoneticPr fontId="144" type="noConversion"/>
  </si>
  <si>
    <t>4,7~8,11~12,15</t>
    <phoneticPr fontId="144" type="noConversion"/>
  </si>
  <si>
    <t>5,9</t>
    <phoneticPr fontId="144" type="noConversion"/>
  </si>
  <si>
    <t>6,10</t>
    <phoneticPr fontId="144" type="noConversion"/>
  </si>
  <si>
    <t>13层</t>
    <phoneticPr fontId="144" type="noConversion"/>
  </si>
  <si>
    <t>14层</t>
    <phoneticPr fontId="144" type="noConversion"/>
  </si>
  <si>
    <t>其他功能（地下汽车库）</t>
    <phoneticPr fontId="144" type="noConversion"/>
  </si>
  <si>
    <t>其他功能（地下非机动车库）</t>
    <phoneticPr fontId="144" type="noConversion"/>
  </si>
  <si>
    <t>其他功能（封闭空间）</t>
    <phoneticPr fontId="144" type="noConversion"/>
  </si>
  <si>
    <t>其他功能（通讯机房）</t>
    <phoneticPr fontId="144" type="noConversion"/>
  </si>
  <si>
    <t>其他功能（无法使用面积）</t>
    <phoneticPr fontId="144" type="noConversion"/>
  </si>
  <si>
    <t>主要功能（商业）</t>
    <phoneticPr fontId="144" type="noConversion"/>
  </si>
  <si>
    <t>其他功能（首层架空层）</t>
    <phoneticPr fontId="144" type="noConversion"/>
  </si>
  <si>
    <t>公共服务设施（公共厕所）</t>
    <phoneticPr fontId="144" type="noConversion"/>
  </si>
  <si>
    <t>B2层</t>
    <phoneticPr fontId="144" type="noConversion"/>
  </si>
  <si>
    <t>3~14层面积合计</t>
    <phoneticPr fontId="144" type="noConversion"/>
  </si>
  <si>
    <t>二期商业</t>
  </si>
  <si>
    <t>二期商业</t>
    <phoneticPr fontId="8" type="noConversion"/>
  </si>
  <si>
    <t>请录依据文件名称：https://wenku.baidu.com/view/0ad15fb569dc5022aaea0035.html</t>
    <phoneticPr fontId="4" type="noConversion"/>
  </si>
  <si>
    <t>http://www.gz.gov.cn/GZ15/4.3/201506/c004bb043fe84a1f9701b9bd683fa647.shtml</t>
    <phoneticPr fontId="4" type="noConversion"/>
  </si>
  <si>
    <t>钢混</t>
  </si>
  <si>
    <t>非生产用房</t>
  </si>
  <si>
    <t>押一</t>
  </si>
  <si>
    <t>按租金收入计税</t>
  </si>
  <si>
    <t>在建（套用方法）</t>
  </si>
  <si>
    <t>正常</t>
  </si>
  <si>
    <t>30-40（含）</t>
  </si>
  <si>
    <t>较好</t>
  </si>
  <si>
    <t>五通</t>
  </si>
  <si>
    <t>商住</t>
  </si>
  <si>
    <t>商住</t>
    <phoneticPr fontId="26" type="noConversion"/>
  </si>
  <si>
    <t>独栋</t>
    <phoneticPr fontId="4" type="noConversion"/>
  </si>
  <si>
    <t>联排</t>
    <phoneticPr fontId="4" type="noConversion"/>
  </si>
  <si>
    <t>高板</t>
    <phoneticPr fontId="4" type="noConversion"/>
  </si>
  <si>
    <t>塔楼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</si>
  <si>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</si>
  <si>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</si>
  <si>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</si>
  <si>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</si>
  <si>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</si>
  <si>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</si>
  <si>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</si>
  <si>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</si>
  <si>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</si>
  <si>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</si>
  <si>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</si>
  <si>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</si>
  <si>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</si>
  <si>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</si>
  <si>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</si>
  <si>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</si>
  <si>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</si>
  <si>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</si>
  <si>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高档</t>
  </si>
  <si>
    <t>精装修</t>
  </si>
  <si>
    <t>专业</t>
  </si>
  <si>
    <t>平层</t>
  </si>
  <si>
    <t>简装</t>
  </si>
  <si>
    <t>塔楼</t>
  </si>
  <si>
    <t>个人</t>
    <phoneticPr fontId="26" type="noConversion"/>
  </si>
  <si>
    <t>公司</t>
    <phoneticPr fontId="26" type="noConversion"/>
  </si>
  <si>
    <t>公司</t>
    <phoneticPr fontId="26" type="noConversion"/>
  </si>
  <si>
    <t>一般</t>
  </si>
  <si>
    <t>商业收益法</t>
  </si>
  <si>
    <t>商业收益法</t>
    <phoneticPr fontId="17" type="noConversion"/>
  </si>
  <si>
    <t>办公收益法</t>
  </si>
  <si>
    <t>办公收益法</t>
    <phoneticPr fontId="17" type="noConversion"/>
  </si>
  <si>
    <t>地下车库收益法</t>
    <phoneticPr fontId="17" type="noConversion"/>
  </si>
  <si>
    <t>富力万科云启</t>
    <phoneticPr fontId="4" type="noConversion"/>
  </si>
  <si>
    <t>商业</t>
    <phoneticPr fontId="32" type="noConversion"/>
  </si>
  <si>
    <t>主干道</t>
    <phoneticPr fontId="4" type="noConversion"/>
  </si>
  <si>
    <t>次干道</t>
    <phoneticPr fontId="4" type="noConversion"/>
  </si>
  <si>
    <t>支路</t>
    <phoneticPr fontId="4" type="noConversion"/>
  </si>
  <si>
    <t>较规则</t>
    <phoneticPr fontId="4" type="noConversion"/>
  </si>
  <si>
    <t>比例较适宜</t>
    <phoneticPr fontId="4" type="noConversion"/>
  </si>
  <si>
    <t>三通一平</t>
    <phoneticPr fontId="4" type="noConversion"/>
  </si>
  <si>
    <t>四通一平</t>
    <phoneticPr fontId="4" type="noConversion"/>
  </si>
  <si>
    <t>五通一平</t>
    <phoneticPr fontId="4" type="noConversion"/>
  </si>
  <si>
    <t>六通一平</t>
    <phoneticPr fontId="4" type="noConversion"/>
  </si>
  <si>
    <t>七通一平</t>
    <phoneticPr fontId="4" type="noConversion"/>
  </si>
  <si>
    <t>较好</t>
    <phoneticPr fontId="4" type="noConversion"/>
  </si>
  <si>
    <t>较规则</t>
  </si>
  <si>
    <t>比例较适宜</t>
  </si>
  <si>
    <t>五通一平</t>
  </si>
  <si>
    <t>广州监测指标情况一览表</t>
  </si>
  <si>
    <t>时间</t>
  </si>
  <si>
    <t>水平值</t>
  </si>
  <si>
    <t>环比增长率</t>
  </si>
  <si>
    <t>指数</t>
  </si>
  <si>
    <t>项目局部</t>
  </si>
  <si>
    <t>成本法</t>
  </si>
  <si>
    <t>假设开发法</t>
  </si>
  <si>
    <t>AT0305155</t>
    <phoneticPr fontId="4" type="noConversion"/>
  </si>
  <si>
    <t>天河区天河科技园高唐新建区</t>
    <phoneticPr fontId="4" type="noConversion"/>
  </si>
  <si>
    <r>
      <t>36.99</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</si>
  <si>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</si>
  <si>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次干道</t>
  </si>
  <si>
    <t xml:space="preserve"> AT0305197-1</t>
    <phoneticPr fontId="4" type="noConversion"/>
  </si>
  <si>
    <t>天河科技园高唐新建区高普路以东、软件路以北</t>
    <phoneticPr fontId="4" type="noConversion"/>
  </si>
  <si>
    <t>AT0307008</t>
    <phoneticPr fontId="4" type="noConversion"/>
  </si>
  <si>
    <t>天河区智慧城核心区云溪路南侧、高唐路东侧</t>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</si>
  <si>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</si>
  <si>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主干道</t>
  </si>
  <si>
    <t>较差</t>
  </si>
  <si>
    <t>A2</t>
    <phoneticPr fontId="144" type="noConversion"/>
  </si>
  <si>
    <t>A6</t>
  </si>
  <si>
    <t>A8</t>
  </si>
  <si>
    <t>A10</t>
  </si>
  <si>
    <t>A1</t>
    <phoneticPr fontId="144" type="noConversion"/>
  </si>
  <si>
    <r>
      <t>A3</t>
    </r>
    <r>
      <rPr>
        <sz val="11"/>
        <color theme="1"/>
        <rFont val="宋体"/>
        <family val="2"/>
        <charset val="134"/>
        <scheme val="minor"/>
      </rPr>
      <t/>
    </r>
  </si>
  <si>
    <r>
      <t>A5</t>
    </r>
    <r>
      <rPr>
        <sz val="11"/>
        <color theme="1"/>
        <rFont val="宋体"/>
        <family val="2"/>
        <charset val="134"/>
        <scheme val="minor"/>
      </rPr>
      <t/>
    </r>
  </si>
  <si>
    <r>
      <t>A7</t>
    </r>
    <r>
      <rPr>
        <sz val="11"/>
        <color theme="1"/>
        <rFont val="宋体"/>
        <family val="2"/>
        <charset val="134"/>
        <scheme val="minor"/>
      </rPr>
      <t/>
    </r>
  </si>
  <si>
    <r>
      <t>A9</t>
    </r>
    <r>
      <rPr>
        <sz val="11"/>
        <color theme="1"/>
        <rFont val="宋体"/>
        <family val="2"/>
        <charset val="134"/>
        <scheme val="minor"/>
      </rPr>
      <t/>
    </r>
  </si>
  <si>
    <t>商业自持</t>
    <phoneticPr fontId="32" type="noConversion"/>
  </si>
  <si>
    <t>无</t>
    <phoneticPr fontId="32" type="noConversion"/>
  </si>
  <si>
    <t>有</t>
    <phoneticPr fontId="32" type="noConversion"/>
  </si>
  <si>
    <t>无</t>
    <phoneticPr fontId="32" type="noConversion"/>
  </si>
  <si>
    <t>支路</t>
  </si>
  <si>
    <t>测绘报告</t>
    <phoneticPr fontId="4" type="noConversion"/>
  </si>
  <si>
    <t>车库</t>
  </si>
  <si>
    <t>广州</t>
  </si>
  <si>
    <t>1664</t>
  </si>
  <si>
    <t>1982</t>
  </si>
  <si>
    <t>1958</t>
  </si>
  <si>
    <t>多层</t>
  </si>
  <si>
    <t>小高层</t>
  </si>
  <si>
    <t>高层</t>
  </si>
  <si>
    <t>未包含在土地购买价格中</t>
  </si>
  <si>
    <t>已包含在土地取得成本中</t>
  </si>
  <si>
    <t>全部缴纳</t>
  </si>
  <si>
    <t>君立国际</t>
    <phoneticPr fontId="4" type="noConversion"/>
  </si>
  <si>
    <t>天健汇</t>
    <phoneticPr fontId="4" type="noConversion"/>
  </si>
  <si>
    <t>一层</t>
    <phoneticPr fontId="4" type="noConversion"/>
  </si>
  <si>
    <t>二层</t>
    <phoneticPr fontId="4" type="noConversion"/>
  </si>
  <si>
    <t>租金</t>
    <phoneticPr fontId="4" type="noConversion"/>
  </si>
  <si>
    <t>售价</t>
    <phoneticPr fontId="4" type="noConversion"/>
  </si>
  <si>
    <t>房屋类型</t>
  </si>
  <si>
    <t>房屋地址</t>
  </si>
  <si>
    <t>总面积</t>
  </si>
  <si>
    <t>房屋功能</t>
  </si>
  <si>
    <t>商品房</t>
  </si>
  <si>
    <t>天河区元京路6号(自编B-1栋)101房</t>
  </si>
  <si>
    <t>天河区元京路6号(自编B-1栋)102房</t>
  </si>
  <si>
    <t>天河区元京路6号(自编B-1栋)103房</t>
  </si>
  <si>
    <t>天河区元京路6号(自编B-1栋)104房</t>
  </si>
  <si>
    <t>天河区元京路6号(自编B-1栋)105房</t>
  </si>
  <si>
    <t>天河区元京路6号(自编B-1栋)106房</t>
  </si>
  <si>
    <t>天河区元京路6号(自编B-1栋)107房</t>
  </si>
  <si>
    <t>天河区元京路6号(自编B-1栋)108房</t>
  </si>
  <si>
    <t>天河区元京路6号(自编B-1栋)109房</t>
  </si>
  <si>
    <t>天河区元京路6号(自编B-1栋)110房</t>
  </si>
  <si>
    <t>天河区元京路6号(自编B-1栋)111房</t>
  </si>
  <si>
    <t>天河区元京路6号(自编B-1栋)112房</t>
  </si>
  <si>
    <t>天河区元京路6号(自编B-1栋)113房</t>
  </si>
  <si>
    <t>天河区元京路6号(自编B-1栋)114房</t>
  </si>
  <si>
    <t>天河区元京路6号(自编B-1栋)115房</t>
  </si>
  <si>
    <t>天河区元京路6号(自编B-1栋)116房</t>
  </si>
  <si>
    <t>天河区元京路6号(自编B-1栋)117房</t>
  </si>
  <si>
    <t>天河区元京路6号(自编B-1栋)118房</t>
  </si>
  <si>
    <t>天河区元京路6号(自编B-1栋)119房</t>
  </si>
  <si>
    <t>天河区元京路6号(自编B-1栋)120房</t>
  </si>
  <si>
    <t>天河区元京路6号(自编B-1栋)121房</t>
  </si>
  <si>
    <t>天河区元京路6号(自编B-1栋)122房</t>
  </si>
  <si>
    <t>天河区元京路6号(自编B-1栋)123房</t>
  </si>
  <si>
    <t>天河区元京路6号(自编B-1栋)124房</t>
  </si>
  <si>
    <t>天河区元京路6号(自编B-1栋)125房</t>
  </si>
  <si>
    <t>天河区元京路6号(自编B-1栋)126房</t>
  </si>
  <si>
    <t>天河区元京路6号(自编B-1栋)127房</t>
  </si>
  <si>
    <t>天河区元京路6号(自编B-1栋)128房</t>
  </si>
  <si>
    <t>天河区元京路6号(自编B-1栋)129房</t>
  </si>
  <si>
    <t>天河区元京路6号(自编B-1栋)130房</t>
  </si>
  <si>
    <t>天河区元京路6号(自编B-1栋)131房</t>
  </si>
  <si>
    <t>天河区元京路6号(自编B-1栋)132房</t>
  </si>
  <si>
    <t>天河区元京路6号(自编B-1栋)133房</t>
  </si>
  <si>
    <t>天河区元京路6号(自编B-1栋)134房</t>
  </si>
  <si>
    <t>天河区元京路6号(自编B-1栋)201房</t>
  </si>
  <si>
    <t>天河区元京路6号(自编B-1栋)202房</t>
  </si>
  <si>
    <t>天河区元京路6号(自编B-1栋)203房</t>
  </si>
  <si>
    <t>天河区元京路6号(自编B-1栋)204房</t>
  </si>
  <si>
    <t>天河区元京路6号(自编B-1栋)205房</t>
  </si>
  <si>
    <t>天河区元京路6号(自编B-1栋)206房</t>
  </si>
  <si>
    <t>天河区元京路6号(自编B-1栋)207房</t>
  </si>
  <si>
    <t>天河区元京路6号(自编B-1栋)208房</t>
  </si>
  <si>
    <t>天河区元京路6号(自编B-1栋)209房</t>
  </si>
  <si>
    <t>天河区元京路6号(自编B-1栋)210房</t>
  </si>
  <si>
    <t>天河区元京路6号(自编B-1栋)211房</t>
  </si>
  <si>
    <t>天河区元京路6号(自编B-1栋)212房</t>
  </si>
  <si>
    <t>天河区元京路6号(自编B-1栋)213房</t>
  </si>
  <si>
    <t>天河区元京路6号(自编B-1栋)214房</t>
  </si>
  <si>
    <t>天河区元京路6号(自编B-1栋)215房</t>
  </si>
  <si>
    <t>天河区元京路6号(自编B-1栋)216房</t>
  </si>
  <si>
    <t>天河区元京路6号(自编B-1栋)217房</t>
  </si>
  <si>
    <t>天河区元京路6号(自编B-1栋)301房</t>
  </si>
  <si>
    <t>天河区元京路6号(自编B-1栋)302房</t>
  </si>
  <si>
    <t>天河区元京路6号(自编B-1栋)303房</t>
  </si>
  <si>
    <t>天河区元京路6号(自编B-1栋)304房</t>
  </si>
  <si>
    <t>天河区元京路6号(自编B-1栋)305房</t>
  </si>
  <si>
    <t>天河区元京路6号(自编B-1栋)306房</t>
  </si>
  <si>
    <t>天河区元京路6号(自编B-1栋)307房</t>
  </si>
  <si>
    <t>天河区元京路6号(自编B-1栋)308房</t>
  </si>
  <si>
    <t>天河区元京路6号(自编B-1栋)309房</t>
  </si>
  <si>
    <t>天河区元京路6号(自编B-1栋)310房</t>
  </si>
  <si>
    <t>天河区元京路6号(自编B-1栋)311房</t>
  </si>
  <si>
    <t>天河区元京路6号(自编B-1栋)312房</t>
  </si>
  <si>
    <t>天河区元京路6号(自编B-1栋)313房</t>
  </si>
  <si>
    <t>天河区元京路6号(自编B-1栋)314房</t>
  </si>
  <si>
    <t>天河区元京路6号(自编B-1栋)315房</t>
  </si>
  <si>
    <t>天河区元京路6号(自编B-1栋)316房</t>
  </si>
  <si>
    <t>天河区元京路6号(自编B-1栋)317房</t>
  </si>
  <si>
    <t>天河区元京路6号(自编B-1栋)318房</t>
  </si>
  <si>
    <t>天河区元京路6号(自编B-1栋)319房</t>
  </si>
  <si>
    <t>天河区元京路6号(自编B-1栋)320房</t>
  </si>
  <si>
    <t>天河区元京路6号(自编B-1栋)321房</t>
  </si>
  <si>
    <t>天河区元京路6号(自编B-1栋)322房</t>
  </si>
  <si>
    <t>天河区元京路6号(自编B-1栋)323房</t>
  </si>
  <si>
    <t>天河区元京路6号(自编B-1栋)324房</t>
  </si>
  <si>
    <t>天河区元京路6号(自编B-1栋)325房</t>
  </si>
  <si>
    <t>天河区元京路6号(自编B-1栋)326房</t>
  </si>
  <si>
    <t>天河区元京路6号(自编B-1栋)327房</t>
  </si>
  <si>
    <t>天河区元京路6号(自编B-1栋)328房</t>
  </si>
  <si>
    <t>天河区元京路6号(自编B-1栋)329房</t>
  </si>
  <si>
    <t>天河区元京路6号(自编B-1栋)330房</t>
  </si>
  <si>
    <t>天河区元京路6号(自编B-1栋)331房</t>
  </si>
  <si>
    <t>天河区元京路6号(自编B-1栋)332房</t>
  </si>
  <si>
    <t>天河区元京路6号(自编B-1栋)333房</t>
  </si>
  <si>
    <t>天河区元京路6号(自编B-1栋)334房</t>
  </si>
  <si>
    <t>天河区元京路6号(自编B-1栋)335房</t>
  </si>
  <si>
    <t>天河区元京路6号(自编B-1栋)336房</t>
  </si>
  <si>
    <t>天河区元京路6号(自编B-1栋)337房</t>
  </si>
  <si>
    <t>天河区元京路6号(自编B-1栋)338房</t>
  </si>
  <si>
    <t>天河区元京路6号(自编B-1栋)401房</t>
  </si>
  <si>
    <t>天河区元京路6号(自编B-1栋)402房</t>
  </si>
  <si>
    <t>天河区元京路6号(自编B-1栋)403房</t>
  </si>
  <si>
    <t>天河区元京路6号(自编B-1栋)404房</t>
  </si>
  <si>
    <t>天河区元京路6号(自编B-1栋)405房</t>
  </si>
  <si>
    <t>天河区元京路6号(自编B-1栋)406房</t>
  </si>
  <si>
    <t>天河区元京路6号(自编B-1栋)407房</t>
  </si>
  <si>
    <t>天河区元京路6号(自编B-1栋)408房</t>
  </si>
  <si>
    <t>天河区元京路6号(自编B-1栋)409房</t>
  </si>
  <si>
    <t>天河区元京路6号(自编B-1栋)410房</t>
  </si>
  <si>
    <t>天河区元京路6号(自编B-1栋)411房</t>
  </si>
  <si>
    <t>天河区元京路6号(自编B-1栋)412房</t>
  </si>
  <si>
    <t>天河区元京路6号(自编B-1栋)413房</t>
  </si>
  <si>
    <t>天河区元京路6号(自编B-1栋)414房</t>
  </si>
  <si>
    <t>天河区元京路6号(自编B-1栋)415房</t>
  </si>
  <si>
    <t>天河区元京路6号(自编B-1栋)416房</t>
  </si>
  <si>
    <t>天河区元京路6号(自编B-1栋)417房</t>
  </si>
  <si>
    <t>天河区元京路6号(自编B-1栋)418房</t>
  </si>
  <si>
    <t>天河区元京路6号(自编B-1栋)419房</t>
  </si>
  <si>
    <t>天河区元京路6号(自编B-1栋)420房</t>
  </si>
  <si>
    <t>天河区元京路6号(自编B-1栋)421房</t>
  </si>
  <si>
    <t>天河区元京路6号(自编B-1栋)422房</t>
  </si>
  <si>
    <t>天河区元京路6号(自编B-1栋)423房</t>
  </si>
  <si>
    <t>天河区元京路6号(自编B-1栋)424房</t>
  </si>
  <si>
    <t>天河区元京路6号(自编B-1栋)425房</t>
  </si>
  <si>
    <t>天河区元京路6号(自编B-1栋)426房</t>
  </si>
  <si>
    <t>天河区元京路6号(自编B-1栋)427房</t>
  </si>
  <si>
    <t>天河区元京路6号(自编B-1栋)428房</t>
  </si>
  <si>
    <t>天河区元京路6号(自编B-1栋)429房</t>
  </si>
  <si>
    <t>天河区元京路6号(自编B-1栋)430房</t>
  </si>
  <si>
    <t>天河区元京路6号(自编B-1栋)431房</t>
  </si>
  <si>
    <t>天河区元京路6号(自编B-1栋)432房</t>
  </si>
  <si>
    <t>天河区元京路6号(自编B-1栋)433房</t>
  </si>
  <si>
    <t>天河区元京路6号(自编B-1栋)434房</t>
  </si>
  <si>
    <t>天河区元京路6号(自编B-1栋)435房</t>
  </si>
  <si>
    <t>天河区元京路6号(自编B-1栋)436房</t>
  </si>
  <si>
    <t>天河区元京路6号(自编B-1栋)437房</t>
  </si>
  <si>
    <t>天河区元京路6号(自编B-1栋)438房</t>
  </si>
  <si>
    <t>天河区元京路6号(自编B-1栋)439房</t>
  </si>
  <si>
    <t>天河区元京路6号(自编B-1栋)501房</t>
  </si>
  <si>
    <t>天河区元京路6号(自编B-1栋)502房</t>
  </si>
  <si>
    <t>天河区元京路6号(自编B-1栋)503房</t>
  </si>
  <si>
    <t>天河区元京路6号(自编B-1栋)504房</t>
  </si>
  <si>
    <t>天河区元京路6号(自编B-1栋)505房</t>
  </si>
  <si>
    <t>天河区元京路6号(自编B-1栋)506房</t>
  </si>
  <si>
    <t>天河区元京路6号(自编B-1栋)507房</t>
  </si>
  <si>
    <t>天河区元京路6号(自编B-1栋)508房</t>
  </si>
  <si>
    <t>天河区元京路6号(自编B-1栋)509房</t>
  </si>
  <si>
    <t>天河区元京路6号(自编B-1栋)510房</t>
  </si>
  <si>
    <t>天河区元京路6号(自编B-1栋)511房</t>
  </si>
  <si>
    <t>天河区元京路6号(自编B-1栋)512房</t>
  </si>
  <si>
    <t>天河区元京路6号(自编B-1栋)513房</t>
  </si>
  <si>
    <t>天河区元京路6号(自编B-1栋)514房</t>
  </si>
  <si>
    <t>天河区元京路6号(自编B-1栋)515房</t>
  </si>
  <si>
    <t>天河区元京路6号(自编B-1栋)516房</t>
  </si>
  <si>
    <t>天河区元京路6号(自编B-1栋)517房</t>
  </si>
  <si>
    <t>天河区元京路6号(自编B-1栋)518房</t>
  </si>
  <si>
    <t>天河区元京路6号(自编B-1栋)519房</t>
  </si>
  <si>
    <t>天河区元京路6号(自编B-1栋)520房</t>
  </si>
  <si>
    <t>天河区元京路6号(自编B-1栋)521房</t>
  </si>
  <si>
    <t>天河区元京路6号(自编B-1栋)522房</t>
  </si>
  <si>
    <t>天河区元京路6号(自编B-1栋)523房</t>
  </si>
  <si>
    <t>天河区元京路6号(自编B-1栋)524房</t>
  </si>
  <si>
    <t>天河区元京路6号(自编B-1栋)525房</t>
  </si>
  <si>
    <t>天河区元京路6号(自编B-1栋)526房</t>
  </si>
  <si>
    <t>天河区元京路6号(自编B-1栋)527房</t>
  </si>
  <si>
    <t>天河区元京路6号(自编B-1栋)528房</t>
  </si>
  <si>
    <t>天河区元京路6号(自编B-1栋)529房</t>
  </si>
  <si>
    <t>天河区元京路6号(自编B-1栋)530房</t>
  </si>
  <si>
    <t>天河区元京路6号(自编B-1栋)531房</t>
  </si>
  <si>
    <t>天河区元京路6号(自编B-1栋)532房</t>
  </si>
  <si>
    <t>天河区元京路6号(自编B-1栋)533房</t>
  </si>
  <si>
    <t>天河区元京路6号(自编B-1栋)534房</t>
  </si>
  <si>
    <t>天河区元京路6号(自编B-1栋)535房</t>
  </si>
  <si>
    <t>天河区元京路6号(自编B-1栋)536房</t>
  </si>
  <si>
    <t>天河区元京路6号(自编B-1栋)537房</t>
  </si>
  <si>
    <t>天河区元京路6号(自编B-1栋)538房</t>
  </si>
  <si>
    <t>天河区元京路6号(自编B-1栋)539房</t>
  </si>
  <si>
    <t>天河区元京路6号(自编B-1栋)601房</t>
  </si>
  <si>
    <t>天河区元京路6号(自编B-1栋)602房</t>
  </si>
  <si>
    <t>天河区元京路6号(自编B-1栋)603房</t>
  </si>
  <si>
    <t>天河区元京路6号(自编B-1栋)604房</t>
  </si>
  <si>
    <t>天河区元京路6号(自编B-1栋)605房</t>
  </si>
  <si>
    <t>天河区元京路6号(自编B-1栋)606房</t>
  </si>
  <si>
    <t>天河区元京路6号(自编B-1栋)607房</t>
  </si>
  <si>
    <t>天河区元京路6号(自编B-1栋)608房</t>
  </si>
  <si>
    <t>天河区元京路6号(自编B-1栋)609房</t>
  </si>
  <si>
    <t>天河区元京路6号(自编B-1栋)610房</t>
  </si>
  <si>
    <t>天河区元京路6号(自编B-1栋)611房</t>
  </si>
  <si>
    <t>天河区元京路6号(自编B-1栋)612房</t>
  </si>
  <si>
    <t>天河区元京路6号(自编B-1栋)613房</t>
  </si>
  <si>
    <t>天河区元京路6号(自编B-1栋)614房</t>
  </si>
  <si>
    <t>天河区元京路6号(自编B-1栋)615房</t>
  </si>
  <si>
    <t>天河区元京路6号(自编B-1栋)616房</t>
  </si>
  <si>
    <t>天河区元京路6号(自编B-1栋)617房</t>
  </si>
  <si>
    <t>天河区元京路6号(自编B-1栋)618房</t>
  </si>
  <si>
    <t>天河区元京路6号(自编B-1栋)619房</t>
  </si>
  <si>
    <t>天河区元京路6号(自编B-1栋)620房</t>
  </si>
  <si>
    <t>天河区元京路6号(自编B-1栋)621房</t>
  </si>
  <si>
    <t>天河区元京路6号(自编B-1栋)622房</t>
  </si>
  <si>
    <t>天河区元京路6号(自编B-1栋)623房</t>
  </si>
  <si>
    <t>天河区元京路6号(自编B-1栋)624房</t>
  </si>
  <si>
    <t>天河区元京路6号(自编B-1栋)625房</t>
  </si>
  <si>
    <t>天河区元京路6号(自编B-1栋)626房</t>
  </si>
  <si>
    <t>天河区元京路6号(自编B-1栋)627房</t>
  </si>
  <si>
    <t>天河区元京路6号(自编B-1栋)628房</t>
  </si>
  <si>
    <t>天河区元京路6号(自编B-1栋)629房</t>
  </si>
  <si>
    <t>天河区元京路6号(自编B-1栋)630房</t>
  </si>
  <si>
    <t>天河区元京路6号(自编B-1栋)631房</t>
  </si>
  <si>
    <t>天河区元京路6号(自编B-1栋)632房</t>
  </si>
  <si>
    <t>天河区元京路6号(自编B-1栋)633房</t>
  </si>
  <si>
    <t>天河区元京路6号(自编B-1栋)634房</t>
  </si>
  <si>
    <t>天河区元京路6号(自编B-1栋)635房</t>
  </si>
  <si>
    <t>天河区元京路6号(自编B-1栋)636房</t>
  </si>
  <si>
    <t>天河区元京路6号(自编B-1栋)637房</t>
  </si>
  <si>
    <t>天河区元京路6号(自编B-1栋)638房</t>
  </si>
  <si>
    <t>天河区元京路6号(自编B-1栋)639房</t>
  </si>
  <si>
    <t>天河区元京路6号(自编B-1栋)701房</t>
  </si>
  <si>
    <t>天河区元京路6号(自编B-1栋)702房</t>
  </si>
  <si>
    <t>天河区元京路6号(自编B-1栋)703房</t>
  </si>
  <si>
    <t>天河区元京路6号(自编B-1栋)704房</t>
  </si>
  <si>
    <t>天河区元京路6号(自编B-1栋)705房</t>
  </si>
  <si>
    <t>天河区元京路6号(自编B-1栋)706房</t>
  </si>
  <si>
    <t>天河区元京路6号(自编B-1栋)707房</t>
  </si>
  <si>
    <t>天河区元京路6号(自编B-1栋)708房</t>
  </si>
  <si>
    <t>天河区元京路6号(自编B-1栋)709房</t>
  </si>
  <si>
    <t>天河区元京路6号(自编B-1栋)710房</t>
  </si>
  <si>
    <t>天河区元京路6号(自编B-1栋)711房</t>
  </si>
  <si>
    <t>天河区元京路6号(自编B-1栋)712房</t>
  </si>
  <si>
    <t>天河区元京路6号(自编B-1栋)713房</t>
  </si>
  <si>
    <t>天河区元京路6号(自编B-1栋)714房</t>
  </si>
  <si>
    <t>天河区元京路6号(自编B-1栋)715房</t>
  </si>
  <si>
    <t>天河区元京路6号(自编B-1栋)716房</t>
  </si>
  <si>
    <t>天河区元京路6号(自编B-1栋)717房</t>
  </si>
  <si>
    <t>天河区元京路6号(自编B-1栋)718房</t>
  </si>
  <si>
    <t>天河区元京路6号(自编B-1栋)719房</t>
  </si>
  <si>
    <t>天河区元京路6号(自编B-1栋)720房</t>
  </si>
  <si>
    <t>天河区元京路6号(自编B-1栋)721房</t>
  </si>
  <si>
    <t>天河区元京路6号(自编B-1栋)722房</t>
  </si>
  <si>
    <t>天河区元京路6号(自编B-1栋)723房</t>
  </si>
  <si>
    <t>天河区元京路6号(自编B-1栋)724房</t>
  </si>
  <si>
    <t>天河区元京路6号(自编B-1栋)725房</t>
  </si>
  <si>
    <t>天河区元京路6号(自编B-1栋)726房</t>
  </si>
  <si>
    <t>天河区元京路6号(自编B-1栋)727房</t>
  </si>
  <si>
    <t>天河区元京路6号(自编B-1栋)728房</t>
  </si>
  <si>
    <t>天河区元京路6号(自编B-1栋)729房</t>
  </si>
  <si>
    <t>天河区元京路6号(自编B-1栋)730房</t>
  </si>
  <si>
    <t>天河区元京路6号(自编B-1栋)731房</t>
  </si>
  <si>
    <t>天河区元京路6号(自编B-1栋)732房</t>
  </si>
  <si>
    <t>天河区元京路6号(自编B-1栋)733房</t>
  </si>
  <si>
    <t>天河区元京路6号(自编B-1栋)734房</t>
  </si>
  <si>
    <t>天河区元京路6号(自编B-1栋)735房</t>
  </si>
  <si>
    <t>天河区元京路6号(自编B-1栋)736房</t>
  </si>
  <si>
    <t>天河区元京路6号(自编B-1栋)737房</t>
  </si>
  <si>
    <t>天河区元京路6号(自编B-1栋)738房</t>
  </si>
  <si>
    <t>天河区元京路6号(自编B-1栋)739房</t>
  </si>
  <si>
    <t>天河区元京路6号(自编B-1栋)801房</t>
  </si>
  <si>
    <t>天河区元京路6号(自编B-1栋)802房</t>
  </si>
  <si>
    <t>天河区元京路6号(自编B-1栋)803房</t>
  </si>
  <si>
    <t>天河区元京路6号(自编B-1栋)804房</t>
  </si>
  <si>
    <t>天河区元京路6号(自编B-1栋)805房</t>
  </si>
  <si>
    <t>天河区元京路6号(自编B-1栋)806房</t>
  </si>
  <si>
    <t>天河区元京路6号(自编B-1栋)807房</t>
  </si>
  <si>
    <t>天河区元京路6号(自编B-1栋)808房</t>
  </si>
  <si>
    <t>天河区元京路6号(自编B-1栋)809房</t>
  </si>
  <si>
    <t>天河区元京路6号(自编B-1栋)810房</t>
  </si>
  <si>
    <t>天河区元京路6号(自编B-1栋)811房</t>
  </si>
  <si>
    <t>天河区元京路6号(自编B-1栋)812房</t>
  </si>
  <si>
    <t>天河区元京路6号(自编B-1栋)813房</t>
  </si>
  <si>
    <t>天河区元京路6号(自编B-1栋)814房</t>
  </si>
  <si>
    <t>天河区元京路6号(自编B-1栋)815房</t>
  </si>
  <si>
    <t>天河区元京路6号(自编B-1栋)816房</t>
  </si>
  <si>
    <t>天河区元京路6号(自编B-1栋)817房</t>
  </si>
  <si>
    <t>天河区元京路6号(自编B-1栋)818房</t>
  </si>
  <si>
    <t>天河区元京路6号(自编B-1栋)819房</t>
  </si>
  <si>
    <t>天河区元京路6号(自编B-1栋)820房</t>
  </si>
  <si>
    <t>天河区元京路6号(自编B-1栋)821房</t>
  </si>
  <si>
    <t>天河区元京路6号(自编B-1栋)822房</t>
  </si>
  <si>
    <t>天河区元京路6号(自编B-1栋)823房</t>
  </si>
  <si>
    <t>天河区元京路6号(自编B-1栋)824房</t>
  </si>
  <si>
    <t>天河区元京路6号(自编B-1栋)825房</t>
  </si>
  <si>
    <t>天河区元京路6号(自编B-1栋)826房</t>
  </si>
  <si>
    <t>天河区元京路6号(自编B-1栋)827房</t>
  </si>
  <si>
    <t>天河区元京路6号(自编B-1栋)828房</t>
  </si>
  <si>
    <t>天河区元京路6号(自编B-1栋)829房</t>
  </si>
  <si>
    <t>天河区元京路6号(自编B-1栋)830房</t>
  </si>
  <si>
    <t>天河区元京路6号(自编B-1栋)831房</t>
  </si>
  <si>
    <t>天河区元京路6号(自编B-1栋)832房</t>
  </si>
  <si>
    <t>天河区元京路6号(自编B-1栋)833房</t>
  </si>
  <si>
    <t>天河区元京路6号(自编B-1栋)834房</t>
  </si>
  <si>
    <t>天河区元京路6号(自编B-1栋)835房</t>
  </si>
  <si>
    <t>天河区元京路6号(自编B-1栋)836房</t>
  </si>
  <si>
    <t>天河区元京路6号(自编B-1栋)837房</t>
  </si>
  <si>
    <t>天河区元京路6号(自编B-1栋)838房</t>
  </si>
  <si>
    <t>天河区元京路6号(自编B-1栋)839房</t>
  </si>
  <si>
    <t>天河区元京路6号(自编B-1栋)901房</t>
  </si>
  <si>
    <t>天河区元京路6号(自编B-1栋)902房</t>
  </si>
  <si>
    <t>天河区元京路6号(自编B-1栋)903房</t>
  </si>
  <si>
    <t>天河区元京路6号(自编B-1栋)904房</t>
  </si>
  <si>
    <t>天河区元京路6号(自编B-1栋)905房</t>
  </si>
  <si>
    <t>天河区元京路6号(自编B-1栋)906房</t>
  </si>
  <si>
    <t>天河区元京路6号(自编B-1栋)907房</t>
  </si>
  <si>
    <t>天河区元京路6号(自编B-1栋)908房</t>
  </si>
  <si>
    <t>天河区元京路6号(自编B-1栋)909房</t>
  </si>
  <si>
    <t>天河区元京路6号(自编B-1栋)910房</t>
  </si>
  <si>
    <t>天河区元京路6号(自编B-1栋)911房</t>
  </si>
  <si>
    <t>天河区元京路6号(自编B-1栋)912房</t>
  </si>
  <si>
    <t>天河区元京路6号(自编B-1栋)913房</t>
  </si>
  <si>
    <t>天河区元京路6号(自编B-1栋)914房</t>
  </si>
  <si>
    <t>天河区元京路6号(自编B-1栋)915房</t>
  </si>
  <si>
    <t>天河区元京路6号(自编B-1栋)916房</t>
  </si>
  <si>
    <t>天河区元京路6号(自编B-1栋)917房</t>
  </si>
  <si>
    <t>天河区元京路6号(自编B-1栋)918房</t>
  </si>
  <si>
    <t>天河区元京路6号(自编B-1栋)919房</t>
  </si>
  <si>
    <t>天河区元京路6号(自编B-1栋)920房</t>
  </si>
  <si>
    <t>天河区元京路6号(自编B-1栋)921房</t>
  </si>
  <si>
    <t>天河区元京路6号(自编B-1栋)922房</t>
  </si>
  <si>
    <t>天河区元京路6号(自编B-1栋)923房</t>
  </si>
  <si>
    <t>天河区元京路6号(自编B-1栋)924房</t>
  </si>
  <si>
    <t>天河区元京路6号(自编B-1栋)925房</t>
  </si>
  <si>
    <t>天河区元京路6号(自编B-1栋)926房</t>
  </si>
  <si>
    <t>天河区元京路6号(自编B-1栋)927房</t>
  </si>
  <si>
    <t>天河区元京路6号(自编B-1栋)928房</t>
  </si>
  <si>
    <t>天河区元京路6号(自编B-1栋)929房</t>
  </si>
  <si>
    <t>天河区元京路6号(自编B-1栋)930房</t>
  </si>
  <si>
    <t>天河区元京路6号(自编B-1栋)931房</t>
  </si>
  <si>
    <t>天河区元京路6号(自编B-1栋)932房</t>
  </si>
  <si>
    <t>天河区元京路6号(自编B-1栋)933房</t>
  </si>
  <si>
    <t>天河区元京路6号(自编B-1栋)934房</t>
  </si>
  <si>
    <t>天河区元京路6号(自编B-1栋)935房</t>
  </si>
  <si>
    <t>天河区元京路6号(自编B-1栋)936房</t>
  </si>
  <si>
    <t>天河区元京路6号(自编B-1栋)937房</t>
  </si>
  <si>
    <t>天河区元京路6号(自编B-1栋)938房</t>
  </si>
  <si>
    <t>天河区元京路6号(自编B-1栋)939房</t>
  </si>
  <si>
    <t>天河区元京路6号(自编B-1栋)1001房</t>
  </si>
  <si>
    <t>天河区元京路6号(自编B-1栋)1002房</t>
  </si>
  <si>
    <t>天河区元京路6号(自编B-1栋)1003房</t>
  </si>
  <si>
    <t>天河区元京路6号(自编B-1栋)1004房</t>
  </si>
  <si>
    <t>天河区元京路6号(自编B-1栋)1005房</t>
  </si>
  <si>
    <t>天河区元京路6号(自编B-1栋)1006房</t>
  </si>
  <si>
    <t>天河区元京路6号(自编B-1栋)1007房</t>
  </si>
  <si>
    <t>天河区元京路6号(自编B-1栋)1008房</t>
  </si>
  <si>
    <t>天河区元京路6号(自编B-1栋)1009房</t>
  </si>
  <si>
    <t>天河区元京路6号(自编B-1栋)1010房</t>
  </si>
  <si>
    <t>天河区元京路6号(自编B-1栋)1011房</t>
  </si>
  <si>
    <t>天河区元京路6号(自编B-1栋)1012房</t>
  </si>
  <si>
    <t>天河区元京路6号(自编B-1栋)1013房</t>
  </si>
  <si>
    <t>天河区元京路6号(自编B-1栋)1014房</t>
  </si>
  <si>
    <t>天河区元京路6号(自编B-1栋)1015房</t>
  </si>
  <si>
    <t>天河区元京路6号(自编B-1栋)1016房</t>
  </si>
  <si>
    <t>天河区元京路6号(自编B-1栋)1017房</t>
  </si>
  <si>
    <t>天河区元京路6号(自编B-1栋)1018房</t>
  </si>
  <si>
    <t>天河区元京路6号(自编B-1栋)1019房</t>
  </si>
  <si>
    <t>天河区元京路6号(自编B-1栋)1020房</t>
  </si>
  <si>
    <t>天河区元京路6号(自编B-1栋)1021房</t>
  </si>
  <si>
    <t>天河区元京路6号(自编B-1栋)1022房</t>
  </si>
  <si>
    <t>天河区元京路6号(自编B-1栋)1023房</t>
  </si>
  <si>
    <t>天河区元京路6号(自编B-1栋)1024房</t>
  </si>
  <si>
    <t>天河区元京路6号(自编B-1栋)1025房</t>
  </si>
  <si>
    <t>天河区元京路6号(自编B-1栋)1026房</t>
  </si>
  <si>
    <t>天河区元京路6号(自编B-1栋)1027房</t>
  </si>
  <si>
    <t>天河区元京路6号(自编B-1栋)1028房</t>
  </si>
  <si>
    <t>天河区元京路6号(自编B-1栋)1029房</t>
  </si>
  <si>
    <t>天河区元京路6号(自编B-1栋)1030房</t>
  </si>
  <si>
    <t>天河区元京路6号(自编B-1栋)1031房</t>
  </si>
  <si>
    <t>天河区元京路6号(自编B-1栋)1032房</t>
  </si>
  <si>
    <t>天河区元京路6号(自编B-1栋)1033房</t>
  </si>
  <si>
    <t>天河区元京路6号(自编B-1栋)1034房</t>
  </si>
  <si>
    <t>天河区元京路6号(自编B-1栋)1035房</t>
  </si>
  <si>
    <t>天河区元京路6号(自编B-1栋)1036房</t>
  </si>
  <si>
    <t>天河区元京路6号(自编B-1栋)1037房</t>
  </si>
  <si>
    <t>天河区元京路6号(自编B-1栋)1038房</t>
  </si>
  <si>
    <t>天河区元京路6号(自编B-1栋)1039房</t>
  </si>
  <si>
    <t>天河区元京路6号(自编B-1栋)1101房</t>
  </si>
  <si>
    <t>天河区元京路6号(自编B-1栋)1102房</t>
  </si>
  <si>
    <t>天河区元京路6号(自编B-1栋)1103房</t>
  </si>
  <si>
    <t>天河区元京路6号(自编B-1栋)1104房</t>
  </si>
  <si>
    <t>天河区元京路6号(自编B-1栋)1105房</t>
  </si>
  <si>
    <t>天河区元京路6号(自编B-1栋)1106房</t>
  </si>
  <si>
    <t>天河区元京路6号(自编B-1栋)1107房</t>
  </si>
  <si>
    <t>天河区元京路6号(自编B-1栋)1108房</t>
  </si>
  <si>
    <t>天河区元京路6号(自编B-1栋)1109房</t>
  </si>
  <si>
    <t>天河区元京路6号(自编B-1栋)1110房</t>
  </si>
  <si>
    <t>天河区元京路6号(自编B-1栋)1111房</t>
  </si>
  <si>
    <t>天河区元京路6号(自编B-1栋)1112房</t>
  </si>
  <si>
    <t>天河区元京路6号(自编B-1栋)1113房</t>
  </si>
  <si>
    <t>天河区元京路6号(自编B-1栋)1114房</t>
  </si>
  <si>
    <t>天河区元京路6号(自编B-1栋)1115房</t>
  </si>
  <si>
    <t>天河区元京路6号(自编B-1栋)1116房</t>
  </si>
  <si>
    <t>天河区元京路6号(自编B-1栋)1117房</t>
  </si>
  <si>
    <t>天河区元京路6号(自编B-1栋)1118房</t>
  </si>
  <si>
    <t>天河区元京路6号(自编B-1栋)1119房</t>
  </si>
  <si>
    <t>天河区元京路6号(自编B-1栋)1120房</t>
  </si>
  <si>
    <t>天河区元京路6号(自编B-1栋)1121房</t>
  </si>
  <si>
    <t>天河区元京路6号(自编B-1栋)1122房</t>
  </si>
  <si>
    <t>天河区元京路6号(自编B-1栋)1123房</t>
  </si>
  <si>
    <t>天河区元京路6号(自编B-1栋)1124房</t>
  </si>
  <si>
    <t>天河区元京路6号(自编B-1栋)1125房</t>
  </si>
  <si>
    <t>天河区元京路6号(自编B-1栋)1126房</t>
  </si>
  <si>
    <t>天河区元京路6号(自编B-1栋)1127房</t>
  </si>
  <si>
    <t>天河区元京路6号(自编B-1栋)1128房</t>
  </si>
  <si>
    <t>天河区元京路6号(自编B-1栋)1129房</t>
  </si>
  <si>
    <t>天河区元京路6号(自编B-1栋)1130房</t>
  </si>
  <si>
    <t>天河区元京路6号(自编B-1栋)1131房</t>
  </si>
  <si>
    <t>天河区元京路6号(自编B-1栋)1132房</t>
  </si>
  <si>
    <t>天河区元京路6号(自编B-1栋)1133房</t>
  </si>
  <si>
    <t>天河区元京路6号(自编B-1栋)1134房</t>
  </si>
  <si>
    <t>天河区元京路6号(自编B-1栋)1135房</t>
  </si>
  <si>
    <t>天河区元京路6号(自编B-1栋)1136房</t>
  </si>
  <si>
    <t>天河区元京路6号(自编B-1栋)1137房</t>
  </si>
  <si>
    <t>天河区元京路6号(自编B-1栋)1138房</t>
  </si>
  <si>
    <t>天河区元京路6号(自编B-1栋)1139房</t>
  </si>
  <si>
    <t>天河区元京路6号(自编B-1栋)1201房</t>
  </si>
  <si>
    <t>天河区元京路6号(自编B-1栋)1202房</t>
  </si>
  <si>
    <t>天河区元京路6号(自编B-1栋)1203房</t>
  </si>
  <si>
    <t>天河区元京路6号(自编B-1栋)1204房</t>
  </si>
  <si>
    <t>天河区元京路6号(自编B-1栋)1205房</t>
  </si>
  <si>
    <t>天河区元京路6号(自编B-1栋)1206房</t>
  </si>
  <si>
    <t>天河区元京路6号(自编B-1栋)1207房</t>
  </si>
  <si>
    <t>天河区元京路6号(自编B-1栋)1208房</t>
  </si>
  <si>
    <t>天河区元京路6号(自编B-1栋)1209房</t>
  </si>
  <si>
    <t>天河区元京路6号(自编B-1栋)1210房</t>
  </si>
  <si>
    <t>天河区元京路6号(自编B-1栋)1211房</t>
  </si>
  <si>
    <t>天河区元京路6号(自编B-1栋)1212房</t>
  </si>
  <si>
    <t>天河区元京路6号(自编B-1栋)1213房</t>
  </si>
  <si>
    <t>天河区元京路6号(自编B-1栋)1214房</t>
  </si>
  <si>
    <t>天河区元京路6号(自编B-1栋)1215房</t>
  </si>
  <si>
    <t>天河区元京路6号(自编B-1栋)1216房</t>
  </si>
  <si>
    <t>天河区元京路6号(自编B-1栋)1217房</t>
  </si>
  <si>
    <t>天河区元京路6号(自编B-1栋)1218房</t>
  </si>
  <si>
    <t>天河区元京路6号(自编B-1栋)1219房</t>
  </si>
  <si>
    <t>天河区元京路6号(自编B-1栋)1220房</t>
  </si>
  <si>
    <t>天河区元京路6号(自编B-1栋)1221房</t>
  </si>
  <si>
    <t>天河区元京路6号(自编B-1栋)1222房</t>
  </si>
  <si>
    <t>天河区元京路6号(自编B-1栋)1223房</t>
  </si>
  <si>
    <t>天河区元京路6号(自编B-1栋)1224房</t>
  </si>
  <si>
    <t>天河区元京路6号(自编B-1栋)1225房</t>
  </si>
  <si>
    <t>天河区元京路6号(自编B-1栋)1226房</t>
  </si>
  <si>
    <t>天河区元京路6号(自编B-1栋)1227房</t>
  </si>
  <si>
    <t>天河区元京路6号(自编B-1栋)1228房</t>
  </si>
  <si>
    <t>天河区元京路6号(自编B-1栋)1229房</t>
  </si>
  <si>
    <t>天河区元京路6号(自编B-1栋)1230房</t>
  </si>
  <si>
    <t>天河区元京路6号(自编B-1栋)1231房</t>
  </si>
  <si>
    <t>天河区元京路6号(自编B-1栋)1232房</t>
  </si>
  <si>
    <t>天河区元京路6号(自编B-1栋)1233房</t>
  </si>
  <si>
    <t>天河区元京路6号(自编B-1栋)1234房</t>
  </si>
  <si>
    <t>天河区元京路6号(自编B-1栋)1235房</t>
  </si>
  <si>
    <t>天河区元京路6号(自编B-1栋)1236房</t>
  </si>
  <si>
    <t>天河区元京路6号(自编B-1栋)1237房</t>
  </si>
  <si>
    <t>天河区元京路6号(自编B-1栋)1238房</t>
  </si>
  <si>
    <t>天河区元京路6号(自编B-1栋)1239房</t>
  </si>
  <si>
    <t>天河区元京路6号(自编B-1栋)1301房</t>
  </si>
  <si>
    <t>天河区元京路6号(自编B-1栋)1302房</t>
  </si>
  <si>
    <t>天河区元京路6号(自编B-1栋)1303房</t>
  </si>
  <si>
    <t>天河区元京路6号(自编B-1栋)1304房</t>
  </si>
  <si>
    <t>天河区元京路6号(自编B-1栋)1305房</t>
  </si>
  <si>
    <t>天河区元京路6号(自编B-1栋)1306房</t>
  </si>
  <si>
    <t>天河区元京路6号(自编B-1栋)1307房</t>
  </si>
  <si>
    <t>天河区元京路6号(自编B-1栋)1308房</t>
  </si>
  <si>
    <t>天河区元京路6号(自编B-1栋)1309房</t>
  </si>
  <si>
    <t>天河区元京路6号(自编B-1栋)1310房</t>
  </si>
  <si>
    <t>天河区元京路6号(自编B-1栋)1311房</t>
  </si>
  <si>
    <t>天河区元京路6号(自编B-1栋)1312房</t>
  </si>
  <si>
    <t>天河区元京路6号(自编B-1栋)1313房</t>
  </si>
  <si>
    <t>天河区元京路6号(自编B-1栋)1314房</t>
  </si>
  <si>
    <t>天河区元京路6号(自编B-1栋)1315房</t>
  </si>
  <si>
    <t>天河区元京路6号(自编B-1栋)1316房</t>
  </si>
  <si>
    <t>天河区元京路6号(自编B-1栋)1317房</t>
  </si>
  <si>
    <t>天河区元京路6号(自编B-1栋)1318房</t>
  </si>
  <si>
    <t>天河区元京路6号(自编B-1栋)1319房</t>
  </si>
  <si>
    <t>天河区元京路6号(自编B-1栋)1320房</t>
  </si>
  <si>
    <t>天河区元京路6号(自编B-1栋)1321房</t>
  </si>
  <si>
    <t>天河区元京路6号(自编B-1栋)1322房</t>
  </si>
  <si>
    <t>天河区元京路6号(自编B-1栋)1323房</t>
  </si>
  <si>
    <t>天河区元京路6号(自编B-1栋)1324房</t>
  </si>
  <si>
    <t>天河区元京路6号(自编B-1栋)1325房</t>
  </si>
  <si>
    <t>天河区元京路6号(自编B-1栋)1326房</t>
  </si>
  <si>
    <t>天河区元京路6号(自编B-1栋)1327房</t>
  </si>
  <si>
    <t>天河区元京路6号(自编B-1栋)1328房</t>
  </si>
  <si>
    <t>天河区元京路6号(自编B-1栋)1329房</t>
  </si>
  <si>
    <t>天河区元京路6号(自编B-1栋)1330房</t>
  </si>
  <si>
    <t>天河区元京路6号(自编B-1栋)1331房</t>
  </si>
  <si>
    <t>天河区元京路6号(自编B-1栋)1332房</t>
  </si>
  <si>
    <t>天河区元京路6号(自编B-1栋)1333房</t>
  </si>
  <si>
    <t>天河区元京路6号(自编B-1栋)1334房</t>
  </si>
  <si>
    <t>天河区元京路6号(自编B-1栋)1335房</t>
  </si>
  <si>
    <t>天河区元京路6号(自编B-1栋)1336房</t>
  </si>
  <si>
    <t>天河区元京路6号(自编B-1栋)1337房</t>
  </si>
  <si>
    <t>天河区元京路6号(自编B-1栋)1338房</t>
  </si>
  <si>
    <t>天河区元京路6号(自编B-1栋)1339房</t>
  </si>
  <si>
    <t>天河区元京路6号(自编B-1栋)1401房</t>
  </si>
  <si>
    <t>天河区元京路6号(自编B-1栋)1402房</t>
  </si>
  <si>
    <t>天河区元京路6号(自编B-1栋)1403房</t>
  </si>
  <si>
    <t>天河区元京路6号(自编B-1栋)1404房</t>
  </si>
  <si>
    <t>天河区元京路6号(自编B-1栋)1405房</t>
  </si>
  <si>
    <t>天河区元京路6号(自编B-1栋)1406房</t>
  </si>
  <si>
    <t>天河区元京路6号(自编B-1栋)1407房</t>
  </si>
  <si>
    <t>天河区元京路6号(自编B-1栋)1408房</t>
  </si>
  <si>
    <t>天河区元京路6号(自编B-1栋)1409房</t>
  </si>
  <si>
    <t>天河区元京路6号(自编B-1栋)1410房</t>
  </si>
  <si>
    <t>天河区元京路6号(自编B-1栋)1411房</t>
  </si>
  <si>
    <t>天河区元京路6号(自编B-1栋)1412房</t>
  </si>
  <si>
    <t>天河区元京路6号(自编B-1栋)1413房</t>
  </si>
  <si>
    <t>天河区元京路6号(自编B-1栋)1414房</t>
  </si>
  <si>
    <t>天河区元京路6号(自编B-1栋)1415房</t>
  </si>
  <si>
    <t>天河区元京路6号(自编B-1栋)1416房</t>
  </si>
  <si>
    <t>天河区元京路6号(自编B-1栋)1417房</t>
  </si>
  <si>
    <t>天河区元京路6号(自编B-1栋)1418房</t>
  </si>
  <si>
    <t>天河区元京路6号(自编B-1栋)1419房</t>
  </si>
  <si>
    <t>天河区元京路6号(自编B-1栋)1420房</t>
  </si>
  <si>
    <t>天河区元京路6号(自编B-1栋)1421房</t>
  </si>
  <si>
    <t>天河区元京路6号(自编B-1栋)1422房</t>
  </si>
  <si>
    <t>天河区元京路6号(自编B-1栋)1423房</t>
  </si>
  <si>
    <t>天河区元京路6号(自编B-1栋)1424房</t>
  </si>
  <si>
    <t>天河区元京路6号(自编B-1栋)1425房</t>
  </si>
  <si>
    <t>天河区元京路6号(自编B-1栋)1426房</t>
  </si>
  <si>
    <t>天河区元京路6号(自编B-1栋)1427房</t>
  </si>
  <si>
    <t>天河区元京路6号(自编B-1栋)1428房</t>
  </si>
  <si>
    <t>天河区元京路6号(自编B-1栋)1429房</t>
  </si>
  <si>
    <t>天河区元京路6号(自编B-1栋)1430房</t>
  </si>
  <si>
    <t>天河区元京路6号(自编B-1栋)1431房</t>
  </si>
  <si>
    <t>天河区元京路6号(自编B-1栋)1432房</t>
  </si>
  <si>
    <t>天河区元京路6号(自编B-1栋)1433房</t>
  </si>
  <si>
    <t>天河区元京路6号(自编B-1栋)1434房</t>
  </si>
  <si>
    <t>天河区元京路6号(自编B-1栋)1435房</t>
  </si>
  <si>
    <t>天河区元京路6号(自编B-1栋)1436房</t>
  </si>
  <si>
    <t>天河区元京路6号(自编B-1栋)1437房</t>
  </si>
  <si>
    <t>天河区元京路6号(自编B-1栋)1438房</t>
  </si>
  <si>
    <t>天河区元京路6号(自编B-1栋)1439房</t>
  </si>
  <si>
    <t>天河区元京路6号(自编B-1栋)1501房</t>
  </si>
  <si>
    <t>天河区元京路6号(自编B-1栋)1502房</t>
  </si>
  <si>
    <t>天河区元京路6号(自编B-1栋)1503房</t>
  </si>
  <si>
    <t>天河区元京路6号(自编B-1栋)1504房</t>
  </si>
  <si>
    <t>天河区元京路6号(自编B-1栋)1505房</t>
  </si>
  <si>
    <t>天河区元京路6号(自编B-1栋)1506房</t>
  </si>
  <si>
    <t>天河区元京路6号(自编B-1栋)1507房</t>
  </si>
  <si>
    <t>天河区元京路6号(自编B-1栋)1508房</t>
  </si>
  <si>
    <t>天河区元京路6号(自编B-1栋)1509房</t>
  </si>
  <si>
    <t>天河区元京路6号(自编B-1栋)1510房</t>
  </si>
  <si>
    <t>天河区元京路6号(自编B-1栋)1511房</t>
  </si>
  <si>
    <t>天河区元京路6号(自编B-1栋)1512房</t>
  </si>
  <si>
    <t>天河区元京路6号(自编B-1栋)1513房</t>
  </si>
  <si>
    <t>天河区元京路6号(自编B-1栋)1514房</t>
  </si>
  <si>
    <t>天河区元京路6号(自编B-1栋)1515房</t>
  </si>
  <si>
    <t>天河区元京路6号(自编B-1栋)1516房</t>
  </si>
  <si>
    <t>天河区元京路6号(自编B-1栋)1517房</t>
  </si>
  <si>
    <t>天河区元京路6号(自编B-1栋)1518房</t>
  </si>
  <si>
    <t>天河区元京路6号(自编B-1栋)1519房</t>
  </si>
  <si>
    <t>天河区元京路6号(自编B-1栋)1520房</t>
  </si>
  <si>
    <t>天河区元京路6号(自编B-1栋)1521房</t>
  </si>
  <si>
    <t>天河区元京路6号(自编B-1栋)1522房</t>
  </si>
  <si>
    <t>天河区元京路6号(自编B-1栋)1523房</t>
  </si>
  <si>
    <t>天河区元京路6号(自编B-1栋)1524房</t>
  </si>
  <si>
    <t>天河区元京路6号(自编B-1栋)1525房</t>
  </si>
  <si>
    <t>天河区元京路6号(自编B-1栋)1526房</t>
  </si>
  <si>
    <t>天河区元京路6号(自编B-1栋)1527房</t>
  </si>
  <si>
    <t>天河区元京路6号(自编B-1栋)1528房</t>
  </si>
  <si>
    <t>天河区元京路6号(自编B-1栋)1529房</t>
  </si>
  <si>
    <t>天河区元京路6号(自编B-1栋)1530房</t>
  </si>
  <si>
    <t>天河区元京路6号(自编B-1栋)1531房</t>
  </si>
  <si>
    <t>天河区元京路6号(自编B-1栋)1532房</t>
  </si>
  <si>
    <t>天河区元京路6号(自编B-1栋)1533房</t>
  </si>
  <si>
    <t>天河区元京路6号(自编B-1栋)1534房</t>
  </si>
  <si>
    <t>天河区元京路6号(自编B-1栋)1535房</t>
  </si>
  <si>
    <t>天河区元京路6号(自编B-1栋)1536房</t>
  </si>
  <si>
    <t>天河区元京路6号(自编B-1栋)1537房</t>
  </si>
  <si>
    <t>天河区元京路6号(自编B-1栋)1538房</t>
  </si>
  <si>
    <t>天河区元京路6号(自编B-1栋)1539房</t>
  </si>
  <si>
    <t>天河区元京路4号(自编B-2栋)101房</t>
  </si>
  <si>
    <t>天河区元京路4号(自编B-2栋)102房</t>
  </si>
  <si>
    <t>天河区元京路4号(自编B-2栋)103房</t>
  </si>
  <si>
    <t>天河区元京路4号(自编B-2栋)104房</t>
  </si>
  <si>
    <t>天河区元京路4号(自编B-2栋)105房</t>
  </si>
  <si>
    <t>天河区元京路4号(自编B-2栋)106房</t>
  </si>
  <si>
    <t>天河区元京路4号(自编B-2栋)107房</t>
  </si>
  <si>
    <t>天河区元京路4号(自编B-2栋)108房</t>
  </si>
  <si>
    <t>天河区元京路4号(自编B-2栋)109房</t>
  </si>
  <si>
    <t>天河区元京路4号(自编B-2栋)110房</t>
  </si>
  <si>
    <t>天河区元京路4号(自编B-2栋)111房</t>
  </si>
  <si>
    <t>天河区元京路4号(自编B-2栋)112房</t>
  </si>
  <si>
    <t>天河区元京路4号(自编B-2栋)113房</t>
  </si>
  <si>
    <t>天河区元京路4号(自编B-2栋)114房</t>
  </si>
  <si>
    <t>天河区元京路4号(自编B-2栋)115房</t>
  </si>
  <si>
    <t>天河区元京路4号(自编B-2栋)116房</t>
  </si>
  <si>
    <t>天河区元京路4号(自编B-2栋)117房</t>
  </si>
  <si>
    <t>天河区元京路4号(自编B-2栋)118房</t>
  </si>
  <si>
    <t>天河区元京路4号(自编B-2栋)119房</t>
  </si>
  <si>
    <t>天河区元京路4号(自编B-2栋)120房</t>
  </si>
  <si>
    <t>天河区元京路4号(自编B-2栋)121房</t>
  </si>
  <si>
    <t>天河区元京路4号(自编B-2栋)122房</t>
  </si>
  <si>
    <t>天河区元京路4号(自编B-2栋)123房</t>
  </si>
  <si>
    <t>天河区元京路4号(自编B-2栋)124房</t>
  </si>
  <si>
    <t>天河区元京路4号(自编B-2栋)201房</t>
  </si>
  <si>
    <t>天河区元京路4号(自编B-2栋)202房</t>
  </si>
  <si>
    <t>天河区元京路4号(自编B-2栋)203房</t>
  </si>
  <si>
    <t>天河区元京路4号(自编B-2栋)204房</t>
  </si>
  <si>
    <t>天河区元京路4号(自编B-2栋)205房</t>
  </si>
  <si>
    <t>天河区元京路4号(自编B-2栋)206房</t>
  </si>
  <si>
    <t>天河区元京路4号(自编B-2栋)207房</t>
  </si>
  <si>
    <t>天河区元京路4号(自编B-2栋)208房</t>
  </si>
  <si>
    <t>天河区元京路4号(自编B-2栋)209房</t>
  </si>
  <si>
    <t>天河区元京路4号(自编B-2栋)210房</t>
  </si>
  <si>
    <t>天河区元京路4号(自编B-2栋)211房</t>
  </si>
  <si>
    <t>天河区元京路4号(自编B-2栋)212房</t>
  </si>
  <si>
    <t>天河区元京路4号(自编B-2栋)213房</t>
  </si>
  <si>
    <t>天河区元京路4号(自编B-2栋)214房</t>
  </si>
  <si>
    <t>天河区元京路4号(自编B-2栋)215房</t>
  </si>
  <si>
    <t>天河区元京路4号(自编B-2栋)301房</t>
  </si>
  <si>
    <t>天河区元京路4号(自编B-2栋)302房</t>
  </si>
  <si>
    <t>天河区元京路4号(自编B-2栋)303房</t>
  </si>
  <si>
    <t>天河区元京路4号(自编B-2栋)304房</t>
  </si>
  <si>
    <t>天河区元京路4号(自编B-2栋)305房</t>
  </si>
  <si>
    <t>天河区元京路4号(自编B-2栋)306房</t>
  </si>
  <si>
    <t>天河区元京路4号(自编B-2栋)307房</t>
  </si>
  <si>
    <t>天河区元京路4号(自编B-2栋)308房</t>
  </si>
  <si>
    <t>天河区元京路4号(自编B-2栋)309房</t>
  </si>
  <si>
    <t>天河区元京路4号(自编B-2栋)310房</t>
  </si>
  <si>
    <t>天河区元京路4号(自编B-2栋)311房</t>
  </si>
  <si>
    <t>天河区元京路4号(自编B-2栋)312房</t>
  </si>
  <si>
    <t>天河区元京路4号(自编B-2栋)313房</t>
  </si>
  <si>
    <t>天河区元京路4号(自编B-2栋)314房</t>
  </si>
  <si>
    <t>天河区元京路4号(自编B-2栋)315房</t>
  </si>
  <si>
    <t>天河区元京路4号(自编B-2栋)316房</t>
  </si>
  <si>
    <t>天河区元京路4号(自编B-2栋)317房</t>
  </si>
  <si>
    <t>天河区元京路4号(自编B-2栋)318房</t>
  </si>
  <si>
    <t>天河区元京路4号(自编B-2栋)319房</t>
  </si>
  <si>
    <t>天河区元京路4号(自编B-2栋)320房</t>
  </si>
  <si>
    <t>天河区元京路4号(自编B-2栋)321房</t>
  </si>
  <si>
    <t>天河区元京路4号(自编B-2栋)322房</t>
  </si>
  <si>
    <t>天河区元京路4号(自编B-2栋)323房</t>
  </si>
  <si>
    <t>天河区元京路4号(自编B-2栋)324房</t>
  </si>
  <si>
    <t>天河区元京路4号(自编B-2栋)325房</t>
  </si>
  <si>
    <t>天河区元京路4号(自编B-2栋)326房</t>
  </si>
  <si>
    <t>天河区元京路4号(自编B-2栋)327房</t>
  </si>
  <si>
    <t>天河区元京路4号(自编B-2栋)328房</t>
  </si>
  <si>
    <t>天河区元京路4号(自编B-2栋)329房</t>
  </si>
  <si>
    <t>天河区元京路4号(自编B-2栋)330房</t>
  </si>
  <si>
    <t>天河区元京路4号(自编B-2栋)331房</t>
  </si>
  <si>
    <t>天河区元京路4号(自编B-2栋)332房</t>
  </si>
  <si>
    <t>天河区元京路4号(自编B-2栋)401房</t>
  </si>
  <si>
    <t>天河区元京路4号(自编B-2栋)402房</t>
  </si>
  <si>
    <t>天河区元京路4号(自编B-2栋)403房</t>
  </si>
  <si>
    <t>天河区元京路4号(自编B-2栋)404房</t>
  </si>
  <si>
    <t>天河区元京路4号(自编B-2栋)405房</t>
  </si>
  <si>
    <t>天河区元京路4号(自编B-2栋)406房</t>
  </si>
  <si>
    <t>天河区元京路4号(自编B-2栋)407房</t>
  </si>
  <si>
    <t>天河区元京路4号(自编B-2栋)408房</t>
  </si>
  <si>
    <t>天河区元京路4号(自编B-2栋)409房</t>
  </si>
  <si>
    <t>天河区元京路4号(自编B-2栋)410房</t>
  </si>
  <si>
    <t>天河区元京路4号(自编B-2栋)411房</t>
  </si>
  <si>
    <t>天河区元京路4号(自编B-2栋)412房</t>
  </si>
  <si>
    <t>天河区元京路4号(自编B-2栋)413房</t>
  </si>
  <si>
    <t>天河区元京路4号(自编B-2栋)414房</t>
  </si>
  <si>
    <t>天河区元京路4号(自编B-2栋)415房</t>
  </si>
  <si>
    <t>天河区元京路4号(自编B-2栋)416房</t>
  </si>
  <si>
    <t>天河区元京路4号(自编B-2栋)417房</t>
  </si>
  <si>
    <t>天河区元京路4号(自编B-2栋)418房</t>
  </si>
  <si>
    <t>天河区元京路4号(自编B-2栋)419房</t>
  </si>
  <si>
    <t>天河区元京路4号(自编B-2栋)420房</t>
  </si>
  <si>
    <t>天河区元京路4号(自编B-2栋)421房</t>
  </si>
  <si>
    <t>天河区元京路4号(自编B-2栋)422房</t>
  </si>
  <si>
    <t>天河区元京路4号(自编B-2栋)423房</t>
  </si>
  <si>
    <t>天河区元京路4号(自编B-2栋)424房</t>
  </si>
  <si>
    <t>天河区元京路4号(自编B-2栋)425房</t>
  </si>
  <si>
    <t>天河区元京路4号(自编B-2栋)426房</t>
  </si>
  <si>
    <t>天河区元京路4号(自编B-2栋)427房</t>
  </si>
  <si>
    <t>天河区元京路4号(自编B-2栋)428房</t>
  </si>
  <si>
    <t>天河区元京路4号(自编B-2栋)429房</t>
  </si>
  <si>
    <t>天河区元京路4号(自编B-2栋)430房</t>
  </si>
  <si>
    <t>天河区元京路4号(自编B-2栋)431房</t>
  </si>
  <si>
    <t>天河区元京路4号(自编B-2栋)432房</t>
  </si>
  <si>
    <t>天河区元京路4号(自编B-2栋)433房</t>
  </si>
  <si>
    <t>天河区元京路4号(自编B-2栋)434房</t>
  </si>
  <si>
    <t>天河区元京路4号(自编B-2栋)501房</t>
  </si>
  <si>
    <t>天河区元京路4号(自编B-2栋)502房</t>
  </si>
  <si>
    <t>天河区元京路4号(自编B-2栋)503房</t>
  </si>
  <si>
    <t>天河区元京路4号(自编B-2栋)504房</t>
  </si>
  <si>
    <t>天河区元京路4号(自编B-2栋)505房</t>
  </si>
  <si>
    <t>天河区元京路4号(自编B-2栋)506房</t>
  </si>
  <si>
    <t>天河区元京路4号(自编B-2栋)507房</t>
  </si>
  <si>
    <t>天河区元京路4号(自编B-2栋)508房</t>
  </si>
  <si>
    <t>天河区元京路4号(自编B-2栋)509房</t>
  </si>
  <si>
    <t>天河区元京路4号(自编B-2栋)510房</t>
  </si>
  <si>
    <t>天河区元京路4号(自编B-2栋)511房</t>
  </si>
  <si>
    <t>天河区元京路4号(自编B-2栋)512房</t>
  </si>
  <si>
    <t>天河区元京路4号(自编B-2栋)513房</t>
  </si>
  <si>
    <t>天河区元京路4号(自编B-2栋)514房</t>
  </si>
  <si>
    <t>天河区元京路4号(自编B-2栋)515房</t>
  </si>
  <si>
    <t>天河区元京路4号(自编B-2栋)516房</t>
  </si>
  <si>
    <t>天河区元京路4号(自编B-2栋)517房</t>
  </si>
  <si>
    <t>天河区元京路4号(自编B-2栋)518房</t>
  </si>
  <si>
    <t>天河区元京路4号(自编B-2栋)519房</t>
  </si>
  <si>
    <t>天河区元京路4号(自编B-2栋)520房</t>
  </si>
  <si>
    <t>天河区元京路4号(自编B-2栋)521房</t>
  </si>
  <si>
    <t>天河区元京路4号(自编B-2栋)522房</t>
  </si>
  <si>
    <t>天河区元京路4号(自编B-2栋)523房</t>
  </si>
  <si>
    <t>天河区元京路4号(自编B-2栋)524房</t>
  </si>
  <si>
    <t>天河区元京路4号(自编B-2栋)525房</t>
  </si>
  <si>
    <t>天河区元京路4号(自编B-2栋)526房</t>
  </si>
  <si>
    <t>天河区元京路4号(自编B-2栋)527房</t>
  </si>
  <si>
    <t>天河区元京路4号(自编B-2栋)528房</t>
  </si>
  <si>
    <t>天河区元京路4号(自编B-2栋)529房</t>
  </si>
  <si>
    <t>天河区元京路4号(自编B-2栋)530房</t>
  </si>
  <si>
    <t>天河区元京路4号(自编B-2栋)531房</t>
  </si>
  <si>
    <t>天河区元京路4号(自编B-2栋)532房</t>
  </si>
  <si>
    <t>天河区元京路4号(自编B-2栋)533房</t>
  </si>
  <si>
    <t>天河区元京路4号(自编B-2栋)534房</t>
  </si>
  <si>
    <t>天河区元京路4号(自编B-2栋)601房</t>
  </si>
  <si>
    <t>天河区元京路4号(自编B-2栋)602房</t>
  </si>
  <si>
    <t>天河区元京路4号(自编B-2栋)603房</t>
  </si>
  <si>
    <t>天河区元京路4号(自编B-2栋)604房</t>
  </si>
  <si>
    <t>天河区元京路4号(自编B-2栋)605房</t>
  </si>
  <si>
    <t>天河区元京路4号(自编B-2栋)606房</t>
  </si>
  <si>
    <t>天河区元京路4号(自编B-2栋)607房</t>
  </si>
  <si>
    <t>天河区元京路4号(自编B-2栋)608房</t>
  </si>
  <si>
    <t>天河区元京路4号(自编B-2栋)609房</t>
  </si>
  <si>
    <t>天河区元京路4号(自编B-2栋)610房</t>
  </si>
  <si>
    <t>天河区元京路4号(自编B-2栋)611房</t>
  </si>
  <si>
    <t>天河区元京路4号(自编B-2栋)612房</t>
  </si>
  <si>
    <t>天河区元京路4号(自编B-2栋)613房</t>
  </si>
  <si>
    <t>天河区元京路4号(自编B-2栋)614房</t>
  </si>
  <si>
    <t>天河区元京路4号(自编B-2栋)615房</t>
  </si>
  <si>
    <t>天河区元京路4号(自编B-2栋)616房</t>
  </si>
  <si>
    <t>天河区元京路4号(自编B-2栋)617房</t>
  </si>
  <si>
    <t>天河区元京路4号(自编B-2栋)618房</t>
  </si>
  <si>
    <t>天河区元京路4号(自编B-2栋)619房</t>
  </si>
  <si>
    <t>天河区元京路4号(自编B-2栋)620房</t>
  </si>
  <si>
    <t>天河区元京路4号(自编B-2栋)621房</t>
  </si>
  <si>
    <t>天河区元京路4号(自编B-2栋)622房</t>
  </si>
  <si>
    <t>天河区元京路4号(自编B-2栋)623房</t>
  </si>
  <si>
    <t>天河区元京路4号(自编B-2栋)624房</t>
  </si>
  <si>
    <t>天河区元京路4号(自编B-2栋)625房</t>
  </si>
  <si>
    <t>天河区元京路4号(自编B-2栋)626房</t>
  </si>
  <si>
    <t>天河区元京路4号(自编B-2栋)627房</t>
  </si>
  <si>
    <t>天河区元京路4号(自编B-2栋)628房</t>
  </si>
  <si>
    <t>天河区元京路4号(自编B-2栋)629房</t>
  </si>
  <si>
    <t>天河区元京路4号(自编B-2栋)630房</t>
  </si>
  <si>
    <t>天河区元京路4号(自编B-2栋)631房</t>
  </si>
  <si>
    <t>天河区元京路4号(自编B-2栋)632房</t>
  </si>
  <si>
    <t>天河区元京路4号(自编B-2栋)633房</t>
  </si>
  <si>
    <t>天河区元京路4号(自编B-2栋)634房</t>
  </si>
  <si>
    <t>天河区元京路4号(自编B-2栋)701房</t>
  </si>
  <si>
    <t>天河区元京路4号(自编B-2栋)702房</t>
  </si>
  <si>
    <t>天河区元京路4号(自编B-2栋)703房</t>
  </si>
  <si>
    <t>天河区元京路4号(自编B-2栋)704房</t>
  </si>
  <si>
    <t>天河区元京路4号(自编B-2栋)705房</t>
  </si>
  <si>
    <t>天河区元京路4号(自编B-2栋)706房</t>
  </si>
  <si>
    <t>天河区元京路4号(自编B-2栋)707房</t>
  </si>
  <si>
    <t>天河区元京路4号(自编B-2栋)708房</t>
  </si>
  <si>
    <t>天河区元京路4号(自编B-2栋)709房</t>
  </si>
  <si>
    <t>天河区元京路4号(自编B-2栋)710房</t>
  </si>
  <si>
    <t>天河区元京路4号(自编B-2栋)711房</t>
  </si>
  <si>
    <t>天河区元京路4号(自编B-2栋)712房</t>
  </si>
  <si>
    <t>天河区元京路4号(自编B-2栋)713房</t>
  </si>
  <si>
    <t>天河区元京路4号(自编B-2栋)714房</t>
  </si>
  <si>
    <t>天河区元京路4号(自编B-2栋)715房</t>
  </si>
  <si>
    <t>天河区元京路4号(自编B-2栋)716房</t>
  </si>
  <si>
    <t>天河区元京路4号(自编B-2栋)717房</t>
  </si>
  <si>
    <t>天河区元京路4号(自编B-2栋)718房</t>
  </si>
  <si>
    <t>天河区元京路4号(自编B-2栋)719房</t>
  </si>
  <si>
    <t>天河区元京路4号(自编B-2栋)720房</t>
  </si>
  <si>
    <t>天河区元京路4号(自编B-2栋)721房</t>
  </si>
  <si>
    <t>天河区元京路4号(自编B-2栋)722房</t>
  </si>
  <si>
    <t>天河区元京路4号(自编B-2栋)723房</t>
  </si>
  <si>
    <t>天河区元京路4号(自编B-2栋)724房</t>
  </si>
  <si>
    <t>天河区元京路4号(自编B-2栋)725房</t>
  </si>
  <si>
    <t>天河区元京路4号(自编B-2栋)726房</t>
  </si>
  <si>
    <t>天河区元京路4号(自编B-2栋)727房</t>
  </si>
  <si>
    <t>天河区元京路4号(自编B-2栋)728房</t>
  </si>
  <si>
    <t>天河区元京路4号(自编B-2栋)729房</t>
  </si>
  <si>
    <t>天河区元京路4号(自编B-2栋)730房</t>
  </si>
  <si>
    <t>天河区元京路4号(自编B-2栋)731房</t>
  </si>
  <si>
    <t>天河区元京路4号(自编B-2栋)732房</t>
  </si>
  <si>
    <t>天河区元京路4号(自编B-2栋)733房</t>
  </si>
  <si>
    <t>天河区元京路4号(自编B-2栋)734房</t>
  </si>
  <si>
    <t>天河区元京路4号(自编B-2栋)801房</t>
  </si>
  <si>
    <t>天河区元京路4号(自编B-2栋)802房</t>
  </si>
  <si>
    <t>天河区元京路4号(自编B-2栋)803房</t>
  </si>
  <si>
    <t>天河区元京路4号(自编B-2栋)804房</t>
  </si>
  <si>
    <t>天河区元京路4号(自编B-2栋)805房</t>
  </si>
  <si>
    <t>天河区元京路4号(自编B-2栋)806房</t>
  </si>
  <si>
    <t>天河区元京路4号(自编B-2栋)807房</t>
  </si>
  <si>
    <t>天河区元京路4号(自编B-2栋)808房</t>
  </si>
  <si>
    <t>天河区元京路4号(自编B-2栋)809房</t>
  </si>
  <si>
    <t>天河区元京路4号(自编B-2栋)810房</t>
  </si>
  <si>
    <t>天河区元京路4号(自编B-2栋)811房</t>
  </si>
  <si>
    <t>天河区元京路4号(自编B-2栋)812房</t>
  </si>
  <si>
    <t>天河区元京路4号(自编B-2栋)813房</t>
  </si>
  <si>
    <t>天河区元京路4号(自编B-2栋)814房</t>
  </si>
  <si>
    <t>天河区元京路4号(自编B-2栋)815房</t>
  </si>
  <si>
    <t>天河区元京路4号(自编B-2栋)816房</t>
  </si>
  <si>
    <t>天河区元京路4号(自编B-2栋)817房</t>
  </si>
  <si>
    <t>天河区元京路4号(自编B-2栋)818房</t>
  </si>
  <si>
    <t>天河区元京路4号(自编B-2栋)819房</t>
  </si>
  <si>
    <t>天河区元京路4号(自编B-2栋)820房</t>
  </si>
  <si>
    <t>天河区元京路4号(自编B-2栋)821房</t>
  </si>
  <si>
    <t>天河区元京路4号(自编B-2栋)822房</t>
  </si>
  <si>
    <t>天河区元京路4号(自编B-2栋)823房</t>
  </si>
  <si>
    <t>天河区元京路4号(自编B-2栋)824房</t>
  </si>
  <si>
    <t>天河区元京路4号(自编B-2栋)825房</t>
  </si>
  <si>
    <t>天河区元京路4号(自编B-2栋)826房</t>
  </si>
  <si>
    <t>天河区元京路4号(自编B-2栋)827房</t>
  </si>
  <si>
    <t>天河区元京路4号(自编B-2栋)828房</t>
  </si>
  <si>
    <t>天河区元京路4号(自编B-2栋)829房</t>
  </si>
  <si>
    <t>天河区元京路4号(自编B-2栋)830房</t>
  </si>
  <si>
    <t>天河区元京路4号(自编B-2栋)831房</t>
  </si>
  <si>
    <t>天河区元京路4号(自编B-2栋)832房</t>
  </si>
  <si>
    <t>天河区元京路4号(自编B-2栋)833房</t>
  </si>
  <si>
    <t>天河区元京路4号(自编B-2栋)834房</t>
  </si>
  <si>
    <t>天河区元京路4号(自编B-2栋)901房</t>
  </si>
  <si>
    <t>天河区元京路4号(自编B-2栋)902房</t>
  </si>
  <si>
    <t>天河区元京路4号(自编B-2栋)903房</t>
  </si>
  <si>
    <t>天河区元京路4号(自编B-2栋)904房</t>
  </si>
  <si>
    <t>天河区元京路4号(自编B-2栋)905房</t>
  </si>
  <si>
    <t>天河区元京路4号(自编B-2栋)906房</t>
  </si>
  <si>
    <t>天河区元京路4号(自编B-2栋)907房</t>
  </si>
  <si>
    <t>天河区元京路4号(自编B-2栋)908房</t>
  </si>
  <si>
    <t>天河区元京路4号(自编B-2栋)909房</t>
  </si>
  <si>
    <t>天河区元京路4号(自编B-2栋)910房</t>
  </si>
  <si>
    <t>天河区元京路4号(自编B-2栋)911房</t>
  </si>
  <si>
    <t>天河区元京路4号(自编B-2栋)912房</t>
  </si>
  <si>
    <t>天河区元京路4号(自编B-2栋)913房</t>
  </si>
  <si>
    <t>天河区元京路4号(自编B-2栋)914房</t>
  </si>
  <si>
    <t>天河区元京路4号(自编B-2栋)915房</t>
  </si>
  <si>
    <t>天河区元京路4号(自编B-2栋)916房</t>
  </si>
  <si>
    <t>天河区元京路4号(自编B-2栋)917房</t>
  </si>
  <si>
    <t>天河区元京路4号(自编B-2栋)918房</t>
  </si>
  <si>
    <t>天河区元京路4号(自编B-2栋)919房</t>
  </si>
  <si>
    <t>天河区元京路4号(自编B-2栋)920房</t>
  </si>
  <si>
    <t>天河区元京路4号(自编B-2栋)921房</t>
  </si>
  <si>
    <t>天河区元京路4号(自编B-2栋)922房</t>
  </si>
  <si>
    <t>天河区元京路4号(自编B-2栋)923房</t>
  </si>
  <si>
    <t>天河区元京路4号(自编B-2栋)924房</t>
  </si>
  <si>
    <t>天河区元京路4号(自编B-2栋)925房</t>
  </si>
  <si>
    <t>天河区元京路4号(自编B-2栋)926房</t>
  </si>
  <si>
    <t>天河区元京路4号(自编B-2栋)927房</t>
  </si>
  <si>
    <t>天河区元京路4号(自编B-2栋)928房</t>
  </si>
  <si>
    <t>天河区元京路4号(自编B-2栋)929房</t>
  </si>
  <si>
    <t>天河区元京路4号(自编B-2栋)930房</t>
  </si>
  <si>
    <t>天河区元京路4号(自编B-2栋)931房</t>
  </si>
  <si>
    <t>天河区元京路4号(自编B-2栋)932房</t>
  </si>
  <si>
    <t>天河区元京路4号(自编B-2栋)933房</t>
  </si>
  <si>
    <t>天河区元京路4号(自编B-2栋)934房</t>
  </si>
  <si>
    <t>天河区元京路4号(自编B-2栋)1001房</t>
  </si>
  <si>
    <t>天河区元京路4号(自编B-2栋)1002房</t>
  </si>
  <si>
    <t>天河区元京路4号(自编B-2栋)1003房</t>
  </si>
  <si>
    <t>天河区元京路4号(自编B-2栋)1004房</t>
  </si>
  <si>
    <t>天河区元京路4号(自编B-2栋)1005房</t>
  </si>
  <si>
    <t>天河区元京路4号(自编B-2栋)1006房</t>
  </si>
  <si>
    <t>天河区元京路4号(自编B-2栋)1007房</t>
  </si>
  <si>
    <t>天河区元京路4号(自编B-2栋)1008房</t>
  </si>
  <si>
    <t>天河区元京路4号(自编B-2栋)1009房</t>
  </si>
  <si>
    <t>天河区元京路4号(自编B-2栋)1010房</t>
  </si>
  <si>
    <t>天河区元京路4号(自编B-2栋)1011房</t>
  </si>
  <si>
    <t>天河区元京路4号(自编B-2栋)1012房</t>
  </si>
  <si>
    <t>天河区元京路4号(自编B-2栋)1013房</t>
  </si>
  <si>
    <t>天河区元京路4号(自编B-2栋)1014房</t>
  </si>
  <si>
    <t>天河区元京路4号(自编B-2栋)1015房</t>
  </si>
  <si>
    <t>天河区元京路4号(自编B-2栋)1016房</t>
  </si>
  <si>
    <t>天河区元京路4号(自编B-2栋)1017房</t>
  </si>
  <si>
    <t>天河区元京路4号(自编B-2栋)1018房</t>
  </si>
  <si>
    <t>天河区元京路4号(自编B-2栋)1019房</t>
  </si>
  <si>
    <t>天河区元京路4号(自编B-2栋)1020房</t>
  </si>
  <si>
    <t>天河区元京路4号(自编B-2栋)1021房</t>
  </si>
  <si>
    <t>天河区元京路4号(自编B-2栋)1022房</t>
  </si>
  <si>
    <t>天河区元京路4号(自编B-2栋)1023房</t>
  </si>
  <si>
    <t>天河区元京路4号(自编B-2栋)1024房</t>
  </si>
  <si>
    <t>天河区元京路4号(自编B-2栋)1025房</t>
  </si>
  <si>
    <t>天河区元京路4号(自编B-2栋)1026房</t>
  </si>
  <si>
    <t>天河区元京路4号(自编B-2栋)1027房</t>
  </si>
  <si>
    <t>天河区元京路4号(自编B-2栋)1028房</t>
  </si>
  <si>
    <t>天河区元京路4号(自编B-2栋)1029房</t>
  </si>
  <si>
    <t>天河区元京路4号(自编B-2栋)1030房</t>
  </si>
  <si>
    <t>天河区元京路4号(自编B-2栋)1031房</t>
  </si>
  <si>
    <t>天河区元京路4号(自编B-2栋)1032房</t>
  </si>
  <si>
    <t>天河区元京路4号(自编B-2栋)1033房</t>
  </si>
  <si>
    <t>天河区元京路4号(自编B-2栋)1034房</t>
  </si>
  <si>
    <t>天河区元京路4号(自编B-2栋)1101房</t>
  </si>
  <si>
    <t>天河区元京路4号(自编B-2栋)1102房</t>
  </si>
  <si>
    <t>天河区元京路4号(自编B-2栋)1103房</t>
  </si>
  <si>
    <t>天河区元京路4号(自编B-2栋)1104房</t>
  </si>
  <si>
    <t>天河区元京路4号(自编B-2栋)1105房</t>
  </si>
  <si>
    <t>天河区元京路4号(自编B-2栋)1106房</t>
  </si>
  <si>
    <t>天河区元京路4号(自编B-2栋)1107房</t>
  </si>
  <si>
    <t>天河区元京路4号(自编B-2栋)1108房</t>
  </si>
  <si>
    <t>天河区元京路4号(自编B-2栋)1109房</t>
  </si>
  <si>
    <t>天河区元京路4号(自编B-2栋)1110房</t>
  </si>
  <si>
    <t>天河区元京路4号(自编B-2栋)1111房</t>
  </si>
  <si>
    <t>天河区元京路4号(自编B-2栋)1112房</t>
  </si>
  <si>
    <t>天河区元京路4号(自编B-2栋)1113房</t>
  </si>
  <si>
    <t>天河区元京路4号(自编B-2栋)1114房</t>
  </si>
  <si>
    <t>天河区元京路4号(自编B-2栋)1115房</t>
  </si>
  <si>
    <t>天河区元京路4号(自编B-2栋)1116房</t>
  </si>
  <si>
    <t>天河区元京路4号(自编B-2栋)1117房</t>
  </si>
  <si>
    <t>天河区元京路4号(自编B-2栋)1118房</t>
  </si>
  <si>
    <t>天河区元京路4号(自编B-2栋)1119房</t>
  </si>
  <si>
    <t>天河区元京路4号(自编B-2栋)1120房</t>
  </si>
  <si>
    <t>天河区元京路4号(自编B-2栋)1121房</t>
  </si>
  <si>
    <t>天河区元京路4号(自编B-2栋)1122房</t>
  </si>
  <si>
    <t>天河区元京路4号(自编B-2栋)1123房</t>
  </si>
  <si>
    <t>天河区元京路4号(自编B-2栋)1124房</t>
  </si>
  <si>
    <t>天河区元京路4号(自编B-2栋)1125房</t>
  </si>
  <si>
    <t>天河区元京路4号(自编B-2栋)1126房</t>
  </si>
  <si>
    <t>天河区元京路4号(自编B-2栋)1127房</t>
  </si>
  <si>
    <t>天河区元京路4号(自编B-2栋)1128房</t>
  </si>
  <si>
    <t>天河区元京路4号(自编B-2栋)1129房</t>
  </si>
  <si>
    <t>天河区元京路4号(自编B-2栋)1130房</t>
  </si>
  <si>
    <t>天河区元京路4号(自编B-2栋)1131房</t>
  </si>
  <si>
    <t>天河区元京路4号(自编B-2栋)1132房</t>
  </si>
  <si>
    <t>天河区元京路4号(自编B-2栋)1133房</t>
  </si>
  <si>
    <t>天河区元京路4号(自编B-2栋)1134房</t>
  </si>
  <si>
    <t>天河区元京路4号(自编B-2栋)1201房</t>
  </si>
  <si>
    <t>天河区元京路4号(自编B-2栋)1202房</t>
  </si>
  <si>
    <t>天河区元京路4号(自编B-2栋)1203房</t>
  </si>
  <si>
    <t>天河区元京路4号(自编B-2栋)1204房</t>
  </si>
  <si>
    <t>天河区元京路4号(自编B-2栋)1205房</t>
  </si>
  <si>
    <t>天河区元京路4号(自编B-2栋)1206房</t>
  </si>
  <si>
    <t>天河区元京路4号(自编B-2栋)1207房</t>
  </si>
  <si>
    <t>天河区元京路4号(自编B-2栋)1208房</t>
  </si>
  <si>
    <t>天河区元京路4号(自编B-2栋)1209房</t>
  </si>
  <si>
    <t>天河区元京路4号(自编B-2栋)1210房</t>
  </si>
  <si>
    <t>天河区元京路4号(自编B-2栋)1211房</t>
  </si>
  <si>
    <t>天河区元京路4号(自编B-2栋)1212房</t>
  </si>
  <si>
    <t>天河区元京路4号(自编B-2栋)1213房</t>
  </si>
  <si>
    <t>天河区元京路4号(自编B-2栋)1214房</t>
  </si>
  <si>
    <t>天河区元京路4号(自编B-2栋)1215房</t>
  </si>
  <si>
    <t>天河区元京路4号(自编B-2栋)1216房</t>
  </si>
  <si>
    <t>天河区元京路4号(自编B-2栋)1217房</t>
  </si>
  <si>
    <t>天河区元京路4号(自编B-2栋)1218房</t>
  </si>
  <si>
    <t>天河区元京路4号(自编B-2栋)1219房</t>
  </si>
  <si>
    <t>天河区元京路4号(自编B-2栋)1220房</t>
  </si>
  <si>
    <t>天河区元京路4号(自编B-2栋)1221房</t>
  </si>
  <si>
    <t>天河区元京路4号(自编B-2栋)1222房</t>
  </si>
  <si>
    <t>天河区元京路4号(自编B-2栋)1223房</t>
  </si>
  <si>
    <t>天河区元京路4号(自编B-2栋)1224房</t>
  </si>
  <si>
    <t>天河区元京路4号(自编B-2栋)1225房</t>
  </si>
  <si>
    <t>天河区元京路4号(自编B-2栋)1226房</t>
  </si>
  <si>
    <t>天河区元京路4号(自编B-2栋)1227房</t>
  </si>
  <si>
    <t>天河区元京路4号(自编B-2栋)1228房</t>
  </si>
  <si>
    <t>天河区元京路4号(自编B-2栋)1229房</t>
  </si>
  <si>
    <t>天河区元京路4号(自编B-2栋)1230房</t>
  </si>
  <si>
    <t>天河区元京路4号(自编B-2栋)1231房</t>
  </si>
  <si>
    <t>天河区元京路4号(自编B-2栋)1232房</t>
  </si>
  <si>
    <t>天河区元京路4号(自编B-2栋)1233房</t>
  </si>
  <si>
    <t>天河区元京路4号(自编B-2栋)1234房</t>
  </si>
  <si>
    <t>天河区元京路4号(自编B-2栋)1301房</t>
  </si>
  <si>
    <t>天河区元京路4号(自编B-2栋)1302房</t>
  </si>
  <si>
    <t>天河区元京路4号(自编B-2栋)1303房</t>
  </si>
  <si>
    <t>天河区元京路4号(自编B-2栋)1304房</t>
  </si>
  <si>
    <t>天河区元京路4号(自编B-2栋)1305房</t>
  </si>
  <si>
    <t>天河区元京路4号(自编B-2栋)1306房</t>
  </si>
  <si>
    <t>天河区元京路4号(自编B-2栋)1307房</t>
  </si>
  <si>
    <t>天河区元京路4号(自编B-2栋)1308房</t>
  </si>
  <si>
    <t>天河区元京路4号(自编B-2栋)1309房</t>
  </si>
  <si>
    <t>天河区元京路4号(自编B-2栋)1310房</t>
  </si>
  <si>
    <t>天河区元京路4号(自编B-2栋)1311房</t>
  </si>
  <si>
    <t>天河区元京路4号(自编B-2栋)1312房</t>
  </si>
  <si>
    <t>天河区元京路4号(自编B-2栋)1313房</t>
  </si>
  <si>
    <t>天河区元京路4号(自编B-2栋)1314房</t>
  </si>
  <si>
    <t>天河区元京路4号(自编B-2栋)1315房</t>
  </si>
  <si>
    <t>天河区元京路4号(自编B-2栋)1316房</t>
  </si>
  <si>
    <t>天河区元京路4号(自编B-2栋)1317房</t>
  </si>
  <si>
    <t>天河区元京路4号(自编B-2栋)1318房</t>
  </si>
  <si>
    <t>天河区元京路4号(自编B-2栋)1319房</t>
  </si>
  <si>
    <t>天河区元京路4号(自编B-2栋)1320房</t>
  </si>
  <si>
    <t>天河区元京路4号(自编B-2栋)1321房</t>
  </si>
  <si>
    <t>天河区元京路4号(自编B-2栋)1322房</t>
  </si>
  <si>
    <t>天河区元京路4号(自编B-2栋)1323房</t>
  </si>
  <si>
    <t>天河区元京路4号(自编B-2栋)1324房</t>
  </si>
  <si>
    <t>天河区元京路4号(自编B-2栋)1325房</t>
  </si>
  <si>
    <t>天河区元京路4号(自编B-2栋)1326房</t>
  </si>
  <si>
    <t>天河区元京路4号(自编B-2栋)1327房</t>
  </si>
  <si>
    <t>天河区元京路4号(自编B-2栋)1328房</t>
  </si>
  <si>
    <t>天河区元京路4号(自编B-2栋)1329房</t>
  </si>
  <si>
    <t>天河区元京路4号(自编B-2栋)1330房</t>
  </si>
  <si>
    <t>天河区元京路4号(自编B-2栋)1331房</t>
  </si>
  <si>
    <t>天河区元京路4号(自编B-2栋)1332房</t>
  </si>
  <si>
    <t>天河区元京路4号(自编B-2栋)1333房</t>
  </si>
  <si>
    <t>天河区元京路4号(自编B-2栋)1334房</t>
  </si>
  <si>
    <t>天河区元京路4号(自编B-2栋)1401房</t>
  </si>
  <si>
    <t>天河区元京路4号(自编B-2栋)1402房</t>
  </si>
  <si>
    <t>天河区元京路4号(自编B-2栋)1403房</t>
  </si>
  <si>
    <t>天河区元京路4号(自编B-2栋)1404房</t>
  </si>
  <si>
    <t>天河区元京路4号(自编B-2栋)1405房</t>
  </si>
  <si>
    <t>天河区元京路4号(自编B-2栋)1406房</t>
  </si>
  <si>
    <t>天河区元京路4号(自编B-2栋)1407房</t>
  </si>
  <si>
    <t>天河区元京路4号(自编B-2栋)1408房</t>
  </si>
  <si>
    <t>天河区元京路4号(自编B-2栋)1409房</t>
  </si>
  <si>
    <t>天河区元京路4号(自编B-2栋)1410房</t>
  </si>
  <si>
    <t>天河区元京路4号(自编B-2栋)1411房</t>
  </si>
  <si>
    <t>天河区元京路4号(自编B-2栋)1412房</t>
  </si>
  <si>
    <t>天河区元京路4号(自编B-2栋)1413房</t>
  </si>
  <si>
    <t>天河区元京路4号(自编B-2栋)1414房</t>
  </si>
  <si>
    <t>天河区元京路4号(自编B-2栋)1415房</t>
  </si>
  <si>
    <t>天河区元京路4号(自编B-2栋)1416房</t>
  </si>
  <si>
    <t>天河区元京路4号(自编B-2栋)1417房</t>
  </si>
  <si>
    <t>天河区元京路4号(自编B-2栋)1418房</t>
  </si>
  <si>
    <t>天河区元京路4号(自编B-2栋)1419房</t>
  </si>
  <si>
    <t>天河区元京路4号(自编B-2栋)1420房</t>
  </si>
  <si>
    <t>天河区元京路4号(自编B-2栋)1421房</t>
  </si>
  <si>
    <t>天河区元京路4号(自编B-2栋)1422房</t>
  </si>
  <si>
    <t>天河区元京路4号(自编B-2栋)1423房</t>
  </si>
  <si>
    <t>天河区元京路4号(自编B-2栋)1424房</t>
  </si>
  <si>
    <t>天河区元京路4号(自编B-2栋)1425房</t>
  </si>
  <si>
    <t>天河区元京路4号(自编B-2栋)1426房</t>
  </si>
  <si>
    <t>天河区元京路4号(自编B-2栋)1427房</t>
  </si>
  <si>
    <t>天河区元京路4号(自编B-2栋)1428房</t>
  </si>
  <si>
    <t>天河区元京路4号(自编B-2栋)1429房</t>
  </si>
  <si>
    <t>天河区元京路4号(自编B-2栋)1430房</t>
  </si>
  <si>
    <t>天河区元京路4号(自编B-2栋)1431房</t>
  </si>
  <si>
    <t>天河区元京路4号(自编B-2栋)1432房</t>
  </si>
  <si>
    <t>天河区元京路4号(自编B-2栋)1433房</t>
  </si>
  <si>
    <t>天河区元京路4号(自编B-2栋)1434房</t>
  </si>
  <si>
    <t>天河区元京路4号(自编B-2栋)1501房</t>
  </si>
  <si>
    <t>天河区元京路4号(自编B-2栋)1502房</t>
  </si>
  <si>
    <t>天河区元京路4号(自编B-2栋)1503房</t>
  </si>
  <si>
    <t>天河区元京路4号(自编B-2栋)1504房</t>
  </si>
  <si>
    <t>天河区元京路4号(自编B-2栋)1505房</t>
  </si>
  <si>
    <t>天河区元京路4号(自编B-2栋)1506房</t>
  </si>
  <si>
    <t>天河区元京路4号(自编B-2栋)1507房</t>
  </si>
  <si>
    <t>天河区元京路4号(自编B-2栋)1508房</t>
  </si>
  <si>
    <t>天河区元京路4号(自编B-2栋)1509房</t>
  </si>
  <si>
    <t>天河区元京路4号(自编B-2栋)1510房</t>
  </si>
  <si>
    <t>天河区元京路4号(自编B-2栋)1511房</t>
  </si>
  <si>
    <t>天河区元京路4号(自编B-2栋)1512房</t>
  </si>
  <si>
    <t>天河区元京路4号(自编B-2栋)1513房</t>
  </si>
  <si>
    <t>天河区元京路4号(自编B-2栋)1514房</t>
  </si>
  <si>
    <t>天河区元京路4号(自编B-2栋)1515房</t>
  </si>
  <si>
    <t>天河区元京路4号(自编B-2栋)1516房</t>
  </si>
  <si>
    <t>天河区元京路4号(自编B-2栋)1517房</t>
  </si>
  <si>
    <t>天河区元京路4号(自编B-2栋)1518房</t>
  </si>
  <si>
    <t>天河区元京路4号(自编B-2栋)1519房</t>
  </si>
  <si>
    <t>天河区元京路4号(自编B-2栋)1520房</t>
  </si>
  <si>
    <t>天河区元京路4号(自编B-2栋)1521房</t>
  </si>
  <si>
    <t>天河区元京路4号(自编B-2栋)1522房</t>
  </si>
  <si>
    <t>天河区元京路4号(自编B-2栋)1523房</t>
  </si>
  <si>
    <t>天河区元京路4号(自编B-2栋)1524房</t>
  </si>
  <si>
    <t>天河区元京路4号(自编B-2栋)1525房</t>
  </si>
  <si>
    <t>天河区元京路4号(自编B-2栋)1526房</t>
  </si>
  <si>
    <t>天河区元京路4号(自编B-2栋)1527房</t>
  </si>
  <si>
    <t>天河区元京路4号(自编B-2栋)1528房</t>
  </si>
  <si>
    <t>天河区元京路4号(自编B-2栋)1529房</t>
  </si>
  <si>
    <t>天河区元京路4号(自编B-2栋)1530房</t>
  </si>
  <si>
    <t>天河区元京路4号(自编B-2栋)1531房</t>
  </si>
  <si>
    <t>天河区元京路4号(自编B-2栋)1532房</t>
  </si>
  <si>
    <t>天河区元京路4号(自编B-2栋)1533房</t>
  </si>
  <si>
    <t>天河区元京路4号(自编B-2栋)1534房</t>
  </si>
  <si>
    <t>天河区元京路8号(自编B-3栋)101房</t>
  </si>
  <si>
    <t>天河区元京路8号(自编B-3栋)102房</t>
  </si>
  <si>
    <t>天河区元京路8号(自编B-3栋)103房</t>
  </si>
  <si>
    <t>天河区元京路8号(自编B-3栋)104房</t>
  </si>
  <si>
    <t>天河区元京路8号(自编B-3栋)105房</t>
  </si>
  <si>
    <t>天河区元京路8号(自编B-3栋)106房</t>
  </si>
  <si>
    <t>天河区元京路8号(自编B-3栋)107房</t>
  </si>
  <si>
    <t>天河区元京路8号(自编B-3栋)108房</t>
  </si>
  <si>
    <t>天河区元京路8号(自编B-3栋)109房</t>
  </si>
  <si>
    <t>天河区元京路8号(自编B-3栋)110房</t>
  </si>
  <si>
    <t>天河区元京路8号(自编B-3栋)111房</t>
  </si>
  <si>
    <t>天河区元京路8号(自编B-3栋)112房</t>
  </si>
  <si>
    <t>天河区元京路8号(自编B-3栋)113房</t>
  </si>
  <si>
    <t>天河区元京路8号(自编B-3栋)114房</t>
  </si>
  <si>
    <t>天河区元京路8号(自编B-3栋)115房</t>
  </si>
  <si>
    <t>天河区元京路8号(自编B-3栋)116房</t>
  </si>
  <si>
    <t>天河区元京路8号(自编B-3栋)117房</t>
  </si>
  <si>
    <t>天河区元京路8号(自编B-3栋)118房</t>
  </si>
  <si>
    <t>天河区元京路8号(自编B-3栋)119房</t>
  </si>
  <si>
    <t>天河区元京路8号(自编B-3栋)120房</t>
  </si>
  <si>
    <t>天河区元京路8号(自编B-3栋)121房</t>
  </si>
  <si>
    <t>天河区元京路8号(自编B-3栋)122房</t>
  </si>
  <si>
    <t>天河区元京路8号(自编B-3栋)123房</t>
  </si>
  <si>
    <t>天河区元京路8号(自编B-3栋)124房</t>
  </si>
  <si>
    <t>天河区元京路8号(自编B-3栋)125房</t>
  </si>
  <si>
    <t>天河区元京路8号(自编B-3栋)126房</t>
  </si>
  <si>
    <t>天河区元京路8号(自编B-3栋)127房</t>
  </si>
  <si>
    <t>天河区元京路8号(自编B-3栋)128房</t>
  </si>
  <si>
    <t>天河区元京路8号(自编B-3栋)201房</t>
  </si>
  <si>
    <t>天河区元京路8号(自编B-3栋)202房</t>
  </si>
  <si>
    <t>天河区元京路8号(自编B-3栋)203房</t>
  </si>
  <si>
    <t>天河区元京路8号(自编B-3栋)204房</t>
  </si>
  <si>
    <t>天河区元京路8号(自编B-3栋)205房</t>
  </si>
  <si>
    <t>天河区元京路8号(自编B-3栋)206房</t>
  </si>
  <si>
    <t>天河区元京路8号(自编B-3栋)207房</t>
  </si>
  <si>
    <t>天河区元京路8号(自编B-3栋)208房</t>
  </si>
  <si>
    <t>天河区元京路8号(自编B-3栋)209房</t>
  </si>
  <si>
    <t>天河区元京路8号(自编B-3栋)210房</t>
  </si>
  <si>
    <t>天河区元京路8号(自编B-3栋)211房</t>
  </si>
  <si>
    <t>天河区元京路8号(自编B-3栋)212房</t>
  </si>
  <si>
    <t>天河区元京路8号(自编B-3栋)213房</t>
  </si>
  <si>
    <t>天河区元京路8号(自编B-3栋)214房</t>
  </si>
  <si>
    <t>天河区元京路8号(自编B-3栋)215房</t>
  </si>
  <si>
    <t>天河区元京路8号(自编B-3栋)216房</t>
  </si>
  <si>
    <t>天河区元京路8号(自编B-3栋)309房</t>
  </si>
  <si>
    <t>天河区元京路8号(自编B-3栋)310房</t>
  </si>
  <si>
    <t>天河区元京路8号(自编B-3栋)311房</t>
  </si>
  <si>
    <t>天河区元京路8号(自编B-3栋)312房</t>
  </si>
  <si>
    <t>天河区元京路8号(自编B-3栋)313房</t>
  </si>
  <si>
    <t>天河区元京路8号(自编B-3栋)314房</t>
  </si>
  <si>
    <t>天河区元京路8号(自编B-3栋)315房</t>
  </si>
  <si>
    <t>天河区元京路8号(自编B-3栋)316房</t>
  </si>
  <si>
    <t>天河区元京路8号(自编B-3栋)318房</t>
  </si>
  <si>
    <t>天河区元京路8号(自编B-3栋)319房</t>
  </si>
  <si>
    <t>天河区元京路8号(自编B-3栋)320房</t>
  </si>
  <si>
    <t>天河区元京路8号(自编B-3栋)326房</t>
  </si>
  <si>
    <t>天河区元京路8号(自编B-3栋)327房</t>
  </si>
  <si>
    <t>天河区元京路8号(自编B-3栋)429房</t>
  </si>
  <si>
    <t>天河区元京路8号(自编B-3栋)516房</t>
  </si>
  <si>
    <t>天河区元京路8号(自编B-3栋)517房</t>
  </si>
  <si>
    <t>天河区元京路8号(自编B-3栋)723房</t>
  </si>
  <si>
    <t>天河区元京路8号(自编B-3栋)811房</t>
  </si>
  <si>
    <t>天河区元京路8号(自编B-3栋)813房</t>
  </si>
  <si>
    <t>天河区元京路8号(自编B-3栋)814房</t>
  </si>
  <si>
    <t>天河区元京路8号(自编B-3栋)816房</t>
  </si>
  <si>
    <t>天河区元京路8号(自编B-3栋)817房</t>
  </si>
  <si>
    <t>天河区元京路8号(自编B-3栋)818房</t>
  </si>
  <si>
    <t>天河区元京路8号(自编B-3栋)819房</t>
  </si>
  <si>
    <t>天河区元京路8号(自编B-3栋)820房</t>
  </si>
  <si>
    <t>天河区元京路8号(自编B-3栋)823房</t>
  </si>
  <si>
    <t>天河区元京路8号(自编B-3栋)1101房</t>
  </si>
  <si>
    <t>天河区元京路8号(自编B-3栋)1102房</t>
  </si>
  <si>
    <t>天河区元京路8号(自编B-3栋)1103房</t>
  </si>
  <si>
    <t>天河区元京路8号(自编B-3栋)1104房</t>
  </si>
  <si>
    <t>天河区元京路8号(自编B-3栋)1105房</t>
  </si>
  <si>
    <t>天河区元京路8号(自编B-3栋)1106房</t>
  </si>
  <si>
    <t>天河区元京路8号(自编B-3栋)1107房</t>
  </si>
  <si>
    <t>天河区元京路8号(自编B-3栋)1108房</t>
  </si>
  <si>
    <t>天河区元京路8号(自编B-3栋)1109房</t>
  </si>
  <si>
    <t>天河区元京路8号(自编B-3栋)1110房</t>
  </si>
  <si>
    <t>天河区元京路8号(自编B-3栋)1111房</t>
  </si>
  <si>
    <t>天河区元京路8号(自编B-3栋)1112房</t>
  </si>
  <si>
    <t>天河区元京路8号(自编B-3栋)1113房</t>
  </si>
  <si>
    <t>天河区元京路8号(自编B-3栋)1114房</t>
  </si>
  <si>
    <t>天河区元京路8号(自编B-3栋)1115房</t>
  </si>
  <si>
    <t>天河区元京路8号(自编B-3栋)1116房</t>
  </si>
  <si>
    <t>天河区元京路8号(自编B-3栋)1118房</t>
  </si>
  <si>
    <t>天河区元京路8号(自编B-3栋)1119房</t>
  </si>
  <si>
    <t>天河区元京路8号(自编B-3栋)1120房</t>
  </si>
  <si>
    <t>天河区元京路8号(自编B-3栋)1121房</t>
  </si>
  <si>
    <t>天河区元京路8号(自编B-3栋)1122房</t>
  </si>
  <si>
    <t>天河区元京路8号(自编B-3栋)1123房</t>
  </si>
  <si>
    <t>天河区元京路8号(自编B-3栋)1124房</t>
  </si>
  <si>
    <t>天河区元京路8号(自编B-3栋)1125房</t>
  </si>
  <si>
    <t>天河区元京路8号(自编B-3栋)1126房</t>
  </si>
  <si>
    <t>天河区元京路8号(自编B-3栋)1127房</t>
  </si>
  <si>
    <t>天河区元京路8号(自编B-3栋)1128房</t>
  </si>
  <si>
    <t>天河区元京路8号(自编B-3栋)1129房</t>
  </si>
  <si>
    <t>天河区元京路8号(自编B-3栋)1201房</t>
  </si>
  <si>
    <t>天河区元京路8号(自编B-3栋)1202房</t>
  </si>
  <si>
    <t>天河区元京路8号(自编B-3栋)1203房</t>
  </si>
  <si>
    <t>天河区元京路8号(自编B-3栋)1204房</t>
  </si>
  <si>
    <t>天河区元京路8号(自编B-3栋)1205房</t>
  </si>
  <si>
    <t>天河区元京路8号(自编B-3栋)1206房</t>
  </si>
  <si>
    <t>天河区元京路8号(自编B-3栋)1207房</t>
  </si>
  <si>
    <t>天河区元京路8号(自编B-3栋)1208房</t>
  </si>
  <si>
    <t>天河区元京路8号(自编B-3栋)1209房</t>
  </si>
  <si>
    <t>天河区元京路8号(自编B-3栋)1210房</t>
  </si>
  <si>
    <t>天河区元京路8号(自编B-3栋)1211房</t>
  </si>
  <si>
    <t>天河区元京路8号(自编B-3栋)1212房</t>
  </si>
  <si>
    <t>天河区元京路8号(自编B-3栋)1213房</t>
  </si>
  <si>
    <t>天河区元京路8号(自编B-3栋)1214房</t>
  </si>
  <si>
    <t>天河区元京路8号(自编B-3栋)1215房</t>
  </si>
  <si>
    <t>天河区元京路8号(自编B-3栋)1216房</t>
  </si>
  <si>
    <t>天河区元京路8号(自编B-3栋)1217房</t>
  </si>
  <si>
    <t>天河区元京路8号(自编B-3栋)1218房</t>
  </si>
  <si>
    <t>天河区元京路8号(自编B-3栋)1219房</t>
  </si>
  <si>
    <t>天河区元京路8号(自编B-3栋)1220房</t>
  </si>
  <si>
    <t>天河区元京路8号(自编B-3栋)1221房</t>
  </si>
  <si>
    <t>天河区元京路8号(自编B-3栋)1222房</t>
  </si>
  <si>
    <t>天河区元京路8号(自编B-3栋)1223房</t>
  </si>
  <si>
    <t>天河区元京路8号(自编B-3栋)1224房</t>
  </si>
  <si>
    <t>天河区元京路8号(自编B-3栋)1225房</t>
  </si>
  <si>
    <t>天河区元京路8号(自编B-3栋)1226房</t>
  </si>
  <si>
    <t>天河区元京路8号(自编B-3栋)1227房</t>
  </si>
  <si>
    <t>天河区元京路8号(自编B-3栋)1228房</t>
  </si>
  <si>
    <t>天河区元京路8号(自编B-3栋)1229房</t>
  </si>
  <si>
    <t>天河区元京路8号(自编B-3栋)1301房</t>
  </si>
  <si>
    <t>天河区元京路8号(自编B-3栋)1302房</t>
  </si>
  <si>
    <t>天河区元京路8号(自编B-3栋)1303房</t>
  </si>
  <si>
    <t>天河区元京路8号(自编B-3栋)1304房</t>
  </si>
  <si>
    <t>天河区元京路8号(自编B-3栋)1305房</t>
  </si>
  <si>
    <t>天河区元京路8号(自编B-3栋)1306房</t>
  </si>
  <si>
    <t>天河区元京路8号(自编B-3栋)1307房</t>
  </si>
  <si>
    <t>天河区元京路8号(自编B-3栋)1308房</t>
  </si>
  <si>
    <t>天河区元京路8号(自编B-3栋)1309房</t>
  </si>
  <si>
    <t>天河区元京路8号(自编B-3栋)1310房</t>
  </si>
  <si>
    <t>天河区元京路8号(自编B-3栋)1311房</t>
  </si>
  <si>
    <t>天河区元京路8号(自编B-3栋)1312房</t>
  </si>
  <si>
    <t>天河区元京路8号(自编B-3栋)1313房</t>
  </si>
  <si>
    <t>天河区元京路8号(自编B-3栋)1314房</t>
  </si>
  <si>
    <t>天河区元京路8号(自编B-3栋)1315房</t>
  </si>
  <si>
    <t>天河区元京路8号(自编B-3栋)1316房</t>
  </si>
  <si>
    <t>天河区元京路8号(自编B-3栋)1317房</t>
  </si>
  <si>
    <t>天河区元京路8号(自编B-3栋)1318房</t>
  </si>
  <si>
    <t>天河区元京路8号(自编B-3栋)1319房</t>
  </si>
  <si>
    <t>天河区元京路8号(自编B-3栋)1320房</t>
  </si>
  <si>
    <t>天河区元京路8号(自编B-3栋)1321房</t>
  </si>
  <si>
    <t>天河区元京路8号(自编B-3栋)1322房</t>
  </si>
  <si>
    <t>天河区元京路8号(自编B-3栋)1323房</t>
  </si>
  <si>
    <t>天河区元京路8号(自编B-3栋)1324房</t>
  </si>
  <si>
    <t>天河区元京路8号(自编B-3栋)1325房</t>
  </si>
  <si>
    <t>天河区元京路8号(自编B-3栋)1326房</t>
  </si>
  <si>
    <t>天河区元京路8号(自编B-3栋)1327房</t>
  </si>
  <si>
    <t>天河区元京路8号(自编B-3栋)1328房</t>
  </si>
  <si>
    <t>天河区元京路8号(自编B-3栋)1329房</t>
  </si>
  <si>
    <t>天河区元京路8号(自编B-3栋)1401房</t>
  </si>
  <si>
    <t>天河区元京路8号(自编B-3栋)1402房</t>
  </si>
  <si>
    <t>天河区元京路8号(自编B-3栋)1403房</t>
  </si>
  <si>
    <t>天河区元京路8号(自编B-3栋)1404房</t>
  </si>
  <si>
    <t>天河区元京路8号(自编B-3栋)1405房</t>
  </si>
  <si>
    <t>天河区元京路8号(自编B-3栋)1406房</t>
  </si>
  <si>
    <t>天河区元京路8号(自编B-3栋)1407房</t>
  </si>
  <si>
    <t>天河区元京路8号(自编B-3栋)1408房</t>
  </si>
  <si>
    <t>天河区元京路8号(自编B-3栋)1409房</t>
  </si>
  <si>
    <t>天河区元京路8号(自编B-3栋)1412房</t>
  </si>
  <si>
    <t>天河区元京路8号(自编B-3栋)1413房</t>
  </si>
  <si>
    <t>天河区元京路8号(自编B-3栋)1414房</t>
  </si>
  <si>
    <t>天河区元京路8号(自编B-3栋)1416房</t>
  </si>
  <si>
    <t>天河区元京路8号(自编B-3栋)1417房</t>
  </si>
  <si>
    <t>天河区元京路8号(自编B-3栋)1418房</t>
  </si>
  <si>
    <t>天河区元京路8号(自编B-3栋)1419房</t>
  </si>
  <si>
    <t>天河区元京路8号(自编B-3栋)1420房</t>
  </si>
  <si>
    <t>天河区元京路8号(自编B-3栋)1421房</t>
  </si>
  <si>
    <t>天河区元京路8号(自编B-3栋)1422房</t>
  </si>
  <si>
    <t>天河区元京路8号(自编B-3栋)1423房</t>
  </si>
  <si>
    <t>天河区元京路8号(自编B-3栋)1424房</t>
  </si>
  <si>
    <t>天河区元京路8号(自编B-3栋)1425房</t>
  </si>
  <si>
    <t>天河区元京路8号(自编B-3栋)1426房</t>
  </si>
  <si>
    <t>天河区元京路8号(自编B-3栋)1427房</t>
  </si>
  <si>
    <t>天河区元京路8号(自编B-3栋)1428房</t>
  </si>
  <si>
    <t>天河区元京路8号(自编B-3栋)1429房</t>
  </si>
  <si>
    <t>天河区元京路8号(自编B-3栋)1502房</t>
  </si>
  <si>
    <t>天河区元京路8号(自编B-3栋)1503房</t>
  </si>
  <si>
    <t>天河区元京路8号(自编B-3栋)1504房</t>
  </si>
  <si>
    <t>天河区元京路8号(自编B-3栋)1505房</t>
  </si>
  <si>
    <t>天河区元京路8号(自编B-3栋)1506房</t>
  </si>
  <si>
    <t>天河区元京路8号(自编B-3栋)1507房</t>
  </si>
  <si>
    <t>天河区元京路8号(自编B-3栋)1508房</t>
  </si>
  <si>
    <t>天河区元京路8号(自编B-3栋)1511房</t>
  </si>
  <si>
    <t>天河区元京路8号(自编B-3栋)1513房</t>
  </si>
  <si>
    <t>天河区元京路8号(自编B-3栋)1514房</t>
  </si>
  <si>
    <t>天河区元京路8号(自编B-3栋)1516房</t>
  </si>
  <si>
    <t>天河区元京路8号(自编B-3栋)1517房</t>
  </si>
  <si>
    <t>天河区元京路8号(自编B-3栋)1518房</t>
  </si>
  <si>
    <t>天河区元京路8号(自编B-3栋)1519房</t>
  </si>
  <si>
    <t>天河区元京路8号(自编B-3栋)1520房</t>
  </si>
  <si>
    <t>天河区元京路8号(自编B-3栋)1521房</t>
  </si>
  <si>
    <t>天河区元京路8号(自编B-3栋)1522房</t>
  </si>
  <si>
    <t>天河区元京路8号(自编B-3栋)1525房</t>
  </si>
  <si>
    <t>天河区元京路8号(自编B-3栋)1526房</t>
  </si>
  <si>
    <t>天河区元京路8号(自编B-3栋)1527房</t>
  </si>
  <si>
    <t>天河区元京路8号(自编B-3栋)1528房</t>
  </si>
  <si>
    <t>天河区元京路8号(自编B-3栋)1529房</t>
  </si>
  <si>
    <t>合计</t>
    <phoneticPr fontId="144" type="noConversion"/>
  </si>
  <si>
    <t>合计：</t>
    <phoneticPr fontId="144" type="noConversion"/>
  </si>
  <si>
    <t>总计：</t>
    <phoneticPr fontId="144" type="noConversion"/>
  </si>
  <si>
    <t>总计</t>
    <phoneticPr fontId="144" type="noConversion"/>
  </si>
  <si>
    <t>1-2层商业（房号）</t>
    <phoneticPr fontId="144" type="noConversion"/>
  </si>
  <si>
    <t>309房</t>
    <phoneticPr fontId="144" type="noConversion"/>
  </si>
  <si>
    <t>310房</t>
    <phoneticPr fontId="144" type="noConversion"/>
  </si>
  <si>
    <t>311房</t>
    <phoneticPr fontId="144" type="noConversion"/>
  </si>
  <si>
    <t>312房</t>
    <phoneticPr fontId="144" type="noConversion"/>
  </si>
  <si>
    <t>313房</t>
    <phoneticPr fontId="144" type="noConversion"/>
  </si>
  <si>
    <t>314房</t>
    <phoneticPr fontId="144" type="noConversion"/>
  </si>
  <si>
    <t>315房</t>
    <phoneticPr fontId="144" type="noConversion"/>
  </si>
  <si>
    <t>316房</t>
    <phoneticPr fontId="144" type="noConversion"/>
  </si>
  <si>
    <t>318房</t>
    <phoneticPr fontId="144" type="noConversion"/>
  </si>
  <si>
    <t>319房</t>
    <phoneticPr fontId="144" type="noConversion"/>
  </si>
  <si>
    <t>320房</t>
    <phoneticPr fontId="144" type="noConversion"/>
  </si>
  <si>
    <t>326房</t>
    <phoneticPr fontId="144" type="noConversion"/>
  </si>
  <si>
    <t>327房</t>
    <phoneticPr fontId="144" type="noConversion"/>
  </si>
  <si>
    <t>429房</t>
    <phoneticPr fontId="144" type="noConversion"/>
  </si>
  <si>
    <t>516房</t>
    <phoneticPr fontId="144" type="noConversion"/>
  </si>
  <si>
    <t>517房</t>
    <phoneticPr fontId="144" type="noConversion"/>
  </si>
  <si>
    <t>1101房</t>
    <phoneticPr fontId="144" type="noConversion"/>
  </si>
  <si>
    <t>1102房</t>
    <phoneticPr fontId="144" type="noConversion"/>
  </si>
  <si>
    <t>1103房</t>
    <phoneticPr fontId="144" type="noConversion"/>
  </si>
  <si>
    <t>1104房</t>
    <phoneticPr fontId="144" type="noConversion"/>
  </si>
  <si>
    <t>1105房</t>
    <phoneticPr fontId="144" type="noConversion"/>
  </si>
  <si>
    <t>1106房</t>
    <phoneticPr fontId="144" type="noConversion"/>
  </si>
  <si>
    <t>1107房</t>
    <phoneticPr fontId="144" type="noConversion"/>
  </si>
  <si>
    <t>1108房</t>
    <phoneticPr fontId="144" type="noConversion"/>
  </si>
  <si>
    <t>1109房</t>
    <phoneticPr fontId="144" type="noConversion"/>
  </si>
  <si>
    <t>1110房</t>
    <phoneticPr fontId="144" type="noConversion"/>
  </si>
  <si>
    <t>1111房</t>
    <phoneticPr fontId="144" type="noConversion"/>
  </si>
  <si>
    <t>1112房</t>
    <phoneticPr fontId="144" type="noConversion"/>
  </si>
  <si>
    <t>1113房</t>
    <phoneticPr fontId="144" type="noConversion"/>
  </si>
  <si>
    <t>1114房</t>
    <phoneticPr fontId="144" type="noConversion"/>
  </si>
  <si>
    <t>1115房</t>
    <phoneticPr fontId="144" type="noConversion"/>
  </si>
  <si>
    <t>1116房</t>
    <phoneticPr fontId="144" type="noConversion"/>
  </si>
  <si>
    <t>1118房</t>
    <phoneticPr fontId="144" type="noConversion"/>
  </si>
  <si>
    <t>1119房</t>
    <phoneticPr fontId="144" type="noConversion"/>
  </si>
  <si>
    <t>1120房</t>
  </si>
  <si>
    <t>1121房</t>
  </si>
  <si>
    <t>1122房</t>
  </si>
  <si>
    <t>1123房</t>
  </si>
  <si>
    <t>1124房</t>
  </si>
  <si>
    <t>1125房</t>
  </si>
  <si>
    <t>1126房</t>
  </si>
  <si>
    <t>1127房</t>
  </si>
  <si>
    <t>1128房</t>
  </si>
  <si>
    <t>1129房</t>
  </si>
  <si>
    <t>101房</t>
    <phoneticPr fontId="144" type="noConversion"/>
  </si>
  <si>
    <t>102房</t>
    <phoneticPr fontId="144" type="noConversion"/>
  </si>
  <si>
    <t>103房</t>
  </si>
  <si>
    <t>104房</t>
  </si>
  <si>
    <t>105房</t>
  </si>
  <si>
    <t>106房</t>
  </si>
  <si>
    <t>107房</t>
  </si>
  <si>
    <t>108房</t>
  </si>
  <si>
    <t>109房</t>
  </si>
  <si>
    <t>110房</t>
  </si>
  <si>
    <t>111房</t>
  </si>
  <si>
    <t>112房</t>
  </si>
  <si>
    <t>113房</t>
  </si>
  <si>
    <t>114房</t>
  </si>
  <si>
    <t>115房</t>
  </si>
  <si>
    <t>116房</t>
  </si>
  <si>
    <t>117房</t>
  </si>
  <si>
    <t>118房</t>
  </si>
  <si>
    <t>119房</t>
  </si>
  <si>
    <t>120房</t>
  </si>
  <si>
    <t>121房</t>
  </si>
  <si>
    <t>122房</t>
  </si>
  <si>
    <t>123房</t>
  </si>
  <si>
    <t>124房</t>
  </si>
  <si>
    <t>125房</t>
  </si>
  <si>
    <t>126房</t>
  </si>
  <si>
    <t>127房</t>
  </si>
  <si>
    <t>128房</t>
  </si>
  <si>
    <t>201房</t>
    <phoneticPr fontId="144" type="noConversion"/>
  </si>
  <si>
    <t>202房</t>
    <phoneticPr fontId="144" type="noConversion"/>
  </si>
  <si>
    <t>203房</t>
  </si>
  <si>
    <t>204房</t>
  </si>
  <si>
    <t>205房</t>
  </si>
  <si>
    <t>206房</t>
  </si>
  <si>
    <t>207房</t>
  </si>
  <si>
    <t>208房</t>
  </si>
  <si>
    <t>209房</t>
  </si>
  <si>
    <t>210房</t>
  </si>
  <si>
    <t>211房</t>
  </si>
  <si>
    <t>212房</t>
  </si>
  <si>
    <t>213房</t>
  </si>
  <si>
    <t>214房</t>
  </si>
  <si>
    <t>215房</t>
  </si>
  <si>
    <t>216房</t>
  </si>
  <si>
    <t>201房</t>
    <phoneticPr fontId="144" type="noConversion"/>
  </si>
  <si>
    <t>202房</t>
    <phoneticPr fontId="144" type="noConversion"/>
  </si>
  <si>
    <r>
      <t>301</t>
    </r>
    <r>
      <rPr>
        <sz val="10"/>
        <rFont val="宋体"/>
        <family val="3"/>
        <charset val="134"/>
      </rPr>
      <t>房</t>
    </r>
    <phoneticPr fontId="144" type="noConversion"/>
  </si>
  <si>
    <r>
      <t>302</t>
    </r>
    <r>
      <rPr>
        <sz val="10"/>
        <rFont val="宋体"/>
        <family val="3"/>
        <charset val="134"/>
      </rPr>
      <t>房</t>
    </r>
    <phoneticPr fontId="144" type="noConversion"/>
  </si>
  <si>
    <r>
      <t>303房</t>
    </r>
    <r>
      <rPr>
        <sz val="10"/>
        <rFont val="宋体"/>
        <family val="3"/>
        <charset val="134"/>
      </rPr>
      <t/>
    </r>
  </si>
  <si>
    <r>
      <t>304房</t>
    </r>
    <r>
      <rPr>
        <sz val="10"/>
        <rFont val="宋体"/>
        <family val="3"/>
        <charset val="134"/>
      </rPr>
      <t/>
    </r>
  </si>
  <si>
    <r>
      <t>305房</t>
    </r>
    <r>
      <rPr>
        <sz val="10"/>
        <rFont val="宋体"/>
        <family val="3"/>
        <charset val="134"/>
      </rPr>
      <t/>
    </r>
  </si>
  <si>
    <r>
      <t>306房</t>
    </r>
    <r>
      <rPr>
        <sz val="10"/>
        <rFont val="宋体"/>
        <family val="3"/>
        <charset val="134"/>
      </rPr>
      <t/>
    </r>
  </si>
  <si>
    <r>
      <t>307房</t>
    </r>
    <r>
      <rPr>
        <sz val="10"/>
        <rFont val="宋体"/>
        <family val="3"/>
        <charset val="134"/>
      </rPr>
      <t/>
    </r>
  </si>
  <si>
    <r>
      <t>308房</t>
    </r>
    <r>
      <rPr>
        <sz val="10"/>
        <rFont val="宋体"/>
        <family val="3"/>
        <charset val="134"/>
      </rPr>
      <t/>
    </r>
  </si>
  <si>
    <r>
      <t>309房</t>
    </r>
    <r>
      <rPr>
        <sz val="10"/>
        <rFont val="宋体"/>
        <family val="3"/>
        <charset val="134"/>
      </rPr>
      <t/>
    </r>
  </si>
  <si>
    <r>
      <t>310房</t>
    </r>
    <r>
      <rPr>
        <sz val="10"/>
        <rFont val="宋体"/>
        <family val="3"/>
        <charset val="134"/>
      </rPr>
      <t/>
    </r>
  </si>
  <si>
    <r>
      <t>311房</t>
    </r>
    <r>
      <rPr>
        <sz val="10"/>
        <rFont val="宋体"/>
        <family val="3"/>
        <charset val="134"/>
      </rPr>
      <t/>
    </r>
  </si>
  <si>
    <r>
      <t>312房</t>
    </r>
    <r>
      <rPr>
        <sz val="10"/>
        <rFont val="宋体"/>
        <family val="3"/>
        <charset val="134"/>
      </rPr>
      <t/>
    </r>
  </si>
  <si>
    <r>
      <t>313房</t>
    </r>
    <r>
      <rPr>
        <sz val="10"/>
        <rFont val="宋体"/>
        <family val="3"/>
        <charset val="134"/>
      </rPr>
      <t/>
    </r>
  </si>
  <si>
    <r>
      <t>314房</t>
    </r>
    <r>
      <rPr>
        <sz val="10"/>
        <rFont val="宋体"/>
        <family val="3"/>
        <charset val="134"/>
      </rPr>
      <t/>
    </r>
  </si>
  <si>
    <r>
      <t>315房</t>
    </r>
    <r>
      <rPr>
        <sz val="10"/>
        <rFont val="宋体"/>
        <family val="3"/>
        <charset val="134"/>
      </rPr>
      <t/>
    </r>
  </si>
  <si>
    <r>
      <t>316房</t>
    </r>
    <r>
      <rPr>
        <sz val="10"/>
        <rFont val="宋体"/>
        <family val="3"/>
        <charset val="134"/>
      </rPr>
      <t/>
    </r>
  </si>
  <si>
    <r>
      <t>317房</t>
    </r>
    <r>
      <rPr>
        <sz val="10"/>
        <rFont val="宋体"/>
        <family val="3"/>
        <charset val="134"/>
      </rPr>
      <t/>
    </r>
  </si>
  <si>
    <r>
      <t>318房</t>
    </r>
    <r>
      <rPr>
        <sz val="10"/>
        <rFont val="宋体"/>
        <family val="3"/>
        <charset val="134"/>
      </rPr>
      <t/>
    </r>
  </si>
  <si>
    <r>
      <t>319房</t>
    </r>
    <r>
      <rPr>
        <sz val="10"/>
        <rFont val="宋体"/>
        <family val="3"/>
        <charset val="134"/>
      </rPr>
      <t/>
    </r>
  </si>
  <si>
    <r>
      <t>320房</t>
    </r>
    <r>
      <rPr>
        <sz val="10"/>
        <rFont val="宋体"/>
        <family val="3"/>
        <charset val="134"/>
      </rPr>
      <t/>
    </r>
  </si>
  <si>
    <r>
      <t>321房</t>
    </r>
    <r>
      <rPr>
        <sz val="10"/>
        <rFont val="宋体"/>
        <family val="3"/>
        <charset val="134"/>
      </rPr>
      <t/>
    </r>
  </si>
  <si>
    <r>
      <t>322房</t>
    </r>
    <r>
      <rPr>
        <sz val="10"/>
        <rFont val="宋体"/>
        <family val="3"/>
        <charset val="134"/>
      </rPr>
      <t/>
    </r>
  </si>
  <si>
    <r>
      <t>323房</t>
    </r>
    <r>
      <rPr>
        <sz val="10"/>
        <rFont val="宋体"/>
        <family val="3"/>
        <charset val="134"/>
      </rPr>
      <t/>
    </r>
  </si>
  <si>
    <r>
      <t>324房</t>
    </r>
    <r>
      <rPr>
        <sz val="10"/>
        <rFont val="宋体"/>
        <family val="3"/>
        <charset val="134"/>
      </rPr>
      <t/>
    </r>
  </si>
  <si>
    <r>
      <t>325房</t>
    </r>
    <r>
      <rPr>
        <sz val="10"/>
        <rFont val="宋体"/>
        <family val="3"/>
        <charset val="134"/>
      </rPr>
      <t/>
    </r>
  </si>
  <si>
    <r>
      <t>326房</t>
    </r>
    <r>
      <rPr>
        <sz val="10"/>
        <rFont val="宋体"/>
        <family val="3"/>
        <charset val="134"/>
      </rPr>
      <t/>
    </r>
  </si>
  <si>
    <r>
      <t>327房</t>
    </r>
    <r>
      <rPr>
        <sz val="10"/>
        <rFont val="宋体"/>
        <family val="3"/>
        <charset val="134"/>
      </rPr>
      <t/>
    </r>
  </si>
  <si>
    <r>
      <t>328房</t>
    </r>
    <r>
      <rPr>
        <sz val="10"/>
        <rFont val="宋体"/>
        <family val="3"/>
        <charset val="134"/>
      </rPr>
      <t/>
    </r>
  </si>
  <si>
    <r>
      <t>329房</t>
    </r>
    <r>
      <rPr>
        <sz val="10"/>
        <rFont val="宋体"/>
        <family val="3"/>
        <charset val="134"/>
      </rPr>
      <t/>
    </r>
  </si>
  <si>
    <r>
      <t>330房</t>
    </r>
    <r>
      <rPr>
        <sz val="10"/>
        <rFont val="宋体"/>
        <family val="3"/>
        <charset val="134"/>
      </rPr>
      <t/>
    </r>
  </si>
  <si>
    <r>
      <t>331房</t>
    </r>
    <r>
      <rPr>
        <sz val="10"/>
        <rFont val="宋体"/>
        <family val="3"/>
        <charset val="134"/>
      </rPr>
      <t/>
    </r>
  </si>
  <si>
    <r>
      <t>332房</t>
    </r>
    <r>
      <rPr>
        <sz val="10"/>
        <rFont val="宋体"/>
        <family val="3"/>
        <charset val="134"/>
      </rPr>
      <t/>
    </r>
  </si>
  <si>
    <r>
      <t>333房</t>
    </r>
    <r>
      <rPr>
        <sz val="10"/>
        <rFont val="宋体"/>
        <family val="3"/>
        <charset val="134"/>
      </rPr>
      <t/>
    </r>
  </si>
  <si>
    <r>
      <t>334房</t>
    </r>
    <r>
      <rPr>
        <sz val="10"/>
        <rFont val="宋体"/>
        <family val="3"/>
        <charset val="134"/>
      </rPr>
      <t/>
    </r>
  </si>
  <si>
    <r>
      <t>335房</t>
    </r>
    <r>
      <rPr>
        <sz val="10"/>
        <rFont val="宋体"/>
        <family val="3"/>
        <charset val="134"/>
      </rPr>
      <t/>
    </r>
  </si>
  <si>
    <r>
      <t>336房</t>
    </r>
    <r>
      <rPr>
        <sz val="10"/>
        <rFont val="宋体"/>
        <family val="3"/>
        <charset val="134"/>
      </rPr>
      <t/>
    </r>
  </si>
  <si>
    <r>
      <t>337房</t>
    </r>
    <r>
      <rPr>
        <sz val="10"/>
        <rFont val="宋体"/>
        <family val="3"/>
        <charset val="134"/>
      </rPr>
      <t/>
    </r>
  </si>
  <si>
    <r>
      <t>338房</t>
    </r>
    <r>
      <rPr>
        <sz val="10"/>
        <rFont val="宋体"/>
        <family val="3"/>
        <charset val="134"/>
      </rPr>
      <t/>
    </r>
  </si>
  <si>
    <r>
      <t>401</t>
    </r>
    <r>
      <rPr>
        <sz val="10"/>
        <rFont val="宋体"/>
        <family val="3"/>
        <charset val="134"/>
      </rPr>
      <t>房</t>
    </r>
    <phoneticPr fontId="144" type="noConversion"/>
  </si>
  <si>
    <r>
      <t>402</t>
    </r>
    <r>
      <rPr>
        <sz val="10"/>
        <rFont val="宋体"/>
        <family val="3"/>
        <charset val="134"/>
      </rPr>
      <t>房</t>
    </r>
    <phoneticPr fontId="144" type="noConversion"/>
  </si>
  <si>
    <r>
      <t>403房</t>
    </r>
    <r>
      <rPr>
        <sz val="10"/>
        <rFont val="宋体"/>
        <family val="3"/>
        <charset val="134"/>
      </rPr>
      <t/>
    </r>
  </si>
  <si>
    <r>
      <t>404房</t>
    </r>
    <r>
      <rPr>
        <sz val="10"/>
        <rFont val="宋体"/>
        <family val="3"/>
        <charset val="134"/>
      </rPr>
      <t/>
    </r>
  </si>
  <si>
    <r>
      <t>405房</t>
    </r>
    <r>
      <rPr>
        <sz val="10"/>
        <rFont val="宋体"/>
        <family val="3"/>
        <charset val="134"/>
      </rPr>
      <t/>
    </r>
  </si>
  <si>
    <r>
      <t>406房</t>
    </r>
    <r>
      <rPr>
        <sz val="10"/>
        <rFont val="宋体"/>
        <family val="3"/>
        <charset val="134"/>
      </rPr>
      <t/>
    </r>
  </si>
  <si>
    <r>
      <t>407房</t>
    </r>
    <r>
      <rPr>
        <sz val="10"/>
        <rFont val="宋体"/>
        <family val="3"/>
        <charset val="134"/>
      </rPr>
      <t/>
    </r>
  </si>
  <si>
    <r>
      <t>408房</t>
    </r>
    <r>
      <rPr>
        <sz val="10"/>
        <rFont val="宋体"/>
        <family val="3"/>
        <charset val="134"/>
      </rPr>
      <t/>
    </r>
  </si>
  <si>
    <r>
      <t>409房</t>
    </r>
    <r>
      <rPr>
        <sz val="10"/>
        <rFont val="宋体"/>
        <family val="3"/>
        <charset val="134"/>
      </rPr>
      <t/>
    </r>
  </si>
  <si>
    <r>
      <t>410房</t>
    </r>
    <r>
      <rPr>
        <sz val="10"/>
        <rFont val="宋体"/>
        <family val="3"/>
        <charset val="134"/>
      </rPr>
      <t/>
    </r>
  </si>
  <si>
    <r>
      <t>411房</t>
    </r>
    <r>
      <rPr>
        <sz val="10"/>
        <rFont val="宋体"/>
        <family val="3"/>
        <charset val="134"/>
      </rPr>
      <t/>
    </r>
  </si>
  <si>
    <r>
      <t>412房</t>
    </r>
    <r>
      <rPr>
        <sz val="10"/>
        <rFont val="宋体"/>
        <family val="3"/>
        <charset val="134"/>
      </rPr>
      <t/>
    </r>
  </si>
  <si>
    <r>
      <t>413房</t>
    </r>
    <r>
      <rPr>
        <sz val="10"/>
        <rFont val="宋体"/>
        <family val="3"/>
        <charset val="134"/>
      </rPr>
      <t/>
    </r>
  </si>
  <si>
    <r>
      <t>414房</t>
    </r>
    <r>
      <rPr>
        <sz val="10"/>
        <rFont val="宋体"/>
        <family val="3"/>
        <charset val="134"/>
      </rPr>
      <t/>
    </r>
  </si>
  <si>
    <r>
      <t>415房</t>
    </r>
    <r>
      <rPr>
        <sz val="10"/>
        <rFont val="宋体"/>
        <family val="3"/>
        <charset val="134"/>
      </rPr>
      <t/>
    </r>
  </si>
  <si>
    <r>
      <t>416房</t>
    </r>
    <r>
      <rPr>
        <sz val="10"/>
        <rFont val="宋体"/>
        <family val="3"/>
        <charset val="134"/>
      </rPr>
      <t/>
    </r>
  </si>
  <si>
    <r>
      <t>417房</t>
    </r>
    <r>
      <rPr>
        <sz val="10"/>
        <rFont val="宋体"/>
        <family val="3"/>
        <charset val="134"/>
      </rPr>
      <t/>
    </r>
  </si>
  <si>
    <r>
      <t>418房</t>
    </r>
    <r>
      <rPr>
        <sz val="10"/>
        <rFont val="宋体"/>
        <family val="3"/>
        <charset val="134"/>
      </rPr>
      <t/>
    </r>
  </si>
  <si>
    <r>
      <t>419房</t>
    </r>
    <r>
      <rPr>
        <sz val="10"/>
        <rFont val="宋体"/>
        <family val="3"/>
        <charset val="134"/>
      </rPr>
      <t/>
    </r>
  </si>
  <si>
    <r>
      <t>420房</t>
    </r>
    <r>
      <rPr>
        <sz val="10"/>
        <rFont val="宋体"/>
        <family val="3"/>
        <charset val="134"/>
      </rPr>
      <t/>
    </r>
  </si>
  <si>
    <r>
      <t>421房</t>
    </r>
    <r>
      <rPr>
        <sz val="10"/>
        <rFont val="宋体"/>
        <family val="3"/>
        <charset val="134"/>
      </rPr>
      <t/>
    </r>
  </si>
  <si>
    <r>
      <t>422房</t>
    </r>
    <r>
      <rPr>
        <sz val="10"/>
        <rFont val="宋体"/>
        <family val="3"/>
        <charset val="134"/>
      </rPr>
      <t/>
    </r>
  </si>
  <si>
    <r>
      <t>423房</t>
    </r>
    <r>
      <rPr>
        <sz val="10"/>
        <rFont val="宋体"/>
        <family val="3"/>
        <charset val="134"/>
      </rPr>
      <t/>
    </r>
  </si>
  <si>
    <r>
      <t>424房</t>
    </r>
    <r>
      <rPr>
        <sz val="10"/>
        <rFont val="宋体"/>
        <family val="3"/>
        <charset val="134"/>
      </rPr>
      <t/>
    </r>
  </si>
  <si>
    <r>
      <t>425房</t>
    </r>
    <r>
      <rPr>
        <sz val="10"/>
        <rFont val="宋体"/>
        <family val="3"/>
        <charset val="134"/>
      </rPr>
      <t/>
    </r>
  </si>
  <si>
    <r>
      <t>426房</t>
    </r>
    <r>
      <rPr>
        <sz val="10"/>
        <rFont val="宋体"/>
        <family val="3"/>
        <charset val="134"/>
      </rPr>
      <t/>
    </r>
  </si>
  <si>
    <r>
      <t>427房</t>
    </r>
    <r>
      <rPr>
        <sz val="10"/>
        <rFont val="宋体"/>
        <family val="3"/>
        <charset val="134"/>
      </rPr>
      <t/>
    </r>
  </si>
  <si>
    <r>
      <t>428房</t>
    </r>
    <r>
      <rPr>
        <sz val="10"/>
        <rFont val="宋体"/>
        <family val="3"/>
        <charset val="134"/>
      </rPr>
      <t/>
    </r>
  </si>
  <si>
    <r>
      <t>429房</t>
    </r>
    <r>
      <rPr>
        <sz val="10"/>
        <rFont val="宋体"/>
        <family val="3"/>
        <charset val="134"/>
      </rPr>
      <t/>
    </r>
  </si>
  <si>
    <r>
      <t>430房</t>
    </r>
    <r>
      <rPr>
        <sz val="10"/>
        <rFont val="宋体"/>
        <family val="3"/>
        <charset val="134"/>
      </rPr>
      <t/>
    </r>
  </si>
  <si>
    <r>
      <t>431房</t>
    </r>
    <r>
      <rPr>
        <sz val="10"/>
        <rFont val="宋体"/>
        <family val="3"/>
        <charset val="134"/>
      </rPr>
      <t/>
    </r>
  </si>
  <si>
    <r>
      <t>432房</t>
    </r>
    <r>
      <rPr>
        <sz val="10"/>
        <rFont val="宋体"/>
        <family val="3"/>
        <charset val="134"/>
      </rPr>
      <t/>
    </r>
  </si>
  <si>
    <r>
      <t>433房</t>
    </r>
    <r>
      <rPr>
        <sz val="10"/>
        <rFont val="宋体"/>
        <family val="3"/>
        <charset val="134"/>
      </rPr>
      <t/>
    </r>
  </si>
  <si>
    <r>
      <t>434房</t>
    </r>
    <r>
      <rPr>
        <sz val="10"/>
        <rFont val="宋体"/>
        <family val="3"/>
        <charset val="134"/>
      </rPr>
      <t/>
    </r>
  </si>
  <si>
    <r>
      <t>435房</t>
    </r>
    <r>
      <rPr>
        <sz val="10"/>
        <rFont val="宋体"/>
        <family val="3"/>
        <charset val="134"/>
      </rPr>
      <t/>
    </r>
  </si>
  <si>
    <r>
      <t>436房</t>
    </r>
    <r>
      <rPr>
        <sz val="10"/>
        <rFont val="宋体"/>
        <family val="3"/>
        <charset val="134"/>
      </rPr>
      <t/>
    </r>
  </si>
  <si>
    <r>
      <t>437房</t>
    </r>
    <r>
      <rPr>
        <sz val="10"/>
        <rFont val="宋体"/>
        <family val="3"/>
        <charset val="134"/>
      </rPr>
      <t/>
    </r>
  </si>
  <si>
    <r>
      <t>438房</t>
    </r>
    <r>
      <rPr>
        <sz val="10"/>
        <rFont val="宋体"/>
        <family val="3"/>
        <charset val="134"/>
      </rPr>
      <t/>
    </r>
  </si>
  <si>
    <r>
      <t>439房</t>
    </r>
    <r>
      <rPr>
        <sz val="10"/>
        <rFont val="宋体"/>
        <family val="3"/>
        <charset val="134"/>
      </rPr>
      <t/>
    </r>
  </si>
  <si>
    <r>
      <t>501</t>
    </r>
    <r>
      <rPr>
        <sz val="10"/>
        <rFont val="宋体"/>
        <family val="3"/>
        <charset val="134"/>
      </rPr>
      <t>房</t>
    </r>
    <phoneticPr fontId="144" type="noConversion"/>
  </si>
  <si>
    <r>
      <t>502</t>
    </r>
    <r>
      <rPr>
        <sz val="10"/>
        <rFont val="宋体"/>
        <family val="3"/>
        <charset val="134"/>
      </rPr>
      <t>房</t>
    </r>
    <phoneticPr fontId="144" type="noConversion"/>
  </si>
  <si>
    <r>
      <t>503房</t>
    </r>
    <r>
      <rPr>
        <sz val="10"/>
        <rFont val="宋体"/>
        <family val="3"/>
        <charset val="134"/>
      </rPr>
      <t/>
    </r>
  </si>
  <si>
    <r>
      <t>504房</t>
    </r>
    <r>
      <rPr>
        <sz val="10"/>
        <rFont val="宋体"/>
        <family val="3"/>
        <charset val="134"/>
      </rPr>
      <t/>
    </r>
  </si>
  <si>
    <r>
      <t>505房</t>
    </r>
    <r>
      <rPr>
        <sz val="10"/>
        <rFont val="宋体"/>
        <family val="3"/>
        <charset val="134"/>
      </rPr>
      <t/>
    </r>
  </si>
  <si>
    <r>
      <t>506房</t>
    </r>
    <r>
      <rPr>
        <sz val="10"/>
        <rFont val="宋体"/>
        <family val="3"/>
        <charset val="134"/>
      </rPr>
      <t/>
    </r>
  </si>
  <si>
    <r>
      <t>507房</t>
    </r>
    <r>
      <rPr>
        <sz val="10"/>
        <rFont val="宋体"/>
        <family val="3"/>
        <charset val="134"/>
      </rPr>
      <t/>
    </r>
  </si>
  <si>
    <r>
      <t>508房</t>
    </r>
    <r>
      <rPr>
        <sz val="10"/>
        <rFont val="宋体"/>
        <family val="3"/>
        <charset val="134"/>
      </rPr>
      <t/>
    </r>
  </si>
  <si>
    <r>
      <t>509房</t>
    </r>
    <r>
      <rPr>
        <sz val="10"/>
        <rFont val="宋体"/>
        <family val="3"/>
        <charset val="134"/>
      </rPr>
      <t/>
    </r>
  </si>
  <si>
    <r>
      <t>510房</t>
    </r>
    <r>
      <rPr>
        <sz val="10"/>
        <rFont val="宋体"/>
        <family val="3"/>
        <charset val="134"/>
      </rPr>
      <t/>
    </r>
  </si>
  <si>
    <r>
      <t>511房</t>
    </r>
    <r>
      <rPr>
        <sz val="10"/>
        <rFont val="宋体"/>
        <family val="3"/>
        <charset val="134"/>
      </rPr>
      <t/>
    </r>
  </si>
  <si>
    <r>
      <t>512房</t>
    </r>
    <r>
      <rPr>
        <sz val="10"/>
        <rFont val="宋体"/>
        <family val="3"/>
        <charset val="134"/>
      </rPr>
      <t/>
    </r>
  </si>
  <si>
    <r>
      <t>513房</t>
    </r>
    <r>
      <rPr>
        <sz val="10"/>
        <rFont val="宋体"/>
        <family val="3"/>
        <charset val="134"/>
      </rPr>
      <t/>
    </r>
  </si>
  <si>
    <r>
      <t>514房</t>
    </r>
    <r>
      <rPr>
        <sz val="10"/>
        <rFont val="宋体"/>
        <family val="3"/>
        <charset val="134"/>
      </rPr>
      <t/>
    </r>
  </si>
  <si>
    <r>
      <t>515房</t>
    </r>
    <r>
      <rPr>
        <sz val="10"/>
        <rFont val="宋体"/>
        <family val="3"/>
        <charset val="134"/>
      </rPr>
      <t/>
    </r>
  </si>
  <si>
    <r>
      <t>516房</t>
    </r>
    <r>
      <rPr>
        <sz val="10"/>
        <rFont val="宋体"/>
        <family val="3"/>
        <charset val="134"/>
      </rPr>
      <t/>
    </r>
  </si>
  <si>
    <r>
      <t>517房</t>
    </r>
    <r>
      <rPr>
        <sz val="10"/>
        <rFont val="宋体"/>
        <family val="3"/>
        <charset val="134"/>
      </rPr>
      <t/>
    </r>
  </si>
  <si>
    <r>
      <t>518房</t>
    </r>
    <r>
      <rPr>
        <sz val="10"/>
        <rFont val="宋体"/>
        <family val="3"/>
        <charset val="134"/>
      </rPr>
      <t/>
    </r>
  </si>
  <si>
    <r>
      <t>519房</t>
    </r>
    <r>
      <rPr>
        <sz val="10"/>
        <rFont val="宋体"/>
        <family val="3"/>
        <charset val="134"/>
      </rPr>
      <t/>
    </r>
  </si>
  <si>
    <r>
      <t>520房</t>
    </r>
    <r>
      <rPr>
        <sz val="10"/>
        <rFont val="宋体"/>
        <family val="3"/>
        <charset val="134"/>
      </rPr>
      <t/>
    </r>
  </si>
  <si>
    <r>
      <t>521房</t>
    </r>
    <r>
      <rPr>
        <sz val="10"/>
        <rFont val="宋体"/>
        <family val="3"/>
        <charset val="134"/>
      </rPr>
      <t/>
    </r>
  </si>
  <si>
    <r>
      <t>522房</t>
    </r>
    <r>
      <rPr>
        <sz val="10"/>
        <rFont val="宋体"/>
        <family val="3"/>
        <charset val="134"/>
      </rPr>
      <t/>
    </r>
  </si>
  <si>
    <r>
      <t>523房</t>
    </r>
    <r>
      <rPr>
        <sz val="10"/>
        <rFont val="宋体"/>
        <family val="3"/>
        <charset val="134"/>
      </rPr>
      <t/>
    </r>
  </si>
  <si>
    <r>
      <t>524房</t>
    </r>
    <r>
      <rPr>
        <sz val="10"/>
        <rFont val="宋体"/>
        <family val="3"/>
        <charset val="134"/>
      </rPr>
      <t/>
    </r>
  </si>
  <si>
    <r>
      <t>525房</t>
    </r>
    <r>
      <rPr>
        <sz val="10"/>
        <rFont val="宋体"/>
        <family val="3"/>
        <charset val="134"/>
      </rPr>
      <t/>
    </r>
  </si>
  <si>
    <r>
      <t>526房</t>
    </r>
    <r>
      <rPr>
        <sz val="10"/>
        <rFont val="宋体"/>
        <family val="3"/>
        <charset val="134"/>
      </rPr>
      <t/>
    </r>
  </si>
  <si>
    <r>
      <t>527房</t>
    </r>
    <r>
      <rPr>
        <sz val="10"/>
        <rFont val="宋体"/>
        <family val="3"/>
        <charset val="134"/>
      </rPr>
      <t/>
    </r>
  </si>
  <si>
    <r>
      <t>528房</t>
    </r>
    <r>
      <rPr>
        <sz val="10"/>
        <rFont val="宋体"/>
        <family val="3"/>
        <charset val="134"/>
      </rPr>
      <t/>
    </r>
  </si>
  <si>
    <r>
      <t>529房</t>
    </r>
    <r>
      <rPr>
        <sz val="10"/>
        <rFont val="宋体"/>
        <family val="3"/>
        <charset val="134"/>
      </rPr>
      <t/>
    </r>
  </si>
  <si>
    <r>
      <t>530房</t>
    </r>
    <r>
      <rPr>
        <sz val="10"/>
        <rFont val="宋体"/>
        <family val="3"/>
        <charset val="134"/>
      </rPr>
      <t/>
    </r>
  </si>
  <si>
    <r>
      <t>531房</t>
    </r>
    <r>
      <rPr>
        <sz val="10"/>
        <rFont val="宋体"/>
        <family val="3"/>
        <charset val="134"/>
      </rPr>
      <t/>
    </r>
  </si>
  <si>
    <r>
      <t>532房</t>
    </r>
    <r>
      <rPr>
        <sz val="10"/>
        <rFont val="宋体"/>
        <family val="3"/>
        <charset val="134"/>
      </rPr>
      <t/>
    </r>
  </si>
  <si>
    <r>
      <t>533房</t>
    </r>
    <r>
      <rPr>
        <sz val="10"/>
        <rFont val="宋体"/>
        <family val="3"/>
        <charset val="134"/>
      </rPr>
      <t/>
    </r>
  </si>
  <si>
    <r>
      <t>534房</t>
    </r>
    <r>
      <rPr>
        <sz val="10"/>
        <rFont val="宋体"/>
        <family val="3"/>
        <charset val="134"/>
      </rPr>
      <t/>
    </r>
  </si>
  <si>
    <r>
      <t>535房</t>
    </r>
    <r>
      <rPr>
        <sz val="10"/>
        <rFont val="宋体"/>
        <family val="3"/>
        <charset val="134"/>
      </rPr>
      <t/>
    </r>
  </si>
  <si>
    <r>
      <t>536房</t>
    </r>
    <r>
      <rPr>
        <sz val="10"/>
        <rFont val="宋体"/>
        <family val="3"/>
        <charset val="134"/>
      </rPr>
      <t/>
    </r>
  </si>
  <si>
    <r>
      <t>537房</t>
    </r>
    <r>
      <rPr>
        <sz val="10"/>
        <rFont val="宋体"/>
        <family val="3"/>
        <charset val="134"/>
      </rPr>
      <t/>
    </r>
  </si>
  <si>
    <r>
      <t>538房</t>
    </r>
    <r>
      <rPr>
        <sz val="10"/>
        <rFont val="宋体"/>
        <family val="3"/>
        <charset val="134"/>
      </rPr>
      <t/>
    </r>
  </si>
  <si>
    <r>
      <t>539房</t>
    </r>
    <r>
      <rPr>
        <sz val="10"/>
        <rFont val="宋体"/>
        <family val="3"/>
        <charset val="134"/>
      </rPr>
      <t/>
    </r>
  </si>
  <si>
    <r>
      <t>601</t>
    </r>
    <r>
      <rPr>
        <sz val="10"/>
        <rFont val="宋体"/>
        <family val="3"/>
        <charset val="134"/>
      </rPr>
      <t>房</t>
    </r>
    <phoneticPr fontId="144" type="noConversion"/>
  </si>
  <si>
    <r>
      <t>602</t>
    </r>
    <r>
      <rPr>
        <sz val="10"/>
        <rFont val="宋体"/>
        <family val="3"/>
        <charset val="134"/>
      </rPr>
      <t>房</t>
    </r>
    <phoneticPr fontId="144" type="noConversion"/>
  </si>
  <si>
    <r>
      <t>603房</t>
    </r>
    <r>
      <rPr>
        <sz val="10"/>
        <rFont val="宋体"/>
        <family val="3"/>
        <charset val="134"/>
      </rPr>
      <t/>
    </r>
  </si>
  <si>
    <r>
      <t>604房</t>
    </r>
    <r>
      <rPr>
        <sz val="10"/>
        <rFont val="宋体"/>
        <family val="3"/>
        <charset val="134"/>
      </rPr>
      <t/>
    </r>
  </si>
  <si>
    <r>
      <t>605房</t>
    </r>
    <r>
      <rPr>
        <sz val="10"/>
        <rFont val="宋体"/>
        <family val="3"/>
        <charset val="134"/>
      </rPr>
      <t/>
    </r>
  </si>
  <si>
    <r>
      <t>606房</t>
    </r>
    <r>
      <rPr>
        <sz val="10"/>
        <rFont val="宋体"/>
        <family val="3"/>
        <charset val="134"/>
      </rPr>
      <t/>
    </r>
  </si>
  <si>
    <r>
      <t>607房</t>
    </r>
    <r>
      <rPr>
        <sz val="10"/>
        <rFont val="宋体"/>
        <family val="3"/>
        <charset val="134"/>
      </rPr>
      <t/>
    </r>
  </si>
  <si>
    <r>
      <t>608房</t>
    </r>
    <r>
      <rPr>
        <sz val="10"/>
        <rFont val="宋体"/>
        <family val="3"/>
        <charset val="134"/>
      </rPr>
      <t/>
    </r>
  </si>
  <si>
    <r>
      <t>609房</t>
    </r>
    <r>
      <rPr>
        <sz val="10"/>
        <rFont val="宋体"/>
        <family val="3"/>
        <charset val="134"/>
      </rPr>
      <t/>
    </r>
  </si>
  <si>
    <r>
      <t>610房</t>
    </r>
    <r>
      <rPr>
        <sz val="10"/>
        <rFont val="宋体"/>
        <family val="3"/>
        <charset val="134"/>
      </rPr>
      <t/>
    </r>
  </si>
  <si>
    <r>
      <t>611房</t>
    </r>
    <r>
      <rPr>
        <sz val="10"/>
        <rFont val="宋体"/>
        <family val="3"/>
        <charset val="134"/>
      </rPr>
      <t/>
    </r>
  </si>
  <si>
    <r>
      <t>612房</t>
    </r>
    <r>
      <rPr>
        <sz val="10"/>
        <rFont val="宋体"/>
        <family val="3"/>
        <charset val="134"/>
      </rPr>
      <t/>
    </r>
  </si>
  <si>
    <r>
      <t>613房</t>
    </r>
    <r>
      <rPr>
        <sz val="10"/>
        <rFont val="宋体"/>
        <family val="3"/>
        <charset val="134"/>
      </rPr>
      <t/>
    </r>
  </si>
  <si>
    <r>
      <t>614房</t>
    </r>
    <r>
      <rPr>
        <sz val="10"/>
        <rFont val="宋体"/>
        <family val="3"/>
        <charset val="134"/>
      </rPr>
      <t/>
    </r>
  </si>
  <si>
    <r>
      <t>615房</t>
    </r>
    <r>
      <rPr>
        <sz val="10"/>
        <rFont val="宋体"/>
        <family val="3"/>
        <charset val="134"/>
      </rPr>
      <t/>
    </r>
  </si>
  <si>
    <r>
      <t>616房</t>
    </r>
    <r>
      <rPr>
        <sz val="10"/>
        <rFont val="宋体"/>
        <family val="3"/>
        <charset val="134"/>
      </rPr>
      <t/>
    </r>
  </si>
  <si>
    <r>
      <t>617房</t>
    </r>
    <r>
      <rPr>
        <sz val="10"/>
        <rFont val="宋体"/>
        <family val="3"/>
        <charset val="134"/>
      </rPr>
      <t/>
    </r>
  </si>
  <si>
    <r>
      <t>618房</t>
    </r>
    <r>
      <rPr>
        <sz val="10"/>
        <rFont val="宋体"/>
        <family val="3"/>
        <charset val="134"/>
      </rPr>
      <t/>
    </r>
  </si>
  <si>
    <r>
      <t>619房</t>
    </r>
    <r>
      <rPr>
        <sz val="10"/>
        <rFont val="宋体"/>
        <family val="3"/>
        <charset val="134"/>
      </rPr>
      <t/>
    </r>
  </si>
  <si>
    <r>
      <t>620房</t>
    </r>
    <r>
      <rPr>
        <sz val="10"/>
        <rFont val="宋体"/>
        <family val="3"/>
        <charset val="134"/>
      </rPr>
      <t/>
    </r>
  </si>
  <si>
    <r>
      <t>621房</t>
    </r>
    <r>
      <rPr>
        <sz val="10"/>
        <rFont val="宋体"/>
        <family val="3"/>
        <charset val="134"/>
      </rPr>
      <t/>
    </r>
  </si>
  <si>
    <r>
      <t>622房</t>
    </r>
    <r>
      <rPr>
        <sz val="10"/>
        <rFont val="宋体"/>
        <family val="3"/>
        <charset val="134"/>
      </rPr>
      <t/>
    </r>
  </si>
  <si>
    <r>
      <t>623房</t>
    </r>
    <r>
      <rPr>
        <sz val="10"/>
        <rFont val="宋体"/>
        <family val="3"/>
        <charset val="134"/>
      </rPr>
      <t/>
    </r>
  </si>
  <si>
    <r>
      <t>624房</t>
    </r>
    <r>
      <rPr>
        <sz val="10"/>
        <rFont val="宋体"/>
        <family val="3"/>
        <charset val="134"/>
      </rPr>
      <t/>
    </r>
  </si>
  <si>
    <r>
      <t>625房</t>
    </r>
    <r>
      <rPr>
        <sz val="10"/>
        <rFont val="宋体"/>
        <family val="3"/>
        <charset val="134"/>
      </rPr>
      <t/>
    </r>
  </si>
  <si>
    <r>
      <t>626房</t>
    </r>
    <r>
      <rPr>
        <sz val="10"/>
        <rFont val="宋体"/>
        <family val="3"/>
        <charset val="134"/>
      </rPr>
      <t/>
    </r>
  </si>
  <si>
    <r>
      <t>627房</t>
    </r>
    <r>
      <rPr>
        <sz val="10"/>
        <rFont val="宋体"/>
        <family val="3"/>
        <charset val="134"/>
      </rPr>
      <t/>
    </r>
  </si>
  <si>
    <r>
      <t>628房</t>
    </r>
    <r>
      <rPr>
        <sz val="10"/>
        <rFont val="宋体"/>
        <family val="3"/>
        <charset val="134"/>
      </rPr>
      <t/>
    </r>
  </si>
  <si>
    <r>
      <t>629房</t>
    </r>
    <r>
      <rPr>
        <sz val="10"/>
        <rFont val="宋体"/>
        <family val="3"/>
        <charset val="134"/>
      </rPr>
      <t/>
    </r>
  </si>
  <si>
    <r>
      <t>630房</t>
    </r>
    <r>
      <rPr>
        <sz val="10"/>
        <rFont val="宋体"/>
        <family val="3"/>
        <charset val="134"/>
      </rPr>
      <t/>
    </r>
  </si>
  <si>
    <r>
      <t>631房</t>
    </r>
    <r>
      <rPr>
        <sz val="10"/>
        <rFont val="宋体"/>
        <family val="3"/>
        <charset val="134"/>
      </rPr>
      <t/>
    </r>
  </si>
  <si>
    <r>
      <t>632房</t>
    </r>
    <r>
      <rPr>
        <sz val="10"/>
        <rFont val="宋体"/>
        <family val="3"/>
        <charset val="134"/>
      </rPr>
      <t/>
    </r>
  </si>
  <si>
    <r>
      <t>633房</t>
    </r>
    <r>
      <rPr>
        <sz val="10"/>
        <rFont val="宋体"/>
        <family val="3"/>
        <charset val="134"/>
      </rPr>
      <t/>
    </r>
  </si>
  <si>
    <r>
      <t>634房</t>
    </r>
    <r>
      <rPr>
        <sz val="10"/>
        <rFont val="宋体"/>
        <family val="3"/>
        <charset val="134"/>
      </rPr>
      <t/>
    </r>
  </si>
  <si>
    <r>
      <t>635房</t>
    </r>
    <r>
      <rPr>
        <sz val="10"/>
        <rFont val="宋体"/>
        <family val="3"/>
        <charset val="134"/>
      </rPr>
      <t/>
    </r>
  </si>
  <si>
    <r>
      <t>636房</t>
    </r>
    <r>
      <rPr>
        <sz val="10"/>
        <rFont val="宋体"/>
        <family val="3"/>
        <charset val="134"/>
      </rPr>
      <t/>
    </r>
  </si>
  <si>
    <r>
      <t>637房</t>
    </r>
    <r>
      <rPr>
        <sz val="10"/>
        <rFont val="宋体"/>
        <family val="3"/>
        <charset val="134"/>
      </rPr>
      <t/>
    </r>
  </si>
  <si>
    <r>
      <t>638房</t>
    </r>
    <r>
      <rPr>
        <sz val="10"/>
        <rFont val="宋体"/>
        <family val="3"/>
        <charset val="134"/>
      </rPr>
      <t/>
    </r>
  </si>
  <si>
    <r>
      <t>639房</t>
    </r>
    <r>
      <rPr>
        <sz val="10"/>
        <rFont val="宋体"/>
        <family val="3"/>
        <charset val="134"/>
      </rPr>
      <t/>
    </r>
  </si>
  <si>
    <r>
      <t>1001</t>
    </r>
    <r>
      <rPr>
        <sz val="10"/>
        <rFont val="宋体"/>
        <family val="3"/>
        <charset val="134"/>
      </rPr>
      <t>房</t>
    </r>
    <phoneticPr fontId="144" type="noConversion"/>
  </si>
  <si>
    <r>
      <t>1002</t>
    </r>
    <r>
      <rPr>
        <sz val="10"/>
        <rFont val="宋体"/>
        <family val="3"/>
        <charset val="134"/>
      </rPr>
      <t>房</t>
    </r>
    <phoneticPr fontId="144" type="noConversion"/>
  </si>
  <si>
    <r>
      <t>1003房</t>
    </r>
    <r>
      <rPr>
        <sz val="10"/>
        <rFont val="宋体"/>
        <family val="3"/>
        <charset val="134"/>
      </rPr>
      <t/>
    </r>
  </si>
  <si>
    <r>
      <t>1004房</t>
    </r>
    <r>
      <rPr>
        <sz val="10"/>
        <rFont val="宋体"/>
        <family val="3"/>
        <charset val="134"/>
      </rPr>
      <t/>
    </r>
  </si>
  <si>
    <r>
      <t>1005房</t>
    </r>
    <r>
      <rPr>
        <sz val="10"/>
        <rFont val="宋体"/>
        <family val="3"/>
        <charset val="134"/>
      </rPr>
      <t/>
    </r>
  </si>
  <si>
    <r>
      <t>1006房</t>
    </r>
    <r>
      <rPr>
        <sz val="10"/>
        <rFont val="宋体"/>
        <family val="3"/>
        <charset val="134"/>
      </rPr>
      <t/>
    </r>
  </si>
  <si>
    <r>
      <t>1007房</t>
    </r>
    <r>
      <rPr>
        <sz val="10"/>
        <rFont val="宋体"/>
        <family val="3"/>
        <charset val="134"/>
      </rPr>
      <t/>
    </r>
  </si>
  <si>
    <r>
      <t>1008房</t>
    </r>
    <r>
      <rPr>
        <sz val="10"/>
        <rFont val="宋体"/>
        <family val="3"/>
        <charset val="134"/>
      </rPr>
      <t/>
    </r>
  </si>
  <si>
    <r>
      <t>1009房</t>
    </r>
    <r>
      <rPr>
        <sz val="10"/>
        <rFont val="宋体"/>
        <family val="3"/>
        <charset val="134"/>
      </rPr>
      <t/>
    </r>
  </si>
  <si>
    <r>
      <t>1010房</t>
    </r>
    <r>
      <rPr>
        <sz val="10"/>
        <rFont val="宋体"/>
        <family val="3"/>
        <charset val="134"/>
      </rPr>
      <t/>
    </r>
  </si>
  <si>
    <r>
      <t>1011房</t>
    </r>
    <r>
      <rPr>
        <sz val="10"/>
        <rFont val="宋体"/>
        <family val="3"/>
        <charset val="134"/>
      </rPr>
      <t/>
    </r>
  </si>
  <si>
    <r>
      <t>1012房</t>
    </r>
    <r>
      <rPr>
        <sz val="10"/>
        <rFont val="宋体"/>
        <family val="3"/>
        <charset val="134"/>
      </rPr>
      <t/>
    </r>
  </si>
  <si>
    <r>
      <t>1013房</t>
    </r>
    <r>
      <rPr>
        <sz val="10"/>
        <rFont val="宋体"/>
        <family val="3"/>
        <charset val="134"/>
      </rPr>
      <t/>
    </r>
  </si>
  <si>
    <r>
      <t>1014房</t>
    </r>
    <r>
      <rPr>
        <sz val="10"/>
        <rFont val="宋体"/>
        <family val="3"/>
        <charset val="134"/>
      </rPr>
      <t/>
    </r>
  </si>
  <si>
    <r>
      <t>1015房</t>
    </r>
    <r>
      <rPr>
        <sz val="10"/>
        <rFont val="宋体"/>
        <family val="3"/>
        <charset val="134"/>
      </rPr>
      <t/>
    </r>
  </si>
  <si>
    <r>
      <t>1016房</t>
    </r>
    <r>
      <rPr>
        <sz val="10"/>
        <rFont val="宋体"/>
        <family val="3"/>
        <charset val="134"/>
      </rPr>
      <t/>
    </r>
  </si>
  <si>
    <r>
      <t>1017房</t>
    </r>
    <r>
      <rPr>
        <sz val="10"/>
        <rFont val="宋体"/>
        <family val="3"/>
        <charset val="134"/>
      </rPr>
      <t/>
    </r>
  </si>
  <si>
    <r>
      <t>1018房</t>
    </r>
    <r>
      <rPr>
        <sz val="10"/>
        <rFont val="宋体"/>
        <family val="3"/>
        <charset val="134"/>
      </rPr>
      <t/>
    </r>
  </si>
  <si>
    <r>
      <t>1019房</t>
    </r>
    <r>
      <rPr>
        <sz val="10"/>
        <rFont val="宋体"/>
        <family val="3"/>
        <charset val="134"/>
      </rPr>
      <t/>
    </r>
  </si>
  <si>
    <r>
      <t>1020房</t>
    </r>
    <r>
      <rPr>
        <sz val="10"/>
        <rFont val="宋体"/>
        <family val="3"/>
        <charset val="134"/>
      </rPr>
      <t/>
    </r>
  </si>
  <si>
    <r>
      <t>1021房</t>
    </r>
    <r>
      <rPr>
        <sz val="10"/>
        <rFont val="宋体"/>
        <family val="3"/>
        <charset val="134"/>
      </rPr>
      <t/>
    </r>
  </si>
  <si>
    <r>
      <t>1022房</t>
    </r>
    <r>
      <rPr>
        <sz val="10"/>
        <rFont val="宋体"/>
        <family val="3"/>
        <charset val="134"/>
      </rPr>
      <t/>
    </r>
  </si>
  <si>
    <r>
      <t>1023房</t>
    </r>
    <r>
      <rPr>
        <sz val="10"/>
        <rFont val="宋体"/>
        <family val="3"/>
        <charset val="134"/>
      </rPr>
      <t/>
    </r>
  </si>
  <si>
    <r>
      <t>1024房</t>
    </r>
    <r>
      <rPr>
        <sz val="10"/>
        <rFont val="宋体"/>
        <family val="3"/>
        <charset val="134"/>
      </rPr>
      <t/>
    </r>
  </si>
  <si>
    <r>
      <t>1025房</t>
    </r>
    <r>
      <rPr>
        <sz val="10"/>
        <rFont val="宋体"/>
        <family val="3"/>
        <charset val="134"/>
      </rPr>
      <t/>
    </r>
  </si>
  <si>
    <r>
      <t>1026房</t>
    </r>
    <r>
      <rPr>
        <sz val="10"/>
        <rFont val="宋体"/>
        <family val="3"/>
        <charset val="134"/>
      </rPr>
      <t/>
    </r>
  </si>
  <si>
    <r>
      <t>1027房</t>
    </r>
    <r>
      <rPr>
        <sz val="10"/>
        <rFont val="宋体"/>
        <family val="3"/>
        <charset val="134"/>
      </rPr>
      <t/>
    </r>
  </si>
  <si>
    <r>
      <t>1028房</t>
    </r>
    <r>
      <rPr>
        <sz val="10"/>
        <rFont val="宋体"/>
        <family val="3"/>
        <charset val="134"/>
      </rPr>
      <t/>
    </r>
  </si>
  <si>
    <r>
      <t>1029房</t>
    </r>
    <r>
      <rPr>
        <sz val="10"/>
        <rFont val="宋体"/>
        <family val="3"/>
        <charset val="134"/>
      </rPr>
      <t/>
    </r>
  </si>
  <si>
    <r>
      <t>1030房</t>
    </r>
    <r>
      <rPr>
        <sz val="10"/>
        <rFont val="宋体"/>
        <family val="3"/>
        <charset val="134"/>
      </rPr>
      <t/>
    </r>
  </si>
  <si>
    <r>
      <t>1031房</t>
    </r>
    <r>
      <rPr>
        <sz val="10"/>
        <rFont val="宋体"/>
        <family val="3"/>
        <charset val="134"/>
      </rPr>
      <t/>
    </r>
  </si>
  <si>
    <r>
      <t>1032房</t>
    </r>
    <r>
      <rPr>
        <sz val="10"/>
        <rFont val="宋体"/>
        <family val="3"/>
        <charset val="134"/>
      </rPr>
      <t/>
    </r>
  </si>
  <si>
    <r>
      <t>1033房</t>
    </r>
    <r>
      <rPr>
        <sz val="10"/>
        <rFont val="宋体"/>
        <family val="3"/>
        <charset val="134"/>
      </rPr>
      <t/>
    </r>
  </si>
  <si>
    <r>
      <t>1034房</t>
    </r>
    <r>
      <rPr>
        <sz val="10"/>
        <rFont val="宋体"/>
        <family val="3"/>
        <charset val="134"/>
      </rPr>
      <t/>
    </r>
  </si>
  <si>
    <r>
      <t>1035房</t>
    </r>
    <r>
      <rPr>
        <sz val="10"/>
        <rFont val="宋体"/>
        <family val="3"/>
        <charset val="134"/>
      </rPr>
      <t/>
    </r>
  </si>
  <si>
    <r>
      <t>1036房</t>
    </r>
    <r>
      <rPr>
        <sz val="10"/>
        <rFont val="宋体"/>
        <family val="3"/>
        <charset val="134"/>
      </rPr>
      <t/>
    </r>
  </si>
  <si>
    <r>
      <t>1037房</t>
    </r>
    <r>
      <rPr>
        <sz val="10"/>
        <rFont val="宋体"/>
        <family val="3"/>
        <charset val="134"/>
      </rPr>
      <t/>
    </r>
  </si>
  <si>
    <r>
      <t>1038房</t>
    </r>
    <r>
      <rPr>
        <sz val="10"/>
        <rFont val="宋体"/>
        <family val="3"/>
        <charset val="134"/>
      </rPr>
      <t/>
    </r>
  </si>
  <si>
    <r>
      <t>1039房</t>
    </r>
    <r>
      <rPr>
        <sz val="10"/>
        <rFont val="宋体"/>
        <family val="3"/>
        <charset val="134"/>
      </rPr>
      <t/>
    </r>
  </si>
  <si>
    <r>
      <t>1101</t>
    </r>
    <r>
      <rPr>
        <sz val="10"/>
        <rFont val="宋体"/>
        <family val="3"/>
        <charset val="134"/>
      </rPr>
      <t>房</t>
    </r>
    <phoneticPr fontId="144" type="noConversion"/>
  </si>
  <si>
    <r>
      <t>1102</t>
    </r>
    <r>
      <rPr>
        <sz val="10"/>
        <rFont val="宋体"/>
        <family val="3"/>
        <charset val="134"/>
      </rPr>
      <t>房</t>
    </r>
    <phoneticPr fontId="144" type="noConversion"/>
  </si>
  <si>
    <r>
      <t>1103房</t>
    </r>
    <r>
      <rPr>
        <sz val="10"/>
        <rFont val="宋体"/>
        <family val="3"/>
        <charset val="134"/>
      </rPr>
      <t/>
    </r>
  </si>
  <si>
    <r>
      <t>1104房</t>
    </r>
    <r>
      <rPr>
        <sz val="10"/>
        <rFont val="宋体"/>
        <family val="3"/>
        <charset val="134"/>
      </rPr>
      <t/>
    </r>
  </si>
  <si>
    <r>
      <t>1105房</t>
    </r>
    <r>
      <rPr>
        <sz val="10"/>
        <rFont val="宋体"/>
        <family val="3"/>
        <charset val="134"/>
      </rPr>
      <t/>
    </r>
  </si>
  <si>
    <r>
      <t>1106房</t>
    </r>
    <r>
      <rPr>
        <sz val="10"/>
        <rFont val="宋体"/>
        <family val="3"/>
        <charset val="134"/>
      </rPr>
      <t/>
    </r>
  </si>
  <si>
    <r>
      <t>1107房</t>
    </r>
    <r>
      <rPr>
        <sz val="10"/>
        <rFont val="宋体"/>
        <family val="3"/>
        <charset val="134"/>
      </rPr>
      <t/>
    </r>
  </si>
  <si>
    <r>
      <t>1108房</t>
    </r>
    <r>
      <rPr>
        <sz val="10"/>
        <rFont val="宋体"/>
        <family val="3"/>
        <charset val="134"/>
      </rPr>
      <t/>
    </r>
  </si>
  <si>
    <r>
      <t>1109房</t>
    </r>
    <r>
      <rPr>
        <sz val="10"/>
        <rFont val="宋体"/>
        <family val="3"/>
        <charset val="134"/>
      </rPr>
      <t/>
    </r>
  </si>
  <si>
    <r>
      <t>1110房</t>
    </r>
    <r>
      <rPr>
        <sz val="10"/>
        <rFont val="宋体"/>
        <family val="3"/>
        <charset val="134"/>
      </rPr>
      <t/>
    </r>
  </si>
  <si>
    <r>
      <t>1111房</t>
    </r>
    <r>
      <rPr>
        <sz val="10"/>
        <rFont val="宋体"/>
        <family val="3"/>
        <charset val="134"/>
      </rPr>
      <t/>
    </r>
  </si>
  <si>
    <r>
      <t>1112房</t>
    </r>
    <r>
      <rPr>
        <sz val="10"/>
        <rFont val="宋体"/>
        <family val="3"/>
        <charset val="134"/>
      </rPr>
      <t/>
    </r>
  </si>
  <si>
    <r>
      <t>1113房</t>
    </r>
    <r>
      <rPr>
        <sz val="10"/>
        <rFont val="宋体"/>
        <family val="3"/>
        <charset val="134"/>
      </rPr>
      <t/>
    </r>
  </si>
  <si>
    <r>
      <t>1114房</t>
    </r>
    <r>
      <rPr>
        <sz val="10"/>
        <rFont val="宋体"/>
        <family val="3"/>
        <charset val="134"/>
      </rPr>
      <t/>
    </r>
  </si>
  <si>
    <r>
      <t>1115房</t>
    </r>
    <r>
      <rPr>
        <sz val="10"/>
        <rFont val="宋体"/>
        <family val="3"/>
        <charset val="134"/>
      </rPr>
      <t/>
    </r>
  </si>
  <si>
    <r>
      <t>1116房</t>
    </r>
    <r>
      <rPr>
        <sz val="10"/>
        <rFont val="宋体"/>
        <family val="3"/>
        <charset val="134"/>
      </rPr>
      <t/>
    </r>
  </si>
  <si>
    <r>
      <t>1117房</t>
    </r>
    <r>
      <rPr>
        <sz val="10"/>
        <rFont val="宋体"/>
        <family val="3"/>
        <charset val="134"/>
      </rPr>
      <t/>
    </r>
  </si>
  <si>
    <r>
      <t>1118房</t>
    </r>
    <r>
      <rPr>
        <sz val="10"/>
        <rFont val="宋体"/>
        <family val="3"/>
        <charset val="134"/>
      </rPr>
      <t/>
    </r>
  </si>
  <si>
    <r>
      <t>1119房</t>
    </r>
    <r>
      <rPr>
        <sz val="10"/>
        <rFont val="宋体"/>
        <family val="3"/>
        <charset val="134"/>
      </rPr>
      <t/>
    </r>
  </si>
  <si>
    <r>
      <t>1120房</t>
    </r>
    <r>
      <rPr>
        <sz val="10"/>
        <rFont val="宋体"/>
        <family val="3"/>
        <charset val="134"/>
      </rPr>
      <t/>
    </r>
  </si>
  <si>
    <r>
      <t>1121房</t>
    </r>
    <r>
      <rPr>
        <sz val="10"/>
        <rFont val="宋体"/>
        <family val="3"/>
        <charset val="134"/>
      </rPr>
      <t/>
    </r>
  </si>
  <si>
    <r>
      <t>1122房</t>
    </r>
    <r>
      <rPr>
        <sz val="10"/>
        <rFont val="宋体"/>
        <family val="3"/>
        <charset val="134"/>
      </rPr>
      <t/>
    </r>
  </si>
  <si>
    <r>
      <t>1123房</t>
    </r>
    <r>
      <rPr>
        <sz val="10"/>
        <rFont val="宋体"/>
        <family val="3"/>
        <charset val="134"/>
      </rPr>
      <t/>
    </r>
  </si>
  <si>
    <r>
      <t>1124房</t>
    </r>
    <r>
      <rPr>
        <sz val="10"/>
        <rFont val="宋体"/>
        <family val="3"/>
        <charset val="134"/>
      </rPr>
      <t/>
    </r>
  </si>
  <si>
    <r>
      <t>1125房</t>
    </r>
    <r>
      <rPr>
        <sz val="10"/>
        <rFont val="宋体"/>
        <family val="3"/>
        <charset val="134"/>
      </rPr>
      <t/>
    </r>
  </si>
  <si>
    <r>
      <t>1126房</t>
    </r>
    <r>
      <rPr>
        <sz val="10"/>
        <rFont val="宋体"/>
        <family val="3"/>
        <charset val="134"/>
      </rPr>
      <t/>
    </r>
  </si>
  <si>
    <r>
      <t>1127房</t>
    </r>
    <r>
      <rPr>
        <sz val="10"/>
        <rFont val="宋体"/>
        <family val="3"/>
        <charset val="134"/>
      </rPr>
      <t/>
    </r>
  </si>
  <si>
    <r>
      <t>1128房</t>
    </r>
    <r>
      <rPr>
        <sz val="10"/>
        <rFont val="宋体"/>
        <family val="3"/>
        <charset val="134"/>
      </rPr>
      <t/>
    </r>
  </si>
  <si>
    <r>
      <t>1129房</t>
    </r>
    <r>
      <rPr>
        <sz val="10"/>
        <rFont val="宋体"/>
        <family val="3"/>
        <charset val="134"/>
      </rPr>
      <t/>
    </r>
  </si>
  <si>
    <r>
      <t>1130房</t>
    </r>
    <r>
      <rPr>
        <sz val="10"/>
        <rFont val="宋体"/>
        <family val="3"/>
        <charset val="134"/>
      </rPr>
      <t/>
    </r>
  </si>
  <si>
    <r>
      <t>1131房</t>
    </r>
    <r>
      <rPr>
        <sz val="10"/>
        <rFont val="宋体"/>
        <family val="3"/>
        <charset val="134"/>
      </rPr>
      <t/>
    </r>
  </si>
  <si>
    <r>
      <t>1132房</t>
    </r>
    <r>
      <rPr>
        <sz val="10"/>
        <rFont val="宋体"/>
        <family val="3"/>
        <charset val="134"/>
      </rPr>
      <t/>
    </r>
  </si>
  <si>
    <r>
      <t>1133房</t>
    </r>
    <r>
      <rPr>
        <sz val="10"/>
        <rFont val="宋体"/>
        <family val="3"/>
        <charset val="134"/>
      </rPr>
      <t/>
    </r>
  </si>
  <si>
    <r>
      <t>1134房</t>
    </r>
    <r>
      <rPr>
        <sz val="10"/>
        <rFont val="宋体"/>
        <family val="3"/>
        <charset val="134"/>
      </rPr>
      <t/>
    </r>
  </si>
  <si>
    <r>
      <t>1135房</t>
    </r>
    <r>
      <rPr>
        <sz val="10"/>
        <rFont val="宋体"/>
        <family val="3"/>
        <charset val="134"/>
      </rPr>
      <t/>
    </r>
  </si>
  <si>
    <r>
      <t>1136房</t>
    </r>
    <r>
      <rPr>
        <sz val="10"/>
        <rFont val="宋体"/>
        <family val="3"/>
        <charset val="134"/>
      </rPr>
      <t/>
    </r>
  </si>
  <si>
    <r>
      <t>1137房</t>
    </r>
    <r>
      <rPr>
        <sz val="10"/>
        <rFont val="宋体"/>
        <family val="3"/>
        <charset val="134"/>
      </rPr>
      <t/>
    </r>
  </si>
  <si>
    <r>
      <t>1138房</t>
    </r>
    <r>
      <rPr>
        <sz val="10"/>
        <rFont val="宋体"/>
        <family val="3"/>
        <charset val="134"/>
      </rPr>
      <t/>
    </r>
  </si>
  <si>
    <r>
      <t>1139房</t>
    </r>
    <r>
      <rPr>
        <sz val="10"/>
        <rFont val="宋体"/>
        <family val="3"/>
        <charset val="134"/>
      </rPr>
      <t/>
    </r>
  </si>
  <si>
    <r>
      <t>101</t>
    </r>
    <r>
      <rPr>
        <sz val="10"/>
        <rFont val="宋体"/>
        <family val="3"/>
        <charset val="134"/>
      </rPr>
      <t>房</t>
    </r>
    <phoneticPr fontId="144" type="noConversion"/>
  </si>
  <si>
    <r>
      <t>102</t>
    </r>
    <r>
      <rPr>
        <sz val="10"/>
        <rFont val="宋体"/>
        <family val="3"/>
        <charset val="134"/>
      </rPr>
      <t>房</t>
    </r>
    <phoneticPr fontId="144" type="noConversion"/>
  </si>
  <si>
    <r>
      <t>103房</t>
    </r>
    <r>
      <rPr>
        <sz val="10"/>
        <rFont val="宋体"/>
        <family val="3"/>
        <charset val="134"/>
      </rPr>
      <t/>
    </r>
  </si>
  <si>
    <r>
      <t>104房</t>
    </r>
    <r>
      <rPr>
        <sz val="10"/>
        <rFont val="宋体"/>
        <family val="3"/>
        <charset val="134"/>
      </rPr>
      <t/>
    </r>
  </si>
  <si>
    <r>
      <t>105房</t>
    </r>
    <r>
      <rPr>
        <sz val="10"/>
        <rFont val="宋体"/>
        <family val="3"/>
        <charset val="134"/>
      </rPr>
      <t/>
    </r>
  </si>
  <si>
    <r>
      <t>106房</t>
    </r>
    <r>
      <rPr>
        <sz val="10"/>
        <rFont val="宋体"/>
        <family val="3"/>
        <charset val="134"/>
      </rPr>
      <t/>
    </r>
  </si>
  <si>
    <r>
      <t>107房</t>
    </r>
    <r>
      <rPr>
        <sz val="10"/>
        <rFont val="宋体"/>
        <family val="3"/>
        <charset val="134"/>
      </rPr>
      <t/>
    </r>
  </si>
  <si>
    <r>
      <t>108房</t>
    </r>
    <r>
      <rPr>
        <sz val="10"/>
        <rFont val="宋体"/>
        <family val="3"/>
        <charset val="134"/>
      </rPr>
      <t/>
    </r>
  </si>
  <si>
    <r>
      <t>109房</t>
    </r>
    <r>
      <rPr>
        <sz val="10"/>
        <rFont val="宋体"/>
        <family val="3"/>
        <charset val="134"/>
      </rPr>
      <t/>
    </r>
  </si>
  <si>
    <r>
      <t>110房</t>
    </r>
    <r>
      <rPr>
        <sz val="10"/>
        <rFont val="宋体"/>
        <family val="3"/>
        <charset val="134"/>
      </rPr>
      <t/>
    </r>
  </si>
  <si>
    <r>
      <t>111房</t>
    </r>
    <r>
      <rPr>
        <sz val="10"/>
        <rFont val="宋体"/>
        <family val="3"/>
        <charset val="134"/>
      </rPr>
      <t/>
    </r>
  </si>
  <si>
    <r>
      <t>112房</t>
    </r>
    <r>
      <rPr>
        <sz val="10"/>
        <rFont val="宋体"/>
        <family val="3"/>
        <charset val="134"/>
      </rPr>
      <t/>
    </r>
  </si>
  <si>
    <r>
      <t>113房</t>
    </r>
    <r>
      <rPr>
        <sz val="10"/>
        <rFont val="宋体"/>
        <family val="3"/>
        <charset val="134"/>
      </rPr>
      <t/>
    </r>
  </si>
  <si>
    <r>
      <t>114房</t>
    </r>
    <r>
      <rPr>
        <sz val="10"/>
        <rFont val="宋体"/>
        <family val="3"/>
        <charset val="134"/>
      </rPr>
      <t/>
    </r>
  </si>
  <si>
    <r>
      <t>115房</t>
    </r>
    <r>
      <rPr>
        <sz val="10"/>
        <rFont val="宋体"/>
        <family val="3"/>
        <charset val="134"/>
      </rPr>
      <t/>
    </r>
  </si>
  <si>
    <r>
      <t>116房</t>
    </r>
    <r>
      <rPr>
        <sz val="10"/>
        <rFont val="宋体"/>
        <family val="3"/>
        <charset val="134"/>
      </rPr>
      <t/>
    </r>
  </si>
  <si>
    <r>
      <t>117房</t>
    </r>
    <r>
      <rPr>
        <sz val="10"/>
        <rFont val="宋体"/>
        <family val="3"/>
        <charset val="134"/>
      </rPr>
      <t/>
    </r>
  </si>
  <si>
    <r>
      <t>118房</t>
    </r>
    <r>
      <rPr>
        <sz val="10"/>
        <rFont val="宋体"/>
        <family val="3"/>
        <charset val="134"/>
      </rPr>
      <t/>
    </r>
  </si>
  <si>
    <r>
      <t>119房</t>
    </r>
    <r>
      <rPr>
        <sz val="10"/>
        <rFont val="宋体"/>
        <family val="3"/>
        <charset val="134"/>
      </rPr>
      <t/>
    </r>
  </si>
  <si>
    <r>
      <t>120房</t>
    </r>
    <r>
      <rPr>
        <sz val="10"/>
        <rFont val="宋体"/>
        <family val="3"/>
        <charset val="134"/>
      </rPr>
      <t/>
    </r>
  </si>
  <si>
    <r>
      <t>121房</t>
    </r>
    <r>
      <rPr>
        <sz val="10"/>
        <rFont val="宋体"/>
        <family val="3"/>
        <charset val="134"/>
      </rPr>
      <t/>
    </r>
  </si>
  <si>
    <r>
      <t>122房</t>
    </r>
    <r>
      <rPr>
        <sz val="10"/>
        <rFont val="宋体"/>
        <family val="3"/>
        <charset val="134"/>
      </rPr>
      <t/>
    </r>
  </si>
  <si>
    <r>
      <t>123房</t>
    </r>
    <r>
      <rPr>
        <sz val="10"/>
        <rFont val="宋体"/>
        <family val="3"/>
        <charset val="134"/>
      </rPr>
      <t/>
    </r>
  </si>
  <si>
    <r>
      <t>124房</t>
    </r>
    <r>
      <rPr>
        <sz val="10"/>
        <rFont val="宋体"/>
        <family val="3"/>
        <charset val="134"/>
      </rPr>
      <t/>
    </r>
  </si>
  <si>
    <r>
      <t>125房</t>
    </r>
    <r>
      <rPr>
        <sz val="10"/>
        <rFont val="宋体"/>
        <family val="3"/>
        <charset val="134"/>
      </rPr>
      <t/>
    </r>
  </si>
  <si>
    <r>
      <t>126房</t>
    </r>
    <r>
      <rPr>
        <sz val="10"/>
        <rFont val="宋体"/>
        <family val="3"/>
        <charset val="134"/>
      </rPr>
      <t/>
    </r>
  </si>
  <si>
    <r>
      <t>127房</t>
    </r>
    <r>
      <rPr>
        <sz val="10"/>
        <rFont val="宋体"/>
        <family val="3"/>
        <charset val="134"/>
      </rPr>
      <t/>
    </r>
  </si>
  <si>
    <r>
      <t>128房</t>
    </r>
    <r>
      <rPr>
        <sz val="10"/>
        <rFont val="宋体"/>
        <family val="3"/>
        <charset val="134"/>
      </rPr>
      <t/>
    </r>
  </si>
  <si>
    <r>
      <t>129房</t>
    </r>
    <r>
      <rPr>
        <sz val="10"/>
        <rFont val="宋体"/>
        <family val="3"/>
        <charset val="134"/>
      </rPr>
      <t/>
    </r>
  </si>
  <si>
    <r>
      <t>130房</t>
    </r>
    <r>
      <rPr>
        <sz val="10"/>
        <rFont val="宋体"/>
        <family val="3"/>
        <charset val="134"/>
      </rPr>
      <t/>
    </r>
  </si>
  <si>
    <r>
      <t>131房</t>
    </r>
    <r>
      <rPr>
        <sz val="10"/>
        <rFont val="宋体"/>
        <family val="3"/>
        <charset val="134"/>
      </rPr>
      <t/>
    </r>
  </si>
  <si>
    <r>
      <t>132房</t>
    </r>
    <r>
      <rPr>
        <sz val="10"/>
        <rFont val="宋体"/>
        <family val="3"/>
        <charset val="134"/>
      </rPr>
      <t/>
    </r>
  </si>
  <si>
    <r>
      <t>133房</t>
    </r>
    <r>
      <rPr>
        <sz val="10"/>
        <rFont val="宋体"/>
        <family val="3"/>
        <charset val="134"/>
      </rPr>
      <t/>
    </r>
  </si>
  <si>
    <r>
      <t>134房</t>
    </r>
    <r>
      <rPr>
        <sz val="10"/>
        <rFont val="宋体"/>
        <family val="3"/>
        <charset val="134"/>
      </rPr>
      <t/>
    </r>
  </si>
  <si>
    <r>
      <t>201</t>
    </r>
    <r>
      <rPr>
        <sz val="10"/>
        <rFont val="宋体"/>
        <family val="3"/>
        <charset val="134"/>
      </rPr>
      <t>房</t>
    </r>
    <phoneticPr fontId="144" type="noConversion"/>
  </si>
  <si>
    <r>
      <t>202</t>
    </r>
    <r>
      <rPr>
        <sz val="10"/>
        <rFont val="宋体"/>
        <family val="3"/>
        <charset val="134"/>
      </rPr>
      <t>房</t>
    </r>
    <phoneticPr fontId="144" type="noConversion"/>
  </si>
  <si>
    <r>
      <t>203房</t>
    </r>
    <r>
      <rPr>
        <sz val="10"/>
        <rFont val="宋体"/>
        <family val="3"/>
        <charset val="134"/>
      </rPr>
      <t/>
    </r>
  </si>
  <si>
    <r>
      <t>204房</t>
    </r>
    <r>
      <rPr>
        <sz val="10"/>
        <rFont val="宋体"/>
        <family val="3"/>
        <charset val="134"/>
      </rPr>
      <t/>
    </r>
  </si>
  <si>
    <r>
      <t>205房</t>
    </r>
    <r>
      <rPr>
        <sz val="10"/>
        <rFont val="宋体"/>
        <family val="3"/>
        <charset val="134"/>
      </rPr>
      <t/>
    </r>
  </si>
  <si>
    <r>
      <t>206房</t>
    </r>
    <r>
      <rPr>
        <sz val="10"/>
        <rFont val="宋体"/>
        <family val="3"/>
        <charset val="134"/>
      </rPr>
      <t/>
    </r>
  </si>
  <si>
    <r>
      <t>207房</t>
    </r>
    <r>
      <rPr>
        <sz val="10"/>
        <rFont val="宋体"/>
        <family val="3"/>
        <charset val="134"/>
      </rPr>
      <t/>
    </r>
  </si>
  <si>
    <r>
      <t>208房</t>
    </r>
    <r>
      <rPr>
        <sz val="10"/>
        <rFont val="宋体"/>
        <family val="3"/>
        <charset val="134"/>
      </rPr>
      <t/>
    </r>
  </si>
  <si>
    <r>
      <t>209房</t>
    </r>
    <r>
      <rPr>
        <sz val="10"/>
        <rFont val="宋体"/>
        <family val="3"/>
        <charset val="134"/>
      </rPr>
      <t/>
    </r>
  </si>
  <si>
    <r>
      <t>210房</t>
    </r>
    <r>
      <rPr>
        <sz val="10"/>
        <rFont val="宋体"/>
        <family val="3"/>
        <charset val="134"/>
      </rPr>
      <t/>
    </r>
  </si>
  <si>
    <r>
      <t>211房</t>
    </r>
    <r>
      <rPr>
        <sz val="10"/>
        <rFont val="宋体"/>
        <family val="3"/>
        <charset val="134"/>
      </rPr>
      <t/>
    </r>
  </si>
  <si>
    <r>
      <t>212房</t>
    </r>
    <r>
      <rPr>
        <sz val="10"/>
        <rFont val="宋体"/>
        <family val="3"/>
        <charset val="134"/>
      </rPr>
      <t/>
    </r>
  </si>
  <si>
    <r>
      <t>213房</t>
    </r>
    <r>
      <rPr>
        <sz val="10"/>
        <rFont val="宋体"/>
        <family val="3"/>
        <charset val="134"/>
      </rPr>
      <t/>
    </r>
  </si>
  <si>
    <r>
      <t>214房</t>
    </r>
    <r>
      <rPr>
        <sz val="10"/>
        <rFont val="宋体"/>
        <family val="3"/>
        <charset val="134"/>
      </rPr>
      <t/>
    </r>
  </si>
  <si>
    <r>
      <t>215房</t>
    </r>
    <r>
      <rPr>
        <sz val="10"/>
        <rFont val="宋体"/>
        <family val="3"/>
        <charset val="134"/>
      </rPr>
      <t/>
    </r>
  </si>
  <si>
    <r>
      <t>216房</t>
    </r>
    <r>
      <rPr>
        <sz val="10"/>
        <rFont val="宋体"/>
        <family val="3"/>
        <charset val="134"/>
      </rPr>
      <t/>
    </r>
  </si>
  <si>
    <r>
      <t>217房</t>
    </r>
    <r>
      <rPr>
        <sz val="10"/>
        <rFont val="宋体"/>
        <family val="3"/>
        <charset val="134"/>
      </rPr>
      <t/>
    </r>
  </si>
  <si>
    <t>B1、B2、B3一二层商业面积合计</t>
    <phoneticPr fontId="144" type="noConversion"/>
  </si>
  <si>
    <t>B1、B3精装公寓</t>
    <phoneticPr fontId="144" type="noConversion"/>
  </si>
  <si>
    <t>B1、B3简装公寓</t>
    <phoneticPr fontId="144" type="noConversion"/>
  </si>
  <si>
    <t>二期商业（全部未售）</t>
    <phoneticPr fontId="4" type="noConversion"/>
  </si>
  <si>
    <t>二期B3#3-6、10、11层精装公寓（未售）</t>
  </si>
  <si>
    <t>二期B3#3-6、10、11层精装公寓（未售）</t>
    <phoneticPr fontId="4" type="noConversion"/>
  </si>
  <si>
    <t>二期B1#、B3#简装公寓（未售）</t>
  </si>
  <si>
    <t>二期B1#、B3#简装公寓（未售）</t>
    <phoneticPr fontId="4" type="noConversion"/>
  </si>
  <si>
    <r>
      <rPr>
        <sz val="10"/>
        <color indexed="8"/>
        <rFont val="宋体"/>
        <family val="3"/>
        <charset val="134"/>
      </rPr>
      <t>二期</t>
    </r>
    <r>
      <rPr>
        <sz val="10"/>
        <color indexed="8"/>
        <rFont val="Arial"/>
        <family val="2"/>
      </rPr>
      <t>B2#</t>
    </r>
    <r>
      <rPr>
        <sz val="10"/>
        <color indexed="8"/>
        <rFont val="宋体"/>
        <family val="3"/>
        <charset val="134"/>
      </rPr>
      <t>办公（未售）</t>
    </r>
    <phoneticPr fontId="4" type="noConversion"/>
  </si>
  <si>
    <t>其余地上（已售）</t>
    <phoneticPr fontId="4" type="noConversion"/>
  </si>
  <si>
    <t>其余地下（已售）</t>
    <phoneticPr fontId="4" type="noConversion"/>
  </si>
  <si>
    <t>办公部分</t>
    <phoneticPr fontId="144" type="noConversion"/>
  </si>
  <si>
    <t>3-15层</t>
    <phoneticPr fontId="144" type="noConversion"/>
  </si>
  <si>
    <t>地上合计</t>
    <phoneticPr fontId="144" type="noConversion"/>
  </si>
  <si>
    <t>二期B2#办公（未售）</t>
  </si>
  <si>
    <t>有</t>
    <phoneticPr fontId="144" type="noConversion"/>
  </si>
  <si>
    <t>无</t>
    <phoneticPr fontId="144" type="noConversion"/>
  </si>
  <si>
    <t>已全部缴纳</t>
  </si>
  <si>
    <t>商业办公</t>
  </si>
  <si>
    <t>商业办公</t>
    <phoneticPr fontId="32"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</si>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</sst>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宋体"/>
      <family val="3"/>
      <charset val="134"/>
      <scheme val="minor"/>
    </font>
    <font>
      <sz val="11"/>
      <name val="楷体_GB2312"/>
      <family val="3"/>
      <charset val="134"/>
    </font>
    <font>
      <sz val="11"/>
      <color indexed="8"/>
      <name val="仿宋_GB2312"/>
      <family val="3"/>
      <charset val="134"/>
    </font>
    <font>
      <sz val="9"/>
      <color rgb="FF78B43C"/>
      <name val="微软雅黑"/>
      <family val="2"/>
      <charset val="134"/>
    </font>
    <font>
      <sz val="11"/>
      <color rgb="FF31313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
      <patternFill patternType="solid">
        <fgColor rgb="FFFFC000"/>
        <bgColor indexed="64"/>
      </patternFill>
    </fill>
    <fill>
      <patternFill patternType="solid">
        <fgColor theme="2" tint="-9.9978637043366805E-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alignment wrapText="1"/>
    </xf>
    <xf numFmtId="0" fontId="38" fillId="0" borderId="0">
      <alignment vertical="center"/>
    </xf>
    <xf numFmtId="0" fontId="57" fillId="0" borderId="0"/>
    <xf numFmtId="197" fontId="38" fillId="0" borderId="0" applyFont="0" applyFill="0" applyBorder="0" applyAlignment="0" applyProtection="0">
      <alignment vertical="center"/>
    </xf>
  </cellStyleXfs>
  <cellXfs count="34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protection locked="0"/>
    </xf>
    <xf numFmtId="0" fontId="0" fillId="0" borderId="1" xfId="0" applyBorder="1" applyAlignment="1">
      <alignment horizontal="left" vertical="center"/>
    </xf>
    <xf numFmtId="0" fontId="100" fillId="0" borderId="1" xfId="0" applyFont="1" applyBorder="1" applyAlignment="1">
      <alignment horizontal="left" vertical="center"/>
    </xf>
    <xf numFmtId="0" fontId="114" fillId="0" borderId="1" xfId="0" applyFont="1" applyBorder="1" applyAlignment="1">
      <alignment horizontal="left" vertical="center" wrapText="1"/>
    </xf>
    <xf numFmtId="0" fontId="255" fillId="0" borderId="1" xfId="0" applyFont="1" applyBorder="1" applyAlignment="1">
      <alignment horizontal="left" vertical="center" wrapText="1"/>
    </xf>
    <xf numFmtId="0" fontId="100" fillId="0" borderId="1" xfId="0" applyFont="1" applyBorder="1">
      <alignment vertical="center"/>
    </xf>
    <xf numFmtId="0" fontId="0" fillId="0" borderId="1" xfId="0" applyBorder="1">
      <alignment vertical="center"/>
    </xf>
    <xf numFmtId="0" fontId="101" fillId="0" borderId="1" xfId="0" applyFont="1" applyBorder="1">
      <alignment vertical="center"/>
    </xf>
    <xf numFmtId="0" fontId="114" fillId="0" borderId="1" xfId="0" applyFont="1" applyFill="1" applyBorder="1" applyAlignment="1">
      <alignment horizontal="left" vertical="center" wrapText="1"/>
    </xf>
    <xf numFmtId="0" fontId="114" fillId="0" borderId="0" xfId="0" applyFont="1" applyFill="1" applyBorder="1" applyAlignment="1">
      <alignment horizontal="left" vertical="center" wrapText="1"/>
    </xf>
    <xf numFmtId="177" fontId="81" fillId="0" borderId="1" xfId="1" applyNumberFormat="1" applyFont="1" applyFill="1" applyBorder="1" applyAlignment="1" applyProtection="1">
      <alignment vertical="center"/>
      <protection locked="0" hidden="1"/>
    </xf>
    <xf numFmtId="0" fontId="123" fillId="6" borderId="0" xfId="0" applyFont="1" applyFill="1" applyAlignment="1" applyProtection="1">
      <alignment horizontal="lef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258" fillId="0" borderId="0" xfId="0" applyFont="1" applyAlignment="1">
      <alignment horizontal="center" vertical="center" wrapText="1"/>
    </xf>
    <xf numFmtId="0" fontId="259" fillId="17" borderId="156" xfId="0" applyFont="1" applyFill="1" applyBorder="1" applyAlignment="1">
      <alignment horizontal="center"/>
    </xf>
    <xf numFmtId="0" fontId="259" fillId="17" borderId="157" xfId="0" applyFont="1" applyFill="1" applyBorder="1" applyAlignment="1">
      <alignment horizontal="center"/>
    </xf>
    <xf numFmtId="0" fontId="184" fillId="0" borderId="0" xfId="0" applyFont="1" applyAlignment="1">
      <alignment horizontal="left" vertical="center" wrapText="1"/>
    </xf>
    <xf numFmtId="0" fontId="184" fillId="0" borderId="158" xfId="0" applyFont="1" applyBorder="1" applyAlignment="1">
      <alignment horizontal="right" vertical="center" wrapText="1"/>
    </xf>
    <xf numFmtId="0" fontId="184" fillId="18" borderId="0" xfId="0" applyFont="1" applyFill="1" applyAlignment="1">
      <alignment horizontal="left" vertical="center" wrapText="1"/>
    </xf>
    <xf numFmtId="0" fontId="184" fillId="18" borderId="158" xfId="0" applyFont="1" applyFill="1" applyBorder="1" applyAlignment="1">
      <alignment horizontal="right" vertical="center" wrapText="1"/>
    </xf>
    <xf numFmtId="0" fontId="184" fillId="19" borderId="0" xfId="0" applyFont="1" applyFill="1" applyAlignment="1">
      <alignment horizontal="left" vertical="center" wrapText="1"/>
    </xf>
    <xf numFmtId="0" fontId="184" fillId="19" borderId="158" xfId="0" applyFont="1" applyFill="1" applyBorder="1" applyAlignment="1">
      <alignment horizontal="right" vertical="center" wrapText="1"/>
    </xf>
    <xf numFmtId="49" fontId="48" fillId="20" borderId="41" xfId="0" applyNumberFormat="1" applyFont="1" applyFill="1" applyBorder="1" applyAlignment="1" applyProtection="1">
      <alignment horizontal="center" vertical="center" wrapText="1"/>
      <protection locked="0"/>
    </xf>
    <xf numFmtId="0" fontId="48" fillId="20" borderId="24" xfId="0" applyNumberFormat="1" applyFont="1" applyFill="1" applyBorder="1" applyAlignment="1" applyProtection="1">
      <alignment horizontal="center" vertical="center" wrapText="1"/>
    </xf>
    <xf numFmtId="0" fontId="100" fillId="0" borderId="0" xfId="0" applyFont="1" applyBorder="1">
      <alignment vertical="center"/>
    </xf>
    <xf numFmtId="0" fontId="100" fillId="0" borderId="0" xfId="0" applyFont="1" applyFill="1" applyBorder="1" applyAlignment="1">
      <alignment horizontal="left" vertical="center" wrapText="1"/>
    </xf>
    <xf numFmtId="0" fontId="0" fillId="0" borderId="0" xfId="0" applyBorder="1">
      <alignment vertical="center"/>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176" fontId="51" fillId="21" borderId="1" xfId="0" applyNumberFormat="1" applyFont="1" applyFill="1" applyBorder="1" applyAlignment="1" applyProtection="1">
      <alignment vertical="center" wrapText="1"/>
      <protection locked="0"/>
    </xf>
    <xf numFmtId="184" fontId="65" fillId="21" borderId="1" xfId="0" applyNumberFormat="1" applyFont="1" applyFill="1" applyBorder="1" applyAlignment="1" applyProtection="1">
      <alignment horizontal="center" vertical="center" shrinkToFit="1"/>
      <protection locked="0"/>
    </xf>
    <xf numFmtId="177" fontId="65" fillId="21" borderId="1" xfId="1" applyNumberFormat="1" applyFont="1" applyFill="1" applyBorder="1" applyAlignment="1" applyProtection="1">
      <alignment horizontal="center" vertical="center"/>
      <protection locked="0"/>
    </xf>
    <xf numFmtId="177" fontId="48" fillId="21" borderId="5" xfId="1" applyNumberFormat="1" applyFont="1" applyFill="1" applyBorder="1" applyAlignment="1" applyProtection="1">
      <alignment vertical="center"/>
      <protection locked="0"/>
    </xf>
    <xf numFmtId="0" fontId="58" fillId="21" borderId="24" xfId="1" applyFont="1" applyFill="1" applyBorder="1" applyAlignment="1" applyProtection="1">
      <alignment horizontal="left" vertical="center"/>
      <protection locked="0"/>
    </xf>
    <xf numFmtId="0" fontId="149" fillId="21" borderId="24" xfId="1" applyFont="1" applyFill="1" applyBorder="1" applyAlignment="1" applyProtection="1">
      <alignment horizontal="right" vertical="center"/>
      <protection locked="0"/>
    </xf>
    <xf numFmtId="0" fontId="57" fillId="21" borderId="49" xfId="1" applyNumberFormat="1" applyFont="1" applyFill="1" applyBorder="1" applyAlignment="1" applyProtection="1">
      <alignment horizontal="center" vertical="center"/>
      <protection locked="0"/>
    </xf>
    <xf numFmtId="181" fontId="48" fillId="21" borderId="24" xfId="0" applyNumberFormat="1" applyFont="1" applyFill="1" applyBorder="1" applyAlignment="1" applyProtection="1">
      <alignment vertical="center"/>
      <protection locked="0"/>
    </xf>
    <xf numFmtId="0" fontId="57" fillId="21" borderId="0" xfId="0" applyFont="1" applyFill="1" applyBorder="1" applyAlignment="1" applyProtection="1">
      <alignment horizontal="center" vertical="center"/>
      <protection locked="0"/>
    </xf>
    <xf numFmtId="49" fontId="55" fillId="21" borderId="23" xfId="0" applyNumberFormat="1" applyFont="1" applyFill="1" applyBorder="1" applyAlignment="1" applyProtection="1">
      <alignment horizontal="center" vertical="center" wrapText="1"/>
      <protection locked="0"/>
    </xf>
    <xf numFmtId="0" fontId="66" fillId="21" borderId="88" xfId="0" applyFont="1" applyFill="1" applyBorder="1" applyAlignment="1" applyProtection="1">
      <alignment vertical="center"/>
      <protection locked="0"/>
    </xf>
    <xf numFmtId="0" fontId="51" fillId="6" borderId="16" xfId="0" applyFont="1" applyFill="1" applyBorder="1" applyAlignment="1" applyProtection="1">
      <alignment vertical="center"/>
      <protection locked="0"/>
    </xf>
    <xf numFmtId="0" fontId="51" fillId="6" borderId="19" xfId="0" applyFont="1" applyFill="1" applyBorder="1" applyAlignment="1" applyProtection="1">
      <alignment vertical="center"/>
      <protection locked="0"/>
    </xf>
    <xf numFmtId="0" fontId="81" fillId="6" borderId="19" xfId="0" applyFont="1" applyFill="1" applyBorder="1" applyAlignment="1" applyProtection="1">
      <alignment vertical="center"/>
      <protection locked="0"/>
    </xf>
    <xf numFmtId="0" fontId="51" fillId="6" borderId="31"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51" fillId="6" borderId="0" xfId="0" applyFont="1" applyFill="1" applyBorder="1" applyAlignment="1" applyProtection="1">
      <alignment vertical="center"/>
      <protection locked="0"/>
    </xf>
    <xf numFmtId="0" fontId="51" fillId="6" borderId="56" xfId="0" applyFont="1" applyFill="1" applyBorder="1" applyAlignment="1" applyProtection="1">
      <alignment vertical="center"/>
      <protection locked="0"/>
    </xf>
    <xf numFmtId="0" fontId="51" fillId="6" borderId="42" xfId="0" applyFont="1" applyFill="1" applyBorder="1" applyAlignment="1" applyProtection="1">
      <alignment vertical="center"/>
      <protection locked="0"/>
    </xf>
    <xf numFmtId="0" fontId="51" fillId="6" borderId="47" xfId="0" applyFont="1" applyFill="1" applyBorder="1" applyAlignment="1" applyProtection="1">
      <alignment vertical="center"/>
      <protection locked="0"/>
    </xf>
    <xf numFmtId="0" fontId="51" fillId="6" borderId="43" xfId="0" applyFont="1" applyFill="1" applyBorder="1" applyAlignment="1" applyProtection="1">
      <alignment vertical="center"/>
      <protection locked="0"/>
    </xf>
    <xf numFmtId="0" fontId="51" fillId="6" borderId="16" xfId="0" applyFont="1" applyFill="1" applyBorder="1" applyAlignment="1" applyProtection="1">
      <alignment horizontal="center" vertical="center"/>
      <protection locked="0"/>
    </xf>
    <xf numFmtId="0" fontId="84" fillId="0" borderId="159" xfId="13" applyFont="1" applyFill="1" applyBorder="1" applyAlignment="1">
      <alignment horizontal="center" vertical="top" wrapText="1"/>
    </xf>
    <xf numFmtId="0" fontId="84" fillId="0" borderId="160" xfId="13" applyFont="1" applyFill="1" applyBorder="1" applyAlignment="1">
      <alignment horizontal="center" vertical="top" wrapText="1"/>
    </xf>
    <xf numFmtId="0" fontId="81" fillId="0" borderId="161" xfId="13" applyFont="1" applyFill="1" applyBorder="1" applyAlignment="1">
      <alignment vertical="top" wrapText="1"/>
    </xf>
    <xf numFmtId="0" fontId="81" fillId="0" borderId="162" xfId="13" applyFont="1" applyFill="1" applyBorder="1" applyAlignment="1">
      <alignment vertical="top" wrapText="1"/>
    </xf>
    <xf numFmtId="0" fontId="81" fillId="0" borderId="163" xfId="13" applyFont="1" applyFill="1" applyBorder="1" applyAlignment="1">
      <alignment vertical="top" wrapText="1"/>
    </xf>
    <xf numFmtId="0" fontId="145" fillId="22" borderId="0" xfId="14" applyFont="1" applyFill="1" applyAlignment="1">
      <alignment vertical="center"/>
    </xf>
    <xf numFmtId="0" fontId="58" fillId="22" borderId="0" xfId="15" applyFont="1" applyFill="1" applyAlignment="1"/>
    <xf numFmtId="0" fontId="38" fillId="0" borderId="0" xfId="14" applyAlignment="1">
      <alignment horizontal="center" vertical="center"/>
    </xf>
    <xf numFmtId="0" fontId="38" fillId="0" borderId="0" xfId="14">
      <alignment vertical="center"/>
    </xf>
    <xf numFmtId="0" fontId="57" fillId="0" borderId="0" xfId="15"/>
    <xf numFmtId="0" fontId="20" fillId="0" borderId="0" xfId="14" applyFont="1" applyAlignment="1">
      <alignment horizontal="center" vertical="center"/>
    </xf>
    <xf numFmtId="0" fontId="38" fillId="0" borderId="0" xfId="14" applyFill="1">
      <alignment vertical="center"/>
    </xf>
    <xf numFmtId="0" fontId="57" fillId="0" borderId="0" xfId="15" applyFill="1"/>
    <xf numFmtId="0" fontId="20" fillId="0" borderId="0" xfId="14" applyFont="1" applyFill="1" applyAlignment="1">
      <alignment horizontal="center" vertical="center"/>
    </xf>
    <xf numFmtId="197" fontId="203" fillId="0" borderId="0" xfId="16" applyFont="1">
      <alignment vertical="center"/>
    </xf>
    <xf numFmtId="0" fontId="20" fillId="0" borderId="0" xfId="14" applyFont="1" applyAlignment="1"/>
    <xf numFmtId="0" fontId="85" fillId="22" borderId="0" xfId="14" applyFont="1" applyFill="1" applyAlignment="1">
      <alignment horizontal="center"/>
    </xf>
    <xf numFmtId="0" fontId="20" fillId="0" borderId="0" xfId="14" applyFont="1" applyFill="1" applyAlignment="1"/>
    <xf numFmtId="0" fontId="20" fillId="0" borderId="0" xfId="14" applyFont="1" applyFill="1" applyAlignment="1">
      <alignment horizontal="center"/>
    </xf>
    <xf numFmtId="0" fontId="20" fillId="0" borderId="0" xfId="14" applyFont="1" applyAlignment="1">
      <alignment horizontal="center"/>
    </xf>
    <xf numFmtId="0" fontId="203" fillId="0" borderId="0" xfId="14" applyFont="1" applyAlignment="1"/>
    <xf numFmtId="197" fontId="20" fillId="0" borderId="0" xfId="14" applyNumberFormat="1" applyFont="1" applyAlignment="1"/>
    <xf numFmtId="43" fontId="20" fillId="0" borderId="0" xfId="14" applyNumberFormat="1" applyFont="1" applyAlignment="1"/>
    <xf numFmtId="0" fontId="38" fillId="0" borderId="0" xfId="14" applyAlignment="1">
      <alignment vertical="center" wrapText="1"/>
    </xf>
    <xf numFmtId="0" fontId="255" fillId="0" borderId="1" xfId="0" applyFont="1" applyBorder="1" applyAlignment="1">
      <alignment horizontal="left" vertical="center"/>
    </xf>
    <xf numFmtId="0" fontId="38" fillId="5" borderId="0" xfId="14" applyFill="1" applyAlignment="1">
      <alignment vertical="center" wrapText="1"/>
    </xf>
    <xf numFmtId="0" fontId="38" fillId="5" borderId="0" xfId="14" applyFill="1">
      <alignment vertical="center"/>
    </xf>
    <xf numFmtId="0" fontId="38" fillId="9" borderId="0" xfId="14" applyFill="1" applyAlignment="1">
      <alignment vertical="center" wrapText="1"/>
    </xf>
    <xf numFmtId="43" fontId="38" fillId="0" borderId="0" xfId="14" applyNumberFormat="1">
      <alignment vertical="center"/>
    </xf>
    <xf numFmtId="0" fontId="81" fillId="0" borderId="1" xfId="0" applyFont="1" applyBorder="1" applyAlignment="1" applyProtection="1">
      <alignment horizontal="left" vertical="center" wrapText="1"/>
      <protection locked="0"/>
    </xf>
    <xf numFmtId="0" fontId="51" fillId="0" borderId="1"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176" fontId="48" fillId="21" borderId="1" xfId="0" applyNumberFormat="1" applyFont="1" applyFill="1" applyBorder="1" applyAlignment="1" applyProtection="1">
      <alignment vertical="center" wrapText="1"/>
      <protection locked="0"/>
    </xf>
    <xf numFmtId="0" fontId="0" fillId="21" borderId="0" xfId="0" applyFill="1">
      <alignment vertical="center"/>
    </xf>
    <xf numFmtId="0" fontId="99" fillId="0" borderId="37" xfId="0" applyNumberFormat="1" applyFont="1" applyFill="1" applyBorder="1" applyAlignment="1" applyProtection="1">
      <alignment horizontal="center" vertical="center" wrapText="1"/>
      <protection locked="0"/>
    </xf>
    <xf numFmtId="0" fontId="20" fillId="21" borderId="0" xfId="14" applyFont="1" applyFill="1" applyAlignment="1"/>
    <xf numFmtId="0" fontId="48" fillId="21" borderId="5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5" xfId="0" applyFont="1" applyBorder="1" applyAlignment="1">
      <alignment horizontal="center" vertical="center" wrapText="1"/>
    </xf>
    <xf numFmtId="0" fontId="114" fillId="0" borderId="54" xfId="0" applyFont="1" applyBorder="1" applyAlignment="1">
      <alignment horizontal="center" vertical="center" wrapText="1"/>
    </xf>
    <xf numFmtId="0" fontId="114" fillId="0" borderId="3"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7" fontId="51" fillId="21" borderId="1" xfId="1" applyNumberFormat="1" applyFont="1" applyFill="1" applyBorder="1" applyAlignment="1" applyProtection="1">
      <alignment horizontal="center" vertical="center"/>
      <protection locked="0"/>
    </xf>
    <xf numFmtId="181" fontId="48" fillId="21" borderId="1" xfId="0" applyNumberFormat="1" applyFont="1" applyFill="1" applyBorder="1" applyAlignment="1" applyProtection="1">
      <alignment vertical="center"/>
      <protection locked="0"/>
    </xf>
    <xf numFmtId="0" fontId="55" fillId="21" borderId="78" xfId="0" applyNumberFormat="1" applyFont="1" applyFill="1" applyBorder="1" applyAlignment="1" applyProtection="1">
      <alignment horizontal="center" vertical="center" wrapText="1"/>
      <protection locked="0"/>
    </xf>
    <xf numFmtId="176" fontId="48" fillId="21" borderId="24" xfId="1" applyNumberFormat="1" applyFont="1" applyFill="1" applyBorder="1" applyAlignment="1" applyProtection="1">
      <alignment horizontal="center" vertical="center"/>
      <protection locked="0"/>
    </xf>
    <xf numFmtId="9" fontId="51" fillId="21" borderId="5" xfId="0" applyNumberFormat="1" applyFont="1" applyFill="1" applyBorder="1" applyAlignment="1" applyProtection="1">
      <alignment horizontal="center" vertical="center"/>
      <protection locked="0"/>
    </xf>
    <xf numFmtId="9" fontId="48" fillId="21" borderId="5" xfId="0" applyNumberFormat="1" applyFont="1" applyFill="1" applyBorder="1" applyAlignment="1" applyProtection="1">
      <alignment horizontal="center" vertical="center"/>
      <protection locked="0"/>
    </xf>
    <xf numFmtId="49" fontId="55" fillId="21" borderId="7" xfId="0" applyNumberFormat="1" applyFont="1" applyFill="1" applyBorder="1" applyAlignment="1" applyProtection="1">
      <alignment horizontal="center" vertical="center" wrapText="1"/>
      <protection locked="0"/>
    </xf>
    <xf numFmtId="49" fontId="55" fillId="21" borderId="41" xfId="0" applyNumberFormat="1" applyFont="1" applyFill="1" applyBorder="1" applyAlignment="1" applyProtection="1">
      <alignment horizontal="center" vertical="center" wrapText="1"/>
      <protection locked="0"/>
    </xf>
    <xf numFmtId="0" fontId="48" fillId="21" borderId="69" xfId="0" applyNumberFormat="1" applyFont="1" applyFill="1" applyBorder="1" applyAlignment="1" applyProtection="1">
      <alignment horizontal="center" vertical="center" wrapText="1"/>
      <protection locked="0"/>
    </xf>
    <xf numFmtId="0" fontId="55" fillId="21" borderId="7" xfId="0" applyNumberFormat="1" applyFont="1" applyFill="1" applyBorder="1" applyAlignment="1" applyProtection="1">
      <alignment horizontal="center" vertical="center" wrapText="1"/>
      <protection locked="0"/>
    </xf>
    <xf numFmtId="0" fontId="55" fillId="21" borderId="41" xfId="0" applyNumberFormat="1" applyFont="1" applyFill="1" applyBorder="1" applyAlignment="1" applyProtection="1">
      <alignment horizontal="center" vertical="center" wrapText="1"/>
      <protection locked="0"/>
    </xf>
    <xf numFmtId="181" fontId="56" fillId="21" borderId="61" xfId="0" applyNumberFormat="1" applyFont="1" applyFill="1" applyBorder="1" applyAlignment="1" applyProtection="1">
      <alignment horizontal="center" vertical="center"/>
      <protection locked="0"/>
    </xf>
    <xf numFmtId="181" fontId="51" fillId="21" borderId="10" xfId="0" applyNumberFormat="1" applyFont="1" applyFill="1" applyBorder="1" applyAlignment="1" applyProtection="1">
      <alignment horizontal="center" vertical="center"/>
      <protection locked="0"/>
    </xf>
    <xf numFmtId="0" fontId="62" fillId="21" borderId="72" xfId="0" applyNumberFormat="1" applyFont="1" applyFill="1" applyBorder="1" applyAlignment="1" applyProtection="1">
      <alignment horizontal="center" vertical="center" wrapText="1"/>
      <protection locked="0"/>
    </xf>
    <xf numFmtId="186" fontId="51" fillId="21" borderId="1" xfId="0" applyNumberFormat="1" applyFont="1" applyFill="1" applyBorder="1" applyAlignment="1" applyProtection="1">
      <alignment horizontal="center" vertical="center"/>
      <protection locked="0"/>
    </xf>
    <xf numFmtId="181" fontId="56" fillId="21" borderId="24" xfId="0" applyNumberFormat="1" applyFont="1" applyFill="1" applyBorder="1" applyAlignment="1" applyProtection="1">
      <alignment horizontal="center" vertical="center"/>
    </xf>
    <xf numFmtId="0" fontId="65" fillId="21" borderId="3" xfId="0" applyNumberFormat="1" applyFont="1" applyFill="1" applyBorder="1" applyAlignment="1" applyProtection="1">
      <alignment horizontal="center" vertical="center" wrapText="1"/>
      <protection locked="0"/>
    </xf>
    <xf numFmtId="0" fontId="48" fillId="21" borderId="10" xfId="0" applyNumberFormat="1" applyFont="1" applyFill="1" applyBorder="1" applyAlignment="1" applyProtection="1">
      <alignment horizontal="center" vertical="center" wrapText="1"/>
    </xf>
    <xf numFmtId="0" fontId="55" fillId="21" borderId="2" xfId="0" applyNumberFormat="1" applyFont="1" applyFill="1" applyBorder="1" applyAlignment="1" applyProtection="1">
      <alignment horizontal="center" vertical="center" wrapText="1"/>
    </xf>
    <xf numFmtId="0" fontId="55" fillId="21" borderId="1" xfId="0" applyNumberFormat="1" applyFont="1" applyFill="1" applyBorder="1" applyAlignment="1" applyProtection="1">
      <alignment horizontal="center" vertical="center" wrapText="1"/>
      <protection locked="0"/>
    </xf>
  </cellXfs>
  <cellStyles count="17">
    <cellStyle name="常规" xfId="0" builtinId="0"/>
    <cellStyle name="常规 10" xfId="13"/>
    <cellStyle name="常规 11" xfId="14"/>
    <cellStyle name="常规 16" xfId="10"/>
    <cellStyle name="常规 2" xfId="1"/>
    <cellStyle name="常规 2 2" xfId="8"/>
    <cellStyle name="常规 2 3" xfId="15"/>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6"/>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21830;&#19994;&#37096;&#20998;&#21487;&#21806;&#24773;&#20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编B-1栋"/>
      <sheetName val="自编B-2栋"/>
      <sheetName val="自编B-3栋"/>
      <sheetName val="面积"/>
    </sheetNames>
    <sheetDataSet>
      <sheetData sheetId="0">
        <row r="559">
          <cell r="D559">
            <v>27289.37320000014</v>
          </cell>
        </row>
      </sheetData>
      <sheetData sheetId="1">
        <row r="481">
          <cell r="D481">
            <v>34121.704500000094</v>
          </cell>
        </row>
      </sheetData>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7.bin"/><Relationship Id="rId1" Type="http://schemas.openxmlformats.org/officeDocument/2006/relationships/hyperlink" Target="javascript:top.main.DataEdit('44',20);" TargetMode="External"/><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9" sqref="B3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广东省广州市天河区元岗路粤隆客车厂地块1、地块2出让国有建设用地使用权及在建建筑物房地产抵押价值预评估</v>
      </c>
    </row>
    <row r="3" spans="1:2" s="1592" customFormat="1">
      <c r="A3" s="1590" t="s">
        <v>1221</v>
      </c>
      <c r="B3" s="1591" t="str">
        <f>'预评函-封皮'!B40</f>
        <v>广东粤财信托有限公司</v>
      </c>
    </row>
    <row r="4" spans="1:2" s="1592" customFormat="1">
      <c r="A4" s="1590" t="s">
        <v>1222</v>
      </c>
      <c r="B4" s="1591" t="str">
        <f ca="1">'预评函-封皮'!B46</f>
        <v>王鹏（注册号：1120050019)、郑燚（注册号：1120070131)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受贵公司委托，我公司对广东省广州市天河区元岗路粤隆客车厂地块1、地块2出让国有建设用地使用权及在建建筑物房地产抵押价值进行了预评估。</v>
      </c>
    </row>
    <row r="7" spans="1:2" s="1592" customFormat="1">
      <c r="A7" s="1590" t="s">
        <v>1264</v>
      </c>
      <c r="B7" s="1591" t="str">
        <f>'预评函-1'!A7</f>
        <v>估价对象为广东省广州市天河区元岗路粤隆客车厂地块1、地块2出让国有建设用地使用权及在建建筑物房地产，为广州市远翔房地产开发有限公司所有。根据《国有土地使用证》[]，估价对象（分摊）出让国有建设用地使用权面积为11089.73平方米，建筑面积为73865.87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广东省广州市天河区元岗路粤隆客车厂地块1、地块2出让国有建设用地使用权及在建建筑物房地产,属广州市远翔房地产开发有限公司开发建设的，该项目尚在开发建设中。根据《国有土地使用证》[]，估价对象（分摊）出让国有建设用地使用权面积为11089.73平方米，规划建筑面积为73865.87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2018年8月9日（评估专业人员实地查勘之日）</v>
      </c>
    </row>
    <row r="13" spans="1:2" s="1592" customFormat="1">
      <c r="A13" s="1590" t="s">
        <v>1227</v>
      </c>
      <c r="B13" s="1591" t="str">
        <f>'预评函-1'!A18</f>
        <v>本次估价的“房地产价值”是指在正常市场情况下，在价值时点2018年8月9日，估价对象规划用途为，土地取得方式为出让，出让国有建设用地使用权剩余土地使用年限为住宅67.01年、商业36.99年，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住宅67.01年、商业36.99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140574</v>
      </c>
    </row>
    <row r="21" spans="1:2" s="1592" customFormat="1">
      <c r="A21" s="1590" t="s">
        <v>1235</v>
      </c>
      <c r="B21" s="1591">
        <f ca="1">'预评函-2'!D7</f>
        <v>19031</v>
      </c>
    </row>
    <row r="22" spans="1:2" s="1592" customFormat="1">
      <c r="A22" s="1590" t="s">
        <v>1236</v>
      </c>
      <c r="B22" s="1591" t="str">
        <f ca="1">'预评函-2'!D6</f>
        <v>壹拾肆亿零伍佰柒拾肆万元整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140574</v>
      </c>
    </row>
    <row r="31" spans="1:2" s="1592" customFormat="1">
      <c r="A31" s="1590" t="s">
        <v>1274</v>
      </c>
      <c r="B31" s="1591">
        <f ca="1">'预评函-2'!D15</f>
        <v>19031</v>
      </c>
    </row>
    <row r="32" spans="1:2" s="1592" customFormat="1">
      <c r="A32" s="1590" t="s">
        <v>1241</v>
      </c>
      <c r="B32" s="1591" t="str">
        <f ca="1">'预评函-2'!D14</f>
        <v>壹拾肆亿零伍佰柒拾肆万元整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广东省广州市天河区元岗路粤隆客车厂地块1、地块2出让国有建设用地使用权及在建建筑物房地产</v>
      </c>
    </row>
    <row r="42" spans="1:2" s="1592" customFormat="1">
      <c r="A42" s="1590" t="s">
        <v>1288</v>
      </c>
      <c r="B42" s="1591" t="str">
        <f>'预评函-3'!B2</f>
        <v>建筑面积</v>
      </c>
    </row>
    <row r="43" spans="1:2" s="1592" customFormat="1">
      <c r="A43" s="1590" t="s">
        <v>1289</v>
      </c>
      <c r="B43" s="1591">
        <f>'预评函-3'!B4</f>
        <v>73865.87</v>
      </c>
    </row>
    <row r="44" spans="1:2" s="1592" customFormat="1">
      <c r="A44" s="1590" t="s">
        <v>1273</v>
      </c>
      <c r="B44" s="1591" t="str">
        <f>'预评函-3'!C2</f>
        <v>(分摊)土地面积</v>
      </c>
    </row>
    <row r="45" spans="1:2" s="1592" customFormat="1">
      <c r="A45" s="1590" t="s">
        <v>1245</v>
      </c>
      <c r="B45" s="1591">
        <f>'预评函-3'!C4</f>
        <v>11089.73</v>
      </c>
    </row>
    <row r="46" spans="1:2" s="1592" customFormat="1">
      <c r="A46" s="1590" t="s">
        <v>1271</v>
      </c>
      <c r="B46" s="1591" t="str">
        <f>'预评函-3'!D2</f>
        <v>出让国有建设用地使用权价值</v>
      </c>
    </row>
    <row r="47" spans="1:2" s="1592" customFormat="1">
      <c r="A47" s="1590" t="s">
        <v>1246</v>
      </c>
      <c r="B47" s="1591">
        <f ca="1">'预评函-3'!D4</f>
        <v>111053</v>
      </c>
    </row>
    <row r="48" spans="1:2" s="1592" customFormat="1">
      <c r="A48" s="1590" t="s">
        <v>1247</v>
      </c>
      <c r="B48" s="1591">
        <f ca="1">'预评函-3'!E4</f>
        <v>15034</v>
      </c>
    </row>
    <row r="49" spans="1:2" s="1592" customFormat="1">
      <c r="A49" s="1590" t="s">
        <v>1248</v>
      </c>
      <c r="B49" s="1591" t="str">
        <f ca="1">'预评函-3'!D5</f>
        <v>壹拾壹亿壹仟零伍拾叁万元整</v>
      </c>
    </row>
    <row r="50" spans="1:2" s="1592" customFormat="1">
      <c r="A50" s="1590" t="s">
        <v>1272</v>
      </c>
      <c r="B50" s="1591" t="str">
        <f>'预评函-3'!F2</f>
        <v>在建建筑物价值</v>
      </c>
    </row>
    <row r="51" spans="1:2" s="1592" customFormat="1">
      <c r="A51" s="1590" t="s">
        <v>1249</v>
      </c>
      <c r="B51" s="1591">
        <f ca="1">'预评函-3'!F4</f>
        <v>29521</v>
      </c>
    </row>
    <row r="52" spans="1:2" s="1592" customFormat="1">
      <c r="A52" s="1590" t="s">
        <v>1250</v>
      </c>
      <c r="B52" s="1591">
        <f ca="1">'预评函-3'!G4</f>
        <v>3997</v>
      </c>
    </row>
    <row r="53" spans="1:2" s="1592" customFormat="1">
      <c r="A53" s="1590" t="s">
        <v>1278</v>
      </c>
      <c r="B53" s="1591" t="str">
        <f ca="1">'预评函-3'!F5</f>
        <v>贰亿玖仟伍佰贰拾壹万元整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王鹏</v>
      </c>
    </row>
    <row r="71" spans="1:2">
      <c r="A71" s="1590" t="s">
        <v>1261</v>
      </c>
      <c r="B71" s="1591">
        <f ca="1">'预评函-4'!B4</f>
        <v>1120050019</v>
      </c>
    </row>
    <row r="72" spans="1:2">
      <c r="A72" s="1590" t="s">
        <v>1262</v>
      </c>
      <c r="B72" s="1599" t="str">
        <f>'预评函-4'!A5</f>
        <v>郑燚</v>
      </c>
    </row>
    <row r="73" spans="1:2" s="1586" customFormat="1" ht="15" thickBot="1">
      <c r="A73" s="1593" t="s">
        <v>1263</v>
      </c>
      <c r="B73" s="1594">
        <f ca="1">'预评函-4'!B5</f>
        <v>1120070131</v>
      </c>
    </row>
    <row r="74" spans="1:2" ht="15" thickTop="1">
      <c r="A74" s="1583" t="s">
        <v>1299</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B19" sqref="B19"/>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3154</v>
      </c>
      <c r="C17" s="2014"/>
    </row>
    <row r="18" spans="1:3">
      <c r="A18" s="2013" t="s">
        <v>1767</v>
      </c>
      <c r="B18" s="2013" t="s">
        <v>3156</v>
      </c>
      <c r="C18" s="2014"/>
    </row>
    <row r="19" spans="1:3">
      <c r="A19" s="2013" t="s">
        <v>1768</v>
      </c>
      <c r="B19" s="2013" t="s">
        <v>3157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10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021" t="s">
        <v>864</v>
      </c>
      <c r="C54" s="2018" t="s">
        <v>1281</v>
      </c>
    </row>
    <row r="55" spans="1:4">
      <c r="A55" s="3100"/>
      <c r="B55" s="2021" t="s">
        <v>865</v>
      </c>
      <c r="C55" s="2018" t="s">
        <v>1282</v>
      </c>
    </row>
    <row r="56" spans="1:4">
      <c r="A56" s="3100"/>
      <c r="B56" s="2021" t="s">
        <v>866</v>
      </c>
      <c r="C56" s="2018" t="s">
        <v>1286</v>
      </c>
    </row>
    <row r="57" spans="1:4">
      <c r="A57" s="3100"/>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1776</v>
      </c>
      <c r="B1" s="3101" t="str">
        <f>IF(B10="北京市","北京市",C10)&amp;F10&amp;IF(结果表!G1="在建","出让国有建设用地使用权及在建建筑物",IF(结果表!G1="土地","出让国有建设用地使用权",))&amp;B9&amp;"预评估"</f>
        <v>广东省广州市天河区元岗路粤隆客车厂地块1、地块2出让国有建设用地使用权及在建建筑物房地产抵押价值预评估</v>
      </c>
      <c r="C1" s="3102"/>
      <c r="D1" s="3102"/>
      <c r="E1" s="3102"/>
      <c r="F1" s="3102"/>
      <c r="G1" s="3102"/>
      <c r="H1" s="3102"/>
      <c r="I1" s="310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广东省广州市天河区元岗路粤隆客车厂地块1、地块2出让国有建设用地使用权及在建建筑物房地产抵押价值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广东省广州市天河区元岗路粤隆客车厂地块1、地块2出让国有建设用地使用权及在建建筑物房地产</v>
      </c>
    </row>
    <row r="3" spans="1:19" ht="18" customHeight="1">
      <c r="A3" s="2034" t="s">
        <v>1778</v>
      </c>
      <c r="B3" s="2035">
        <v>43321</v>
      </c>
      <c r="C3" s="2036" t="s">
        <v>1779</v>
      </c>
      <c r="D3" s="2035">
        <v>43321</v>
      </c>
      <c r="E3" s="2025"/>
      <c r="F3" s="2025"/>
      <c r="G3" s="2025"/>
      <c r="H3" s="2025"/>
      <c r="I3" s="2025"/>
      <c r="J3" s="2025"/>
      <c r="K3" s="2026"/>
      <c r="L3" s="2027"/>
      <c r="M3" s="2027"/>
      <c r="N3" s="2028"/>
      <c r="O3" s="2029"/>
      <c r="P3" s="2028"/>
      <c r="Q3" s="2028"/>
      <c r="R3" s="2028"/>
      <c r="S3" s="2030"/>
    </row>
    <row r="4" spans="1:19" ht="18" customHeight="1" thickBot="1">
      <c r="A4" s="2037" t="s">
        <v>1780</v>
      </c>
      <c r="B4" s="2038" t="s">
        <v>3040</v>
      </c>
      <c r="C4" s="1036">
        <f ca="1">SUMIF(注册房地产估价师,B4,估价师及机构信息!B3:B24)</f>
        <v>1120050019</v>
      </c>
      <c r="D4" s="2038" t="s">
        <v>3041</v>
      </c>
      <c r="E4" s="1037">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1781</v>
      </c>
      <c r="B5" s="2947" t="s">
        <v>3042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1782</v>
      </c>
      <c r="B6" s="2948" t="s">
        <v>3042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1783</v>
      </c>
      <c r="B7" s="2948" t="s">
        <v>3049</v>
      </c>
      <c r="C7" s="2047"/>
      <c r="D7" s="2048"/>
      <c r="E7" s="2033"/>
      <c r="F7" s="2041"/>
      <c r="G7" s="2041"/>
      <c r="H7" s="2041"/>
      <c r="I7" s="2041"/>
      <c r="J7" s="2041"/>
      <c r="K7" s="2050"/>
      <c r="L7" s="2027"/>
      <c r="M7" s="2027"/>
      <c r="N7" s="2028"/>
      <c r="O7" s="2029"/>
      <c r="P7" s="2028"/>
      <c r="Q7" s="2028"/>
      <c r="R7" s="2028"/>
    </row>
    <row r="8" spans="1:19" ht="18" customHeight="1">
      <c r="A8" s="2046" t="s">
        <v>1784</v>
      </c>
      <c r="B8" s="2051" t="s">
        <v>3043</v>
      </c>
      <c r="C8" s="2052"/>
      <c r="D8" s="3104" t="s">
        <v>1785</v>
      </c>
      <c r="E8" s="2053" t="s">
        <v>3044</v>
      </c>
      <c r="F8" s="2054"/>
      <c r="G8" s="2025"/>
      <c r="H8" s="2025"/>
      <c r="I8" s="2025"/>
      <c r="J8" s="2041"/>
      <c r="K8" s="2042"/>
      <c r="L8" s="2027"/>
      <c r="M8" s="2027"/>
      <c r="N8" s="2028"/>
      <c r="O8" s="2029"/>
      <c r="P8" s="2028"/>
      <c r="Q8" s="2028"/>
      <c r="R8" s="2028"/>
    </row>
    <row r="9" spans="1:19" ht="18" customHeight="1" thickBot="1">
      <c r="A9" s="2039" t="s">
        <v>1786</v>
      </c>
      <c r="B9" s="2055" t="s">
        <v>3044</v>
      </c>
      <c r="C9" s="2056"/>
      <c r="D9" s="3105"/>
      <c r="E9" s="2055" t="s">
        <v>70</v>
      </c>
      <c r="F9" s="2057"/>
      <c r="G9" s="2058"/>
      <c r="H9" s="2058"/>
      <c r="I9" s="2058"/>
      <c r="J9" s="2041"/>
      <c r="K9" s="2050"/>
      <c r="L9" s="2027"/>
      <c r="M9" s="2027"/>
      <c r="N9" s="2028"/>
      <c r="O9" s="2029"/>
      <c r="P9" s="2028"/>
      <c r="Q9" s="2028"/>
      <c r="R9" s="2028"/>
    </row>
    <row r="10" spans="1:19" ht="18" customHeight="1" thickTop="1">
      <c r="A10" s="2059" t="s">
        <v>1787</v>
      </c>
      <c r="B10" s="2060" t="s">
        <v>3045</v>
      </c>
      <c r="C10" s="2949" t="s">
        <v>3046</v>
      </c>
      <c r="D10" s="2045"/>
      <c r="E10" s="2061" t="s">
        <v>1788</v>
      </c>
      <c r="F10" s="2062" t="s">
        <v>3047</v>
      </c>
      <c r="G10" s="2063"/>
      <c r="H10" s="2064"/>
      <c r="I10" s="2045"/>
      <c r="J10" s="2041"/>
      <c r="K10" s="2050"/>
      <c r="L10" s="2027"/>
      <c r="M10" s="2027"/>
      <c r="N10" s="2028"/>
      <c r="O10" s="2029"/>
      <c r="P10" s="2028"/>
      <c r="Q10" s="2028"/>
      <c r="R10" s="2028"/>
    </row>
    <row r="11" spans="1:19" ht="18" customHeight="1">
      <c r="A11" s="2065" t="s">
        <v>1789</v>
      </c>
      <c r="B11" s="2066" t="s">
        <v>3048</v>
      </c>
      <c r="C11" s="2950" t="s">
        <v>3049</v>
      </c>
      <c r="D11" s="2067"/>
      <c r="E11" s="2041"/>
      <c r="F11" s="2041"/>
      <c r="G11" s="2041"/>
      <c r="H11" s="2041"/>
      <c r="I11" s="2041"/>
      <c r="J11" s="2041"/>
      <c r="K11" s="2050"/>
      <c r="L11" s="2027"/>
      <c r="M11" s="2027"/>
      <c r="N11" s="2028"/>
      <c r="O11" s="2029"/>
      <c r="P11" s="2028"/>
      <c r="Q11" s="2028"/>
      <c r="R11" s="2028"/>
    </row>
    <row r="12" spans="1:19" ht="18" customHeight="1">
      <c r="A12" s="2068" t="s">
        <v>1790</v>
      </c>
      <c r="B12" s="2066" t="s">
        <v>3050</v>
      </c>
      <c r="C12" s="2069" t="s">
        <v>1791</v>
      </c>
      <c r="D12" s="2070" t="s">
        <v>1792</v>
      </c>
      <c r="E12" s="2070" t="s">
        <v>1793</v>
      </c>
      <c r="F12" s="2070" t="s">
        <v>1794</v>
      </c>
      <c r="G12" s="2070" t="s">
        <v>1795</v>
      </c>
      <c r="H12" s="2070" t="s">
        <v>1796</v>
      </c>
      <c r="I12" s="2070" t="s">
        <v>1797</v>
      </c>
      <c r="J12" s="2041"/>
      <c r="K12" s="2050"/>
      <c r="L12" s="2027"/>
      <c r="M12" s="2027"/>
      <c r="N12" s="2028"/>
      <c r="O12" s="2029"/>
      <c r="P12" s="2028"/>
      <c r="Q12" s="2028"/>
      <c r="R12" s="2028"/>
    </row>
    <row r="13" spans="1:19" ht="18" customHeight="1">
      <c r="A13" s="2071"/>
      <c r="B13" s="2072"/>
      <c r="C13" s="2073" t="s">
        <v>1798</v>
      </c>
      <c r="D13" s="2074">
        <v>67781</v>
      </c>
      <c r="E13" s="2074">
        <v>56823</v>
      </c>
      <c r="F13" s="2074">
        <v>56823</v>
      </c>
      <c r="G13" s="2999">
        <v>56823</v>
      </c>
      <c r="H13" s="2074"/>
      <c r="I13" s="1046"/>
      <c r="J13" s="2041"/>
      <c r="K13" s="2050"/>
      <c r="L13" s="2027"/>
      <c r="M13" s="2027"/>
      <c r="N13" s="2028"/>
      <c r="O13" s="2029"/>
      <c r="P13" s="2028"/>
      <c r="Q13" s="2028"/>
      <c r="R13" s="2028"/>
    </row>
    <row r="14" spans="1:19" ht="18" customHeight="1">
      <c r="A14" s="2071"/>
      <c r="B14" s="2072"/>
      <c r="C14" s="2073" t="s">
        <v>1799</v>
      </c>
      <c r="D14" s="1049">
        <v>70</v>
      </c>
      <c r="E14" s="1049">
        <v>40</v>
      </c>
      <c r="F14" s="1049">
        <v>40</v>
      </c>
      <c r="G14" s="3000">
        <v>40</v>
      </c>
      <c r="H14" s="1049"/>
      <c r="I14" s="1049"/>
      <c r="J14" s="2041"/>
      <c r="K14" s="2075"/>
      <c r="L14" s="2027"/>
      <c r="M14" s="2027"/>
      <c r="N14" s="2028"/>
      <c r="O14" s="2029"/>
      <c r="P14" s="2028"/>
      <c r="Q14" s="2028"/>
      <c r="R14" s="2028"/>
    </row>
    <row r="15" spans="1:19" ht="18" customHeight="1">
      <c r="A15" s="2059"/>
      <c r="B15" s="2076"/>
      <c r="C15" s="2073" t="s">
        <v>1800</v>
      </c>
      <c r="D15" s="1048">
        <f>IF(B12="出让",IF(D13="","",ROUNDDOWN(MIN((D13-$D$3)/365,D14),2)),D14)</f>
        <v>67.010000000000005</v>
      </c>
      <c r="E15" s="1048">
        <f>IF(B12="出让",IF(E13="","",ROUNDDOWN(MIN((E13-$D$3)/365,E14),2)),E14)</f>
        <v>36.99</v>
      </c>
      <c r="F15" s="1048">
        <f>IF(B12="出让",IF(F13="","",ROUNDDOWN(MIN((F13-$D$3)/365,F14),2)),F14)</f>
        <v>36.99</v>
      </c>
      <c r="G15" s="1048">
        <f>IF(B12="出让",IF(G13="","",ROUNDDOWN(MIN((G13-$D$3)/365,G14),2)),G14)</f>
        <v>36.99</v>
      </c>
      <c r="H15" s="1048" t="str">
        <f>IF(B12="出让",IF(H13="","",ROUNDDOWN(MIN((H13-$D$3)/365,H14),2)),H14)</f>
        <v/>
      </c>
      <c r="I15" s="1048" t="str">
        <f>IF(B12="出让",IF(I13="","",ROUNDDOWN(MIN((I13-$D$3)/365,I14),2)),I14)</f>
        <v/>
      </c>
      <c r="J15" s="2041"/>
      <c r="K15" s="2077"/>
      <c r="L15" s="2078"/>
      <c r="M15" s="2078"/>
      <c r="N15" s="2079"/>
      <c r="O15" s="2078"/>
      <c r="P15" s="2079"/>
      <c r="Q15" s="2028"/>
      <c r="R15" s="2028"/>
    </row>
    <row r="16" spans="1:19" ht="30.75" customHeight="1">
      <c r="A16" s="2061" t="s">
        <v>1801</v>
      </c>
      <c r="B16" s="3111"/>
      <c r="C16" s="3112"/>
      <c r="D16" s="3113"/>
      <c r="E16" s="2080" t="s">
        <v>1802</v>
      </c>
      <c r="F16" s="3114" t="s">
        <v>3051</v>
      </c>
      <c r="G16" s="3115"/>
      <c r="H16" s="3115"/>
      <c r="I16" s="3116"/>
      <c r="J16" s="2028"/>
      <c r="K16" s="2077"/>
      <c r="L16" s="2078"/>
      <c r="M16" s="2078"/>
      <c r="N16" s="2079"/>
      <c r="O16" s="2078"/>
      <c r="P16" s="2079"/>
      <c r="Q16" s="2028"/>
      <c r="R16" s="2028"/>
    </row>
    <row r="17" spans="1:22" ht="18" customHeight="1">
      <c r="A17" s="2081" t="s">
        <v>1803</v>
      </c>
      <c r="B17" s="2034" t="s">
        <v>1804</v>
      </c>
      <c r="C17" s="1053">
        <f>'数据-汇总表'!E3</f>
        <v>73865.87</v>
      </c>
      <c r="D17" s="2082" t="s">
        <v>1805</v>
      </c>
      <c r="E17" s="3117" t="s">
        <v>3052</v>
      </c>
      <c r="F17" s="3118"/>
      <c r="G17" s="3118"/>
      <c r="H17" s="3118"/>
      <c r="I17" s="3119"/>
      <c r="J17" s="2028"/>
      <c r="K17" s="2083"/>
      <c r="L17" s="2078"/>
      <c r="M17" s="2078"/>
      <c r="N17" s="2079"/>
      <c r="O17" s="2078"/>
      <c r="P17" s="2079"/>
      <c r="Q17" s="2028"/>
      <c r="R17" s="2028"/>
      <c r="S17" s="2028"/>
      <c r="T17" s="2028"/>
      <c r="U17" s="2028"/>
      <c r="V17" s="2028"/>
    </row>
    <row r="18" spans="1:22" ht="36" customHeight="1" thickBot="1">
      <c r="A18" s="2084" t="s">
        <v>1806</v>
      </c>
      <c r="B18" s="2037" t="s">
        <v>1807</v>
      </c>
      <c r="C18" s="1443">
        <f>'数据-汇总表'!D3</f>
        <v>11089.73</v>
      </c>
      <c r="D18" s="2085" t="s">
        <v>1805</v>
      </c>
      <c r="E18" s="3120" t="s">
        <v>1808</v>
      </c>
      <c r="F18" s="3121"/>
      <c r="G18" s="3121"/>
      <c r="H18" s="3121"/>
      <c r="I18" s="3122"/>
      <c r="J18" s="2028"/>
      <c r="K18" s="2083"/>
      <c r="L18" s="2078"/>
      <c r="M18" s="2078"/>
      <c r="N18" s="2079"/>
      <c r="O18" s="2078"/>
      <c r="P18" s="2079"/>
      <c r="Q18" s="2028"/>
      <c r="R18" s="2028"/>
      <c r="S18" s="2028"/>
      <c r="T18" s="2028"/>
      <c r="U18" s="2028"/>
      <c r="V18" s="2028"/>
    </row>
    <row r="19" spans="1:22" ht="37.5" customHeight="1" thickTop="1" thickBot="1">
      <c r="A19" s="372" t="s">
        <v>1809</v>
      </c>
      <c r="B19" s="351" t="s">
        <v>1810</v>
      </c>
      <c r="C19" s="2086" t="s">
        <v>3053</v>
      </c>
      <c r="D19" s="2087" t="s">
        <v>1811</v>
      </c>
      <c r="E19" s="2088" t="s">
        <v>3053</v>
      </c>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1812</v>
      </c>
      <c r="B20" s="3107" t="s">
        <v>1813</v>
      </c>
      <c r="C20" s="3108"/>
      <c r="D20" s="3109" t="s">
        <v>1814</v>
      </c>
      <c r="E20" s="3110"/>
      <c r="F20" s="2092" t="s">
        <v>1815</v>
      </c>
      <c r="G20" s="2041"/>
      <c r="H20" s="2041"/>
      <c r="I20" s="2041"/>
      <c r="J20" s="2041"/>
      <c r="K20" s="3106" t="s">
        <v>1816</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1817</v>
      </c>
      <c r="C21" s="2094" t="s">
        <v>1818</v>
      </c>
      <c r="D21" s="2095" t="s">
        <v>1819</v>
      </c>
      <c r="E21" s="2096" t="s">
        <v>1818</v>
      </c>
      <c r="F21" s="2097"/>
      <c r="G21" s="2041"/>
      <c r="H21" s="2041"/>
      <c r="I21" s="2041"/>
      <c r="J21" s="2041"/>
      <c r="K21" s="310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79"/>
      <c r="O21" s="2078"/>
      <c r="P21" s="2079"/>
      <c r="Q21" s="2028"/>
      <c r="R21" s="2028"/>
      <c r="S21" s="2028"/>
      <c r="T21" s="2028"/>
      <c r="U21" s="2028"/>
      <c r="V21" s="2028"/>
    </row>
    <row r="22" spans="1:22" ht="24.75" customHeight="1" thickBot="1">
      <c r="A22" s="2091"/>
      <c r="B22" s="2098" t="s">
        <v>1820</v>
      </c>
      <c r="C22" s="2094" t="s">
        <v>1821</v>
      </c>
      <c r="D22" s="2025"/>
      <c r="E22" s="2025"/>
      <c r="F22" s="2099"/>
      <c r="G22" s="2041"/>
      <c r="H22" s="2041"/>
      <c r="I22" s="2041"/>
      <c r="J22" s="2041"/>
      <c r="K22" s="310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1822</v>
      </c>
      <c r="B23" s="182" t="s">
        <v>1823</v>
      </c>
      <c r="C23" s="2101"/>
      <c r="D23" s="2102" t="s">
        <v>1823</v>
      </c>
      <c r="E23" s="2103"/>
      <c r="F23" s="2099"/>
      <c r="G23" s="2041"/>
      <c r="H23" s="2041"/>
      <c r="I23" s="2041"/>
      <c r="J23" s="2041"/>
      <c r="K23" s="2104"/>
      <c r="L23" s="746"/>
      <c r="M23" s="2027"/>
      <c r="N23" s="2079"/>
      <c r="O23" s="2078"/>
      <c r="P23" s="2079"/>
      <c r="Q23" s="2028"/>
      <c r="R23" s="2028"/>
      <c r="S23" s="2028"/>
      <c r="T23" s="2028"/>
      <c r="U23" s="2028"/>
      <c r="V23" s="2028"/>
    </row>
    <row r="24" spans="1:22" ht="18" customHeight="1">
      <c r="A24" s="2105"/>
      <c r="B24" s="182" t="s">
        <v>1824</v>
      </c>
      <c r="C24" s="2106"/>
      <c r="D24" s="2100" t="s">
        <v>1824</v>
      </c>
      <c r="E24" s="2107"/>
      <c r="F24" s="2099"/>
      <c r="G24" s="2041"/>
      <c r="H24" s="2041"/>
      <c r="I24" s="2041"/>
      <c r="J24" s="2041"/>
      <c r="K24" s="2104"/>
      <c r="L24" s="746"/>
      <c r="M24" s="2027"/>
      <c r="N24" s="2079"/>
      <c r="O24" s="2078"/>
      <c r="P24" s="2079"/>
      <c r="Q24" s="2028"/>
      <c r="R24" s="2028"/>
      <c r="S24" s="2028"/>
      <c r="T24" s="2028"/>
      <c r="U24" s="2028"/>
      <c r="V24" s="2028"/>
    </row>
    <row r="25" spans="1:22" ht="18" customHeight="1">
      <c r="A25" s="2105"/>
      <c r="B25" s="182" t="s">
        <v>1825</v>
      </c>
      <c r="C25" s="2106"/>
      <c r="D25" s="2100" t="s">
        <v>1825</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1826</v>
      </c>
      <c r="C26" s="2110"/>
      <c r="D26" s="2111" t="s">
        <v>1827</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124" t="s">
        <v>1828</v>
      </c>
      <c r="B27" s="2059" t="s">
        <v>1829</v>
      </c>
      <c r="C27" s="2114"/>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124"/>
      <c r="B28" s="2034" t="s">
        <v>1830</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124"/>
      <c r="B29" s="2034" t="s">
        <v>1831</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125"/>
      <c r="B30" s="2034" t="s">
        <v>1832</v>
      </c>
      <c r="C30" s="3126"/>
      <c r="D30" s="312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128" t="s">
        <v>1833</v>
      </c>
      <c r="B31" s="2121"/>
      <c r="C31" s="2122" t="str">
        <f>IF(B31="现房","成新及维护状况正常否",IF(B31="在建","工程状态是否正常",IF(B31="土地","是否闲置","-")))</f>
        <v>-</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129"/>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129"/>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1834</v>
      </c>
      <c r="B34" s="2128"/>
      <c r="C34" s="2128"/>
      <c r="D34" s="2128"/>
      <c r="E34" s="2128"/>
      <c r="F34" s="2128"/>
      <c r="G34" s="2128"/>
      <c r="H34" s="2128"/>
      <c r="I34" s="2041"/>
      <c r="J34" s="2041"/>
      <c r="K34" s="1794">
        <f>COUNTIF(B34:H34,"——")</f>
        <v>0</v>
      </c>
      <c r="L34" s="2069" t="s">
        <v>1835</v>
      </c>
      <c r="M34" s="2069" t="s">
        <v>1836</v>
      </c>
      <c r="N34" s="2069" t="s">
        <v>1837</v>
      </c>
      <c r="O34" s="2069" t="s">
        <v>1838</v>
      </c>
      <c r="P34" s="2069" t="s">
        <v>1839</v>
      </c>
      <c r="Q34" s="2069" t="s">
        <v>1840</v>
      </c>
      <c r="R34" s="2069" t="s">
        <v>1841</v>
      </c>
      <c r="S34" s="3123" t="s">
        <v>1842</v>
      </c>
      <c r="T34" s="2129" t="str">
        <f>NUMBERSTRING(7-K34,1)&amp;"通"</f>
        <v>七通</v>
      </c>
      <c r="U34" s="2028"/>
      <c r="V34" s="2028"/>
    </row>
    <row r="35" spans="1:22" ht="18" customHeight="1">
      <c r="A35" s="2130"/>
      <c r="B35" s="3130" t="s">
        <v>1843</v>
      </c>
      <c r="C35" s="3130"/>
      <c r="D35" s="3130"/>
      <c r="E35" s="3130"/>
      <c r="F35" s="2131" t="str">
        <f>C10</f>
        <v>广东省</v>
      </c>
      <c r="G35" s="2041"/>
      <c r="H35" s="2041"/>
      <c r="I35" s="2041"/>
      <c r="J35" s="2041"/>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3"/>
      <c r="T35" s="48" t="str">
        <f>IF(T34="一通",L35,IF(T34="二通",M35,IF(T34="三通",N35,IF(T34="四通",O35,IF(T34="五通",P35,IF(T34="六通",Q35,R35))))))</f>
        <v>、、、、、、</v>
      </c>
      <c r="U35" s="2028"/>
      <c r="V35" s="2028"/>
    </row>
    <row r="36" spans="1:22" ht="18" customHeight="1">
      <c r="A36" s="2132"/>
      <c r="B36" s="2131" t="s">
        <v>1844</v>
      </c>
      <c r="C36" s="2131" t="s">
        <v>1845</v>
      </c>
      <c r="D36" s="2131" t="s">
        <v>1846</v>
      </c>
      <c r="E36" s="2131" t="s">
        <v>1847</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1848</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1849</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5"/>
      <c r="L40" s="2078"/>
      <c r="M40" s="2078"/>
      <c r="N40" s="2079"/>
      <c r="O40" s="2078"/>
      <c r="P40" s="2028"/>
      <c r="Q40" s="2028"/>
      <c r="R40" s="2028"/>
      <c r="S40" s="2028"/>
      <c r="T40" s="2028"/>
      <c r="U40" s="2028"/>
      <c r="V40" s="2028"/>
    </row>
    <row r="41" spans="1:22" ht="18" customHeight="1">
      <c r="A41" s="8" t="s">
        <v>1851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1852</v>
      </c>
      <c r="B42" s="1794" t="s">
        <v>1853</v>
      </c>
      <c r="C42" s="1794" t="s">
        <v>1854</v>
      </c>
      <c r="D42" s="1794" t="s">
        <v>1855</v>
      </c>
      <c r="E42" s="1794" t="s">
        <v>1856</v>
      </c>
      <c r="F42" s="1794" t="s">
        <v>1857</v>
      </c>
      <c r="G42" s="1794" t="s">
        <v>1858</v>
      </c>
      <c r="H42" s="1794" t="s">
        <v>1859</v>
      </c>
      <c r="I42" s="1794" t="s">
        <v>1860</v>
      </c>
      <c r="J42" s="2147" t="s">
        <v>1861</v>
      </c>
      <c r="K42" s="2070" t="s">
        <v>1862</v>
      </c>
      <c r="L42" s="2070" t="s">
        <v>1863</v>
      </c>
      <c r="M42" s="2070" t="s">
        <v>1864</v>
      </c>
      <c r="N42" s="1794" t="s">
        <v>1865</v>
      </c>
      <c r="O42" s="1794" t="s">
        <v>1866</v>
      </c>
      <c r="P42" s="1794" t="s">
        <v>1867</v>
      </c>
      <c r="Q42" s="2069" t="s">
        <v>1868</v>
      </c>
      <c r="R42" s="2069" t="s">
        <v>1869</v>
      </c>
      <c r="S42" s="2028"/>
      <c r="T42" s="2028"/>
      <c r="U42" s="2028"/>
      <c r="V42" s="2028"/>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15" sqref="I15"/>
      <selection pane="topRight" activeCell="I15" sqref="I15"/>
      <selection pane="bottomLeft" activeCell="I15" sqref="I15"/>
      <selection pane="bottomRight" activeCell="J16" sqref="J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1875</v>
      </c>
      <c r="AZ2" s="1269"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17182</v>
      </c>
      <c r="B3" s="14">
        <f>IF(C3="否",G5-AT5,G5)</f>
        <v>114444.95</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2"/>
      <c r="C5" s="1802"/>
      <c r="D5" s="1805"/>
      <c r="E5" s="16" t="s">
        <v>1</v>
      </c>
      <c r="F5" s="16">
        <f>SUM(F13:F587)</f>
        <v>0</v>
      </c>
      <c r="G5" s="16">
        <f>SUM(G13:G587)</f>
        <v>114444.95</v>
      </c>
      <c r="H5" s="16">
        <f t="shared" ref="H5:AT5" si="0">SUM(H13:H656)</f>
        <v>111132.68</v>
      </c>
      <c r="I5" s="16">
        <f t="shared" si="0"/>
        <v>86831.75</v>
      </c>
      <c r="J5" s="16">
        <f t="shared" si="0"/>
        <v>0</v>
      </c>
      <c r="K5" s="16">
        <f t="shared" si="0"/>
        <v>24300.93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3312.27</v>
      </c>
      <c r="AD5" s="16">
        <f t="shared" si="0"/>
        <v>0</v>
      </c>
      <c r="AE5" s="16">
        <f t="shared" si="0"/>
        <v>0</v>
      </c>
      <c r="AF5" s="16">
        <f t="shared" si="0"/>
        <v>0</v>
      </c>
      <c r="AG5" s="16">
        <f t="shared" si="0"/>
        <v>0</v>
      </c>
      <c r="AH5" s="16">
        <f t="shared" si="0"/>
        <v>0</v>
      </c>
      <c r="AI5" s="16">
        <f t="shared" si="0"/>
        <v>0</v>
      </c>
      <c r="AJ5" s="16">
        <f t="shared" si="0"/>
        <v>0</v>
      </c>
      <c r="AK5" s="16">
        <f t="shared" si="0"/>
        <v>0</v>
      </c>
      <c r="AL5" s="16">
        <f t="shared" si="0"/>
        <v>987.61</v>
      </c>
      <c r="AM5" s="16">
        <f t="shared" si="0"/>
        <v>0</v>
      </c>
      <c r="AN5" s="16">
        <f t="shared" si="0"/>
        <v>2324.66</v>
      </c>
      <c r="AO5" s="16">
        <f t="shared" si="0"/>
        <v>0</v>
      </c>
      <c r="AP5" s="16">
        <f t="shared" si="0"/>
        <v>0</v>
      </c>
      <c r="AQ5" s="16">
        <f t="shared" si="0"/>
        <v>0</v>
      </c>
      <c r="AR5" s="16">
        <f t="shared" si="0"/>
        <v>0</v>
      </c>
      <c r="AS5" s="16">
        <f t="shared" si="0"/>
        <v>0</v>
      </c>
      <c r="AT5" s="16">
        <f t="shared" si="0"/>
        <v>0</v>
      </c>
      <c r="AU5" s="1801"/>
      <c r="AV5" s="15" t="s">
        <v>1879</v>
      </c>
      <c r="AW5" s="1802"/>
      <c r="AX5" s="1802"/>
      <c r="AY5" s="17" t="s">
        <v>3</v>
      </c>
      <c r="AZ5" s="18">
        <f t="shared" ref="AZ5:BT5" si="1">SUM(AZ13:AZ656)</f>
        <v>73865.87</v>
      </c>
      <c r="BA5" s="18">
        <f t="shared" si="1"/>
        <v>73865.87</v>
      </c>
      <c r="BB5" s="18">
        <f t="shared" si="1"/>
        <v>73865.87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17182</v>
      </c>
      <c r="F6" s="16" t="s">
        <v>1</v>
      </c>
      <c r="G6" s="16" t="s">
        <v>2</v>
      </c>
      <c r="H6" s="20">
        <f>SUMIF(I$12:AB$12,"总值",I6:AB6)</f>
        <v>16684.72</v>
      </c>
      <c r="I6" s="16">
        <f t="shared" ref="I6:AB6" si="2">ROUND($A$3*I5/$B$3,2)</f>
        <v>13036.34</v>
      </c>
      <c r="J6" s="16">
        <f t="shared" si="2"/>
        <v>0</v>
      </c>
      <c r="K6" s="16">
        <f t="shared" si="2"/>
        <v>3648.38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497.28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148.27000000000001</v>
      </c>
      <c r="AM6" s="16">
        <f t="shared" si="3"/>
        <v>0</v>
      </c>
      <c r="AN6" s="16">
        <f t="shared" si="3"/>
        <v>349.01</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11089.73</v>
      </c>
      <c r="AZ6" s="16" t="s">
        <v>3</v>
      </c>
      <c r="BA6" s="16">
        <f>ROUND($AY$6*BA5/$AZ$5,2)</f>
        <v>11089.73</v>
      </c>
      <c r="BB6" s="16">
        <f>ROUND($AY$6*BB5/$AZ$5,2)</f>
        <v>11089.73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1888</v>
      </c>
      <c r="AV7" s="23" t="s">
        <v>1889</v>
      </c>
      <c r="AW7" s="2161" t="s">
        <v>1890</v>
      </c>
      <c r="AX7" s="23" t="s">
        <v>1883</v>
      </c>
      <c r="AY7" s="1802"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7"/>
      <c r="K8" s="1817"/>
      <c r="L8" s="1817"/>
      <c r="M8" s="1817"/>
      <c r="N8" s="1817"/>
      <c r="O8" s="1817"/>
      <c r="P8" s="1817"/>
      <c r="Q8" s="1817"/>
      <c r="R8" s="1817"/>
      <c r="S8" s="1817"/>
      <c r="T8" s="1817"/>
      <c r="U8" s="1817"/>
      <c r="V8" s="2181"/>
      <c r="W8" s="1817"/>
      <c r="X8" s="1817"/>
      <c r="Y8" s="1817"/>
      <c r="Z8" s="1817"/>
      <c r="AA8" s="2181"/>
      <c r="AB8" s="2182"/>
      <c r="AC8" s="980" t="s">
        <v>1894</v>
      </c>
      <c r="AD8" s="2183"/>
      <c r="AE8" s="2175"/>
      <c r="AF8" s="1817"/>
      <c r="AG8" s="1817"/>
      <c r="AH8" s="1817"/>
      <c r="AI8" s="1817"/>
      <c r="AJ8" s="1817"/>
      <c r="AK8" s="1817"/>
      <c r="AL8" s="1817"/>
      <c r="AM8" s="1817"/>
      <c r="AN8" s="1817"/>
      <c r="AO8" s="1817"/>
      <c r="AP8" s="1817"/>
      <c r="AQ8" s="1817"/>
      <c r="AR8" s="1817"/>
      <c r="AS8" s="1817"/>
      <c r="AT8" s="1291" t="s">
        <v>1895</v>
      </c>
      <c r="AU8" s="2177" t="s">
        <v>1896</v>
      </c>
      <c r="AV8" s="1291"/>
      <c r="AW8" s="2160"/>
      <c r="AX8" s="1291"/>
      <c r="AY8" s="2161" t="s">
        <v>1897</v>
      </c>
      <c r="AZ8" s="1816" t="s">
        <v>1898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1899</v>
      </c>
      <c r="I9" s="2186" t="s">
        <v>3055</v>
      </c>
      <c r="J9" s="980"/>
      <c r="K9" s="2186" t="s">
        <v>3056</v>
      </c>
      <c r="L9" s="980"/>
      <c r="M9" s="2186"/>
      <c r="N9" s="980"/>
      <c r="O9" s="2186"/>
      <c r="P9" s="980"/>
      <c r="Q9" s="2186"/>
      <c r="R9" s="980"/>
      <c r="S9" s="2186"/>
      <c r="T9" s="980"/>
      <c r="U9" s="2186"/>
      <c r="V9" s="980"/>
      <c r="W9" s="2186"/>
      <c r="X9" s="2187"/>
      <c r="Y9" s="2186"/>
      <c r="Z9" s="980"/>
      <c r="AA9" s="2186"/>
      <c r="AB9" s="980"/>
      <c r="AC9" s="2178"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88"/>
      <c r="AT9" s="2177"/>
      <c r="AU9" s="2177" t="s">
        <v>1902</v>
      </c>
      <c r="AV9" s="1291"/>
      <c r="AW9" s="2160"/>
      <c r="AX9" s="1291"/>
      <c r="AY9" s="28"/>
      <c r="AZ9" s="28" t="s">
        <v>1892</v>
      </c>
      <c r="BA9" s="2189" t="s">
        <v>1903</v>
      </c>
      <c r="BB9" s="2190"/>
      <c r="BC9" s="1337"/>
      <c r="BD9" s="1337"/>
      <c r="BE9" s="1337"/>
      <c r="BF9" s="1337"/>
      <c r="BG9" s="1337"/>
      <c r="BH9" s="1337"/>
      <c r="BI9" s="1337"/>
      <c r="BJ9" s="1337"/>
      <c r="BK9" s="2191"/>
      <c r="BL9" s="15" t="s">
        <v>1904</v>
      </c>
      <c r="BM9" s="1817"/>
      <c r="BN9" s="2180"/>
      <c r="BO9" s="1817"/>
      <c r="BP9" s="1817"/>
      <c r="BQ9" s="1817"/>
      <c r="BR9" s="1817"/>
      <c r="BS9" s="1817"/>
      <c r="BT9" s="26"/>
    </row>
    <row r="10" spans="1:72" s="2184" customFormat="1" ht="12.75">
      <c r="A10" s="2177"/>
      <c r="B10" s="2177"/>
      <c r="C10" s="2177"/>
      <c r="D10" s="2177"/>
      <c r="E10" s="2177"/>
      <c r="F10" s="2177"/>
      <c r="G10" s="1291"/>
      <c r="H10" s="28"/>
      <c r="I10" s="2186" t="s">
        <v>1377</v>
      </c>
      <c r="J10" s="980"/>
      <c r="K10" s="2192" t="s">
        <v>3209</v>
      </c>
      <c r="L10" s="980"/>
      <c r="M10" s="2192"/>
      <c r="N10" s="980"/>
      <c r="O10" s="2192"/>
      <c r="P10" s="980"/>
      <c r="Q10" s="2192"/>
      <c r="R10" s="980"/>
      <c r="S10" s="2192"/>
      <c r="T10" s="980"/>
      <c r="U10" s="2192"/>
      <c r="V10" s="980"/>
      <c r="W10" s="2192"/>
      <c r="X10" s="980"/>
      <c r="Y10" s="2192"/>
      <c r="Z10" s="980"/>
      <c r="AA10" s="2192"/>
      <c r="AB10" s="980"/>
      <c r="AC10" s="1291"/>
      <c r="AD10" s="15" t="s">
        <v>1905</v>
      </c>
      <c r="AE10" s="2193"/>
      <c r="AF10" s="15" t="s">
        <v>1905</v>
      </c>
      <c r="AG10" s="2193"/>
      <c r="AH10" s="15" t="s">
        <v>1906</v>
      </c>
      <c r="AI10" s="2193"/>
      <c r="AJ10" s="15" t="s">
        <v>1906</v>
      </c>
      <c r="AK10" s="2193"/>
      <c r="AL10" s="15" t="s">
        <v>1907</v>
      </c>
      <c r="AM10" s="1297"/>
      <c r="AN10" s="15" t="s">
        <v>1907</v>
      </c>
      <c r="AO10" s="1297"/>
      <c r="AP10" s="15" t="s">
        <v>1908</v>
      </c>
      <c r="AQ10" s="1297"/>
      <c r="AR10" s="15" t="s">
        <v>1908</v>
      </c>
      <c r="AS10" s="1297"/>
      <c r="AT10" s="2177"/>
      <c r="AU10" s="2177"/>
      <c r="AV10" s="1291"/>
      <c r="AW10" s="2160"/>
      <c r="AX10" s="1291"/>
      <c r="AY10" s="28"/>
      <c r="AZ10" s="28"/>
      <c r="BA10" s="2194" t="s">
        <v>1899</v>
      </c>
      <c r="BB10" s="2195" t="str">
        <f>I9</f>
        <v>地上</v>
      </c>
      <c r="BC10" s="29" t="str">
        <f>K9</f>
        <v>地下</v>
      </c>
      <c r="BD10" s="29">
        <f>M9</f>
        <v>0</v>
      </c>
      <c r="BE10" s="29">
        <f>O9</f>
        <v>0</v>
      </c>
      <c r="BF10" s="29">
        <f>Q9</f>
        <v>0</v>
      </c>
      <c r="BG10" s="29">
        <f>S9</f>
        <v>0</v>
      </c>
      <c r="BH10" s="29">
        <f>U9</f>
        <v>0</v>
      </c>
      <c r="BI10" s="29">
        <f>W9</f>
        <v>0</v>
      </c>
      <c r="BJ10" s="29">
        <f>Y9</f>
        <v>0</v>
      </c>
      <c r="BK10" s="29">
        <f>AA9</f>
        <v>0</v>
      </c>
      <c r="BL10" s="25" t="s">
        <v>1899</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1909</v>
      </c>
      <c r="AE11" s="1818"/>
      <c r="AF11" s="2199" t="s">
        <v>1909</v>
      </c>
      <c r="AG11" s="1818"/>
      <c r="AH11" s="2199" t="s">
        <v>1910</v>
      </c>
      <c r="AI11" s="2200"/>
      <c r="AJ11" s="2199" t="s">
        <v>1910</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t="str">
        <f>K10</f>
        <v>车库</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1" t="s">
        <v>1912</v>
      </c>
      <c r="W12" s="11" t="s">
        <v>1911</v>
      </c>
      <c r="X12" s="11" t="s">
        <v>1912</v>
      </c>
      <c r="Y12" s="11" t="s">
        <v>1911</v>
      </c>
      <c r="Z12" s="11" t="s">
        <v>1912</v>
      </c>
      <c r="AA12" s="11" t="s">
        <v>1911</v>
      </c>
      <c r="AB12" s="11" t="s">
        <v>1912</v>
      </c>
      <c r="AC12" s="2204"/>
      <c r="AD12" s="1805"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c r="D13" s="2208"/>
      <c r="E13" s="16">
        <f>IF($C$3="是",ROUND($A$3*G13/$B$3,2),ROUND($A$3*(G13-AT13)/$B$3,2))</f>
        <v>0</v>
      </c>
      <c r="F13" s="32"/>
      <c r="G13" s="33">
        <f>H13+AC13+AT13</f>
        <v>0</v>
      </c>
      <c r="H13" s="20">
        <f>SUMIF(I$12:AB$12,"总值",I13:AB13)</f>
        <v>0</v>
      </c>
      <c r="I13" s="2209"/>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38.25">
      <c r="A14" s="1271"/>
      <c r="B14" s="3049" t="s">
        <v>3208</v>
      </c>
      <c r="C14" s="3049" t="s">
        <v>4853</v>
      </c>
      <c r="D14" s="2208" t="s">
        <v>3054</v>
      </c>
      <c r="E14" s="16">
        <f>IF($C$3="是",ROUND($A$3*G14/$B$3,2),ROUND($A$3*(G14-AT14)/$B$3,2))</f>
        <v>1576.41</v>
      </c>
      <c r="F14" s="32"/>
      <c r="G14" s="33">
        <f>H14+AC14+AT14</f>
        <v>10500.04</v>
      </c>
      <c r="H14" s="20">
        <f>SUMIF(I$12:AB$12,"总值",I14:AB14)</f>
        <v>10500.04</v>
      </c>
      <c r="I14" s="2209">
        <f>ROUND('自编B-1栋'!I56,2)</f>
        <v>10500.04</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测绘报告</v>
      </c>
      <c r="AX14" s="11" t="str">
        <f t="shared" si="6"/>
        <v>二期商业（全部未售）</v>
      </c>
      <c r="AY14" s="1805">
        <f>ROUND($AY$6*AZ14/$AZ$5,2)</f>
        <v>1576.41</v>
      </c>
      <c r="AZ14" s="16">
        <f>BA14+BL14</f>
        <v>10500.04</v>
      </c>
      <c r="BA14" s="16">
        <f>SUM(BB14:BK14)</f>
        <v>10500.04</v>
      </c>
      <c r="BB14" s="16">
        <f>IF($D14="是",I14-J14,0)</f>
        <v>10500.04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1271"/>
      <c r="B15" s="3049" t="s">
        <v>3208</v>
      </c>
      <c r="C15" s="3049" t="s">
        <v>4855</v>
      </c>
      <c r="D15" s="2208" t="s">
        <v>3054</v>
      </c>
      <c r="E15" s="16">
        <f>IF($C$3="是",ROUND($A$3*G15/$B$3,2),ROUND($A$3*(G15-AT15)/$B$3,2))</f>
        <v>2060.1999999999998</v>
      </c>
      <c r="F15" s="32"/>
      <c r="G15" s="33">
        <f>H15+AC15+AT15</f>
        <v>13722.48</v>
      </c>
      <c r="H15" s="20">
        <f>SUMIF(I$12:AB$12,"总值",I15:AB15)</f>
        <v>13722.48</v>
      </c>
      <c r="I15" s="2209">
        <f>ROUND('自编B-1栋'!I57,2)</f>
        <v>13722.48</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测绘报告</v>
      </c>
      <c r="AX15" s="11" t="str">
        <f t="shared" si="6"/>
        <v>二期B3#3-6、10、11层精装公寓（未售）</v>
      </c>
      <c r="AY15" s="1805">
        <f>ROUND($AY$6*AZ15/$AZ$5,2)</f>
        <v>2060.1999999999998</v>
      </c>
      <c r="AZ15" s="16">
        <f>BA15+BL15</f>
        <v>13722.48</v>
      </c>
      <c r="BA15" s="16">
        <f>SUM(BB15:BK15)</f>
        <v>13722.48</v>
      </c>
      <c r="BB15" s="16">
        <f>IF($D15="是",I15-J15,0)</f>
        <v>13722.48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38.25">
      <c r="A16" s="1271"/>
      <c r="B16" s="3049" t="s">
        <v>3208</v>
      </c>
      <c r="C16" s="3049" t="s">
        <v>4857</v>
      </c>
      <c r="D16" s="2208" t="s">
        <v>3054</v>
      </c>
      <c r="E16" s="16">
        <f>IF($C$3="是",ROUND($A$3*G16/$B$3,2),ROUND($A$3*(G16-AT16)/$B$3,2))</f>
        <v>2948.59</v>
      </c>
      <c r="F16" s="32"/>
      <c r="G16" s="33">
        <f>H16+AC16+AT16</f>
        <v>19639.79</v>
      </c>
      <c r="H16" s="20">
        <f>SUMIF(I$12:AB$12,"总值",I16:AB16)</f>
        <v>19639.79</v>
      </c>
      <c r="I16" s="2209">
        <f>ROUND('自编B-1栋'!I58,2)</f>
        <v>19639.79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测绘报告</v>
      </c>
      <c r="AX16" s="11" t="str">
        <f t="shared" si="6"/>
        <v>二期B1#、B3#简装公寓（未售）</v>
      </c>
      <c r="AY16" s="1805">
        <f>ROUND($AY$6*AZ16/$AZ$5,2)</f>
        <v>2948.59</v>
      </c>
      <c r="AZ16" s="16">
        <f>BA16+BL16</f>
        <v>19639.79</v>
      </c>
      <c r="BA16" s="16">
        <f>SUM(BB16:BK16)</f>
        <v>19639.79</v>
      </c>
      <c r="BB16" s="16">
        <f>IF($D16="是",I16-J16,0)</f>
        <v>19639.79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25.5">
      <c r="A17" s="1271"/>
      <c r="B17" s="3049" t="s">
        <v>3208</v>
      </c>
      <c r="C17" s="3050" t="s">
        <v>4858</v>
      </c>
      <c r="D17" s="2208" t="s">
        <v>3054</v>
      </c>
      <c r="E17" s="16">
        <f>IF($C$3="是",ROUND($A$3*G17/$B$3,2),ROUND($A$3*(G17-AT17)/$B$3,2))</f>
        <v>4504.53</v>
      </c>
      <c r="F17" s="32"/>
      <c r="G17" s="33">
        <f>H17+AC17+AT17</f>
        <v>30003.56</v>
      </c>
      <c r="H17" s="20">
        <f>SUMIF(I$12:AB$12,"总值",I17:AB17)</f>
        <v>30003.56</v>
      </c>
      <c r="I17" s="2998">
        <f>ROUND('自编B-2栋'!H45,2)</f>
        <v>30003.56</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测绘报告</v>
      </c>
      <c r="AX17" s="11" t="str">
        <f t="shared" si="6"/>
        <v>二期B2#办公（未售）</v>
      </c>
      <c r="AY17" s="1805">
        <f>ROUND($AY$6*AZ17/$AZ$5,2)</f>
        <v>4504.53</v>
      </c>
      <c r="AZ17" s="16">
        <f>BA17+BL17</f>
        <v>30003.56</v>
      </c>
      <c r="BA17" s="16">
        <f>SUM(BB17:BK17)</f>
        <v>30003.56</v>
      </c>
      <c r="BB17" s="16">
        <f>IF($D17="是",I17-J17,0)</f>
        <v>30003.56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049" t="s">
        <v>3208</v>
      </c>
      <c r="C18" s="3051" t="s">
        <v>4859</v>
      </c>
      <c r="D18" s="2213" t="s">
        <v>3053</v>
      </c>
      <c r="E18" s="35">
        <f t="shared" ref="E18:E112" si="7">IF($C$3="是",ROUND($A$3*G18/$B$3,2),ROUND($A$3*(G18-AT18)/$B$3,2))</f>
        <v>2094.88</v>
      </c>
      <c r="F18" s="36"/>
      <c r="G18" s="37">
        <f t="shared" ref="G18:G109" si="8">H18+AC18+AT18</f>
        <v>13953.49</v>
      </c>
      <c r="H18" s="38">
        <f t="shared" ref="H18:H109" si="9">SUMIF(I$12:AB$12,"总值",I18:AB18)</f>
        <v>12965.88</v>
      </c>
      <c r="I18" s="3052">
        <f>ROUND(各层面积表!B24-'数据-基础表'!I14-'数据-基础表'!I15-'数据-基础表'!I16-'数据-基础表'!I17,2)</f>
        <v>12965.88</v>
      </c>
      <c r="J18" s="39"/>
      <c r="K18" s="2209"/>
      <c r="L18" s="39"/>
      <c r="M18" s="39"/>
      <c r="N18" s="39"/>
      <c r="O18" s="39"/>
      <c r="P18" s="39"/>
      <c r="Q18" s="39"/>
      <c r="R18" s="39"/>
      <c r="S18" s="39"/>
      <c r="T18" s="39"/>
      <c r="U18" s="39"/>
      <c r="V18" s="39"/>
      <c r="W18" s="39"/>
      <c r="X18" s="39"/>
      <c r="Y18" s="39"/>
      <c r="Z18" s="39"/>
      <c r="AA18" s="39"/>
      <c r="AB18" s="39"/>
      <c r="AC18" s="35">
        <f t="shared" ref="AC18:AC109" si="10">SUMIF(AD$12:AS$12,"总值",AD18:AS18)</f>
        <v>987.61</v>
      </c>
      <c r="AD18" s="40"/>
      <c r="AE18" s="40"/>
      <c r="AF18" s="40"/>
      <c r="AG18" s="40"/>
      <c r="AH18" s="40"/>
      <c r="AI18" s="40"/>
      <c r="AJ18" s="40"/>
      <c r="AK18" s="40"/>
      <c r="AL18" s="40">
        <f>ROUND(916.9944+70.6119,2)</f>
        <v>987.61</v>
      </c>
      <c r="AM18" s="40"/>
      <c r="AN18" s="40"/>
      <c r="AO18" s="40"/>
      <c r="AP18" s="40"/>
      <c r="AQ18" s="40"/>
      <c r="AR18" s="40"/>
      <c r="AS18" s="40"/>
      <c r="AT18" s="41"/>
      <c r="AU18" s="2214"/>
      <c r="AV18" s="1794">
        <f t="shared" ref="AV18:AV112" si="11">A18</f>
        <v>0</v>
      </c>
      <c r="AW18" s="1794" t="str">
        <f t="shared" ref="AW18:AW112" si="12">B18</f>
        <v>测绘报告</v>
      </c>
      <c r="AX18" s="1794" t="str">
        <f t="shared" ref="AX18:AX112" si="13">C18</f>
        <v>其余地上（已售）</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049" t="s">
        <v>3208</v>
      </c>
      <c r="C19" s="3051" t="s">
        <v>4860</v>
      </c>
      <c r="D19" s="2213" t="s">
        <v>3053</v>
      </c>
      <c r="E19" s="35">
        <f t="shared" si="7"/>
        <v>3997.39</v>
      </c>
      <c r="F19" s="36"/>
      <c r="G19" s="37">
        <f t="shared" si="8"/>
        <v>26625.59</v>
      </c>
      <c r="H19" s="38">
        <f t="shared" si="9"/>
        <v>24300.93</v>
      </c>
      <c r="I19" s="39"/>
      <c r="J19" s="39"/>
      <c r="K19" s="39">
        <f>ROUND(12637.0718+11663.8615,2)</f>
        <v>24300.93</v>
      </c>
      <c r="L19" s="39"/>
      <c r="M19" s="39"/>
      <c r="N19" s="39"/>
      <c r="O19" s="39"/>
      <c r="P19" s="39"/>
      <c r="Q19" s="39"/>
      <c r="R19" s="39"/>
      <c r="S19" s="39"/>
      <c r="T19" s="39"/>
      <c r="U19" s="39"/>
      <c r="V19" s="39"/>
      <c r="W19" s="39"/>
      <c r="X19" s="39"/>
      <c r="Y19" s="39"/>
      <c r="Z19" s="39"/>
      <c r="AA19" s="39"/>
      <c r="AB19" s="39"/>
      <c r="AC19" s="35">
        <f t="shared" si="10"/>
        <v>2324.66</v>
      </c>
      <c r="AD19" s="40"/>
      <c r="AE19" s="40"/>
      <c r="AF19" s="40"/>
      <c r="AG19" s="40"/>
      <c r="AH19" s="40"/>
      <c r="AI19" s="40"/>
      <c r="AJ19" s="40"/>
      <c r="AK19" s="40"/>
      <c r="AL19" s="40"/>
      <c r="AM19" s="40"/>
      <c r="AN19" s="40">
        <f>ROUND(878.8616+5.3345+1398.2705+36.8557+5.3345,2)</f>
        <v>2324.66</v>
      </c>
      <c r="AO19" s="40"/>
      <c r="AP19" s="40"/>
      <c r="AQ19" s="40"/>
      <c r="AR19" s="40"/>
      <c r="AS19" s="40"/>
      <c r="AT19" s="41"/>
      <c r="AU19" s="2214"/>
      <c r="AV19" s="1794">
        <f t="shared" si="11"/>
        <v>0</v>
      </c>
      <c r="AW19" s="1794" t="str">
        <f t="shared" si="12"/>
        <v>测绘报告</v>
      </c>
      <c r="AX19" s="1794" t="str">
        <f t="shared" si="13"/>
        <v>其余地下（已售）</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1"/>
      <c r="C1" s="1391"/>
      <c r="D1" s="1391"/>
      <c r="E1" s="1391"/>
      <c r="F1" s="1391"/>
      <c r="G1" s="1391"/>
      <c r="H1" s="1391"/>
      <c r="I1" s="1391"/>
      <c r="J1" s="1391"/>
      <c r="K1" s="1391"/>
      <c r="L1" s="1391"/>
      <c r="M1" s="1391"/>
      <c r="N1" s="1391"/>
      <c r="O1" s="1391"/>
      <c r="P1" s="1391"/>
    </row>
    <row r="2" spans="1:16" ht="15">
      <c r="A2" s="3142" t="s">
        <v>1939</v>
      </c>
      <c r="B2" s="3142"/>
      <c r="C2" s="3142"/>
      <c r="D2" s="966" t="s">
        <v>1915</v>
      </c>
      <c r="E2" s="2222" t="s">
        <v>1916</v>
      </c>
      <c r="F2" s="1391"/>
      <c r="G2" s="2223"/>
      <c r="H2" s="2224"/>
      <c r="I2" s="2225" t="s">
        <v>1940</v>
      </c>
      <c r="J2" s="1391"/>
      <c r="K2" s="1391"/>
      <c r="L2" s="1391"/>
      <c r="M2" s="1391"/>
      <c r="N2" s="1426"/>
      <c r="O2" s="1391"/>
      <c r="P2" s="1391"/>
    </row>
    <row r="3" spans="1:16" ht="15.75" thickBot="1">
      <c r="A3" s="3143" t="s">
        <v>1913</v>
      </c>
      <c r="B3" s="3143"/>
      <c r="C3" s="3143"/>
      <c r="D3" s="46">
        <f>'数据-基础表'!AY6</f>
        <v>11089.73</v>
      </c>
      <c r="E3" s="46">
        <f>'数据-基础表'!AZ5</f>
        <v>73865.87</v>
      </c>
      <c r="F3" s="1391"/>
      <c r="G3" s="1398"/>
      <c r="H3" s="1246" t="s">
        <v>1914</v>
      </c>
      <c r="I3" s="55">
        <f>ROUND('数据-基础表'!B3/'数据-基础表'!A3,2)</f>
        <v>6.66</v>
      </c>
      <c r="J3" s="1391"/>
      <c r="K3" s="1391"/>
      <c r="L3" s="1391"/>
      <c r="M3" s="1391"/>
      <c r="N3" s="1426"/>
      <c r="O3" s="1391"/>
      <c r="P3" s="1391"/>
    </row>
    <row r="4" spans="1:16" ht="15">
      <c r="A4" s="3144"/>
      <c r="B4" s="3145"/>
      <c r="C4" s="3146"/>
      <c r="D4" s="2226" t="s">
        <v>1915</v>
      </c>
      <c r="E4" s="2227" t="s">
        <v>1916</v>
      </c>
      <c r="F4" s="1391"/>
      <c r="G4" s="2228" t="s">
        <v>1941</v>
      </c>
      <c r="H4" s="1246" t="s">
        <v>1921</v>
      </c>
      <c r="I4" s="55">
        <f>ROUND(SUMIF('数据-基础表'!I9:AS9,"地上",'数据-基础表'!I5:AS5)/'数据-基础表'!A3,2)</f>
        <v>5.1100000000000003</v>
      </c>
      <c r="J4" s="1391"/>
      <c r="K4" s="1391"/>
      <c r="L4" s="1391"/>
      <c r="M4" s="1391"/>
      <c r="N4" s="1426"/>
      <c r="O4" s="1391"/>
      <c r="P4" s="1391"/>
    </row>
    <row r="5" spans="1:16">
      <c r="A5" s="47" t="s">
        <v>1917</v>
      </c>
      <c r="B5" s="3147" t="s">
        <v>1918</v>
      </c>
      <c r="C5" s="3147"/>
      <c r="D5" s="48">
        <f>ROUND($D$3*E5/$E$3,2)</f>
        <v>0</v>
      </c>
      <c r="E5" s="49">
        <f>SUMIF('数据-基础表'!$11:$11,"住宅",'数据-基础表'!$5:$5)</f>
        <v>0</v>
      </c>
      <c r="F5" s="1391"/>
      <c r="G5" s="1398"/>
      <c r="H5" s="1246" t="s">
        <v>1914</v>
      </c>
      <c r="I5" s="55">
        <f>ROUND(E31/D31,2)</f>
        <v>6.66</v>
      </c>
      <c r="J5" s="1391"/>
      <c r="K5" s="1391"/>
      <c r="L5" s="1391"/>
      <c r="M5" s="1391"/>
      <c r="N5" s="1391"/>
      <c r="O5" s="1391"/>
      <c r="P5" s="1391"/>
    </row>
    <row r="6" spans="1:16" ht="15" thickBot="1">
      <c r="A6" s="2229"/>
      <c r="B6" s="3147" t="s">
        <v>1919</v>
      </c>
      <c r="C6" s="3147"/>
      <c r="D6" s="48">
        <f>ROUND($D$3*E6/$E$3,2)</f>
        <v>11089.73</v>
      </c>
      <c r="E6" s="49">
        <f>E3-E5</f>
        <v>73865.87</v>
      </c>
      <c r="F6" s="1391"/>
      <c r="G6" s="2230" t="s">
        <v>1920</v>
      </c>
      <c r="H6" s="1398" t="s">
        <v>1921</v>
      </c>
      <c r="I6" s="938">
        <f>ROUND(F31/D31,2)</f>
        <v>6.66</v>
      </c>
      <c r="J6" s="1391"/>
      <c r="K6" s="1391"/>
      <c r="L6" s="1391"/>
      <c r="M6" s="1391"/>
      <c r="N6" s="1391"/>
      <c r="O6" s="1391"/>
      <c r="P6" s="1391"/>
    </row>
    <row r="7" spans="1:16" ht="15">
      <c r="A7" s="3139"/>
      <c r="B7" s="3140"/>
      <c r="C7" s="3141"/>
      <c r="D7" s="2226" t="s">
        <v>1915</v>
      </c>
      <c r="E7" s="2231" t="s">
        <v>1922</v>
      </c>
      <c r="F7" s="1391"/>
      <c r="G7" s="2223" t="s">
        <v>1923</v>
      </c>
      <c r="H7" s="64"/>
      <c r="I7" s="419">
        <v>5</v>
      </c>
      <c r="J7" s="1391"/>
      <c r="K7" s="1391"/>
      <c r="L7" s="1391"/>
      <c r="M7" s="1391"/>
      <c r="N7" s="1391"/>
      <c r="O7" s="1391"/>
      <c r="P7" s="1391"/>
    </row>
    <row r="8" spans="1:16">
      <c r="A8" s="47" t="s">
        <v>1924</v>
      </c>
      <c r="B8" s="50" t="s">
        <v>1925</v>
      </c>
      <c r="C8" s="48" t="s">
        <v>1926</v>
      </c>
      <c r="D8" s="48">
        <f t="shared" ref="D8:D15" si="0">ROUND($D$3*E8/$E$3,2)</f>
        <v>11089.73</v>
      </c>
      <c r="E8" s="51">
        <f>SUMIF('数据-基础表'!BB10:BK10,"地上",'数据-基础表'!BB5:BK5)</f>
        <v>73865.87</v>
      </c>
      <c r="F8" s="1391"/>
      <c r="G8" s="2232"/>
      <c r="H8" s="2232"/>
      <c r="I8" s="1391"/>
      <c r="J8" s="1391"/>
      <c r="K8" s="1391"/>
      <c r="L8" s="1391"/>
      <c r="M8" s="1391"/>
      <c r="N8" s="1391"/>
      <c r="O8" s="1391"/>
      <c r="P8" s="1391"/>
    </row>
    <row r="9" spans="1:16">
      <c r="A9" s="2233"/>
      <c r="B9" s="2234"/>
      <c r="C9" s="48" t="s">
        <v>1927</v>
      </c>
      <c r="D9" s="48">
        <f t="shared" si="0"/>
        <v>0</v>
      </c>
      <c r="E9" s="52">
        <v>0</v>
      </c>
      <c r="F9" s="1391"/>
      <c r="G9" s="2232"/>
      <c r="H9" s="2232"/>
      <c r="I9" s="1391"/>
      <c r="J9" s="1391"/>
      <c r="K9" s="1391"/>
      <c r="L9" s="1391"/>
      <c r="M9" s="1391"/>
      <c r="N9" s="1391"/>
      <c r="O9" s="1391"/>
      <c r="P9" s="1391"/>
    </row>
    <row r="10" spans="1:16">
      <c r="A10" s="2233"/>
      <c r="B10" s="2234"/>
      <c r="C10" s="48" t="s">
        <v>1936</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1928</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1929</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1930</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1942</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1937</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1931</v>
      </c>
      <c r="D16" s="50">
        <f>SUM(D8:D15)</f>
        <v>11089.73</v>
      </c>
      <c r="E16" s="53">
        <f>SUM(E8:E15)</f>
        <v>73865.87</v>
      </c>
      <c r="F16" s="1391"/>
      <c r="G16" s="2232"/>
      <c r="H16" s="2235" t="s">
        <v>1943</v>
      </c>
      <c r="I16" s="2236"/>
      <c r="J16" s="1391"/>
      <c r="K16" s="3136" t="s">
        <v>1943</v>
      </c>
      <c r="L16" s="3137"/>
      <c r="M16" s="3137"/>
      <c r="N16" s="3137"/>
      <c r="O16" s="3137"/>
      <c r="P16" s="3138"/>
    </row>
    <row r="17" spans="1:19" ht="15">
      <c r="A17" s="2237" t="s">
        <v>1944</v>
      </c>
      <c r="B17" s="2238" t="s">
        <v>1945</v>
      </c>
      <c r="C17" s="2239" t="s">
        <v>1946</v>
      </c>
      <c r="D17" s="2240" t="s">
        <v>1934</v>
      </c>
      <c r="E17" s="2241" t="s">
        <v>1935</v>
      </c>
      <c r="F17" s="2242"/>
      <c r="G17" s="2243"/>
      <c r="H17" s="2244" t="s">
        <v>1947</v>
      </c>
      <c r="I17" s="2245" t="s">
        <v>1932</v>
      </c>
      <c r="J17" s="1391"/>
      <c r="K17" s="3133" t="s">
        <v>1948</v>
      </c>
      <c r="L17" s="3134"/>
      <c r="M17" s="3135"/>
      <c r="N17" s="3133" t="s">
        <v>1949</v>
      </c>
      <c r="O17" s="3134"/>
      <c r="P17" s="3135"/>
      <c r="R17" s="2223" t="s">
        <v>1950</v>
      </c>
      <c r="S17" s="64"/>
    </row>
    <row r="18" spans="1:19" ht="15">
      <c r="A18" s="2233"/>
      <c r="B18" s="2246"/>
      <c r="C18" s="2247"/>
      <c r="D18" s="2248"/>
      <c r="E18" s="2249" t="s">
        <v>1951</v>
      </c>
      <c r="F18" s="2250" t="s">
        <v>1952</v>
      </c>
      <c r="G18" s="2251" t="s">
        <v>1953</v>
      </c>
      <c r="H18" s="1261" t="s">
        <v>1954</v>
      </c>
      <c r="I18" s="2252" t="s">
        <v>1955</v>
      </c>
      <c r="J18" s="1391"/>
      <c r="K18" s="1261" t="s">
        <v>1956</v>
      </c>
      <c r="L18" s="2253" t="s">
        <v>1957</v>
      </c>
      <c r="M18" s="1045" t="s">
        <v>1958</v>
      </c>
      <c r="N18" s="1261" t="s">
        <v>1956</v>
      </c>
      <c r="O18" s="2253" t="s">
        <v>1957</v>
      </c>
      <c r="P18" s="1045" t="s">
        <v>1958</v>
      </c>
      <c r="R18" s="1246" t="s">
        <v>1959</v>
      </c>
      <c r="S18" s="1246" t="s">
        <v>1960</v>
      </c>
    </row>
    <row r="19" spans="1:19">
      <c r="A19" s="2254"/>
      <c r="B19" s="50" t="s">
        <v>1933</v>
      </c>
      <c r="C19" s="2960" t="s">
        <v>3107</v>
      </c>
      <c r="D19" s="48">
        <f>ROUND($D$3*E19/$E$3,2)</f>
        <v>1576.41</v>
      </c>
      <c r="E19" s="56">
        <f t="shared" ref="E19:E26" si="1">SUM(F19:G19)</f>
        <v>10500.04</v>
      </c>
      <c r="F19" s="57">
        <f>'数据-基础表'!I14</f>
        <v>10500.04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1576.41</v>
      </c>
      <c r="S19" s="1247">
        <f t="shared" si="5"/>
        <v>10500.04</v>
      </c>
    </row>
    <row r="20" spans="1:19">
      <c r="A20" s="2258"/>
      <c r="B20" s="50" t="s">
        <v>1961</v>
      </c>
      <c r="C20" s="2255" t="str">
        <f>'数据-基础表'!C15</f>
        <v>二期B3#3-6、10、11层精装公寓（未售）</v>
      </c>
      <c r="D20" s="48">
        <f t="shared" ref="D20:D26" si="6">ROUND($D$3*E20/$E$3,2)</f>
        <v>2060.1999999999998</v>
      </c>
      <c r="E20" s="56">
        <f t="shared" si="1"/>
        <v>13722.48</v>
      </c>
      <c r="F20" s="57">
        <f>'数据-基础表'!I15</f>
        <v>13722.48</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2060.1999999999998</v>
      </c>
      <c r="S20" s="1247">
        <f t="shared" si="5"/>
        <v>13722.48</v>
      </c>
    </row>
    <row r="21" spans="1:19">
      <c r="A21" s="2258"/>
      <c r="B21" s="50" t="s">
        <v>1961</v>
      </c>
      <c r="C21" s="2255" t="str">
        <f>'数据-基础表'!C16</f>
        <v>二期B1#、B3#简装公寓（未售）</v>
      </c>
      <c r="D21" s="48">
        <f t="shared" si="6"/>
        <v>2948.59</v>
      </c>
      <c r="E21" s="56">
        <f t="shared" si="1"/>
        <v>19639.79</v>
      </c>
      <c r="F21" s="57">
        <f>'数据-基础表'!I16</f>
        <v>19639.79</v>
      </c>
      <c r="G21" s="58"/>
      <c r="H21" s="722">
        <f t="shared" si="7"/>
        <v>0</v>
      </c>
      <c r="I21" s="51">
        <f t="shared" si="2"/>
        <v>0</v>
      </c>
      <c r="J21" s="1391"/>
      <c r="K21" s="1390">
        <f t="shared" si="3"/>
        <v>0</v>
      </c>
      <c r="L21" s="1246">
        <f t="shared" si="4"/>
        <v>0</v>
      </c>
      <c r="M21" s="1402">
        <f t="shared" si="8"/>
        <v>0</v>
      </c>
      <c r="N21" s="2256"/>
      <c r="O21" s="2257"/>
      <c r="P21" s="1402">
        <f t="shared" si="9"/>
        <v>0</v>
      </c>
      <c r="R21" s="1246">
        <f t="shared" si="5"/>
        <v>2948.59</v>
      </c>
      <c r="S21" s="1247">
        <f t="shared" si="5"/>
        <v>19639.79</v>
      </c>
    </row>
    <row r="22" spans="1:19">
      <c r="A22" s="2258"/>
      <c r="B22" s="50" t="s">
        <v>1961</v>
      </c>
      <c r="C22" s="60" t="str">
        <f>'数据-基础表'!C17</f>
        <v>二期B2#办公（未售）</v>
      </c>
      <c r="D22" s="48">
        <f t="shared" si="6"/>
        <v>4504.53</v>
      </c>
      <c r="E22" s="56">
        <f t="shared" si="1"/>
        <v>30003.56</v>
      </c>
      <c r="F22" s="61">
        <f>'数据-基础表'!I17</f>
        <v>30003.56</v>
      </c>
      <c r="G22" s="62"/>
      <c r="H22" s="722">
        <f t="shared" si="7"/>
        <v>0</v>
      </c>
      <c r="I22" s="51">
        <f t="shared" si="2"/>
        <v>0</v>
      </c>
      <c r="J22" s="1391"/>
      <c r="K22" s="1390">
        <f t="shared" si="3"/>
        <v>0</v>
      </c>
      <c r="L22" s="1246">
        <f t="shared" si="4"/>
        <v>0</v>
      </c>
      <c r="M22" s="1402">
        <f t="shared" si="8"/>
        <v>0</v>
      </c>
      <c r="N22" s="2256"/>
      <c r="O22" s="2257"/>
      <c r="P22" s="1402">
        <f t="shared" si="9"/>
        <v>0</v>
      </c>
      <c r="R22" s="1246">
        <f t="shared" si="5"/>
        <v>4504.53</v>
      </c>
      <c r="S22" s="1247">
        <f t="shared" si="5"/>
        <v>30003.56</v>
      </c>
    </row>
    <row r="23" spans="1:19">
      <c r="A23" s="2258"/>
      <c r="B23" s="50" t="s">
        <v>1961</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1961</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1961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1962</v>
      </c>
      <c r="D27" s="1392">
        <f>SUM(D19:D26)</f>
        <v>11089.73</v>
      </c>
      <c r="E27" s="1393">
        <f>IF(SUM(E19:E26)='数据-基础表'!BA5,SUM(E19:E26),IF(F27="地上面积有误","面积有误","地下面积有误"))</f>
        <v>73865.87</v>
      </c>
      <c r="F27" s="1392">
        <f>IF(SUM(F19:F26)=E8,SUM(F19:F26),"地上面积有误")</f>
        <v>73865.87</v>
      </c>
      <c r="G27" s="1394">
        <f>SUM(G19:G26)</f>
        <v>0</v>
      </c>
      <c r="H27" s="1395">
        <f>SUM(H19:H26)</f>
        <v>0</v>
      </c>
      <c r="I27" s="1396">
        <f>SUM(I19:I26)</f>
        <v>0</v>
      </c>
      <c r="J27" s="1391"/>
      <c r="K27" s="1399">
        <f t="shared" ref="K27:P27" si="10">SUM(K19:K26)</f>
        <v>0</v>
      </c>
      <c r="L27" s="1400">
        <f t="shared" si="10"/>
        <v>0</v>
      </c>
      <c r="M27" s="1403">
        <f t="shared" si="10"/>
        <v>0</v>
      </c>
      <c r="N27" s="1399">
        <f t="shared" si="10"/>
        <v>0</v>
      </c>
      <c r="O27" s="1400">
        <f t="shared" si="10"/>
        <v>0</v>
      </c>
      <c r="P27" s="1401">
        <f t="shared" si="10"/>
        <v>0</v>
      </c>
      <c r="R27" s="1248">
        <f>IF(SUM(R19:R26)=$D$3,SUM(R19:R26),SUM(R19:R26)&amp;"误差"&amp;ROUND(SUM(R19:R26)-$D$3,2))</f>
        <v>11089.73</v>
      </c>
      <c r="S27" s="1246">
        <f>IF(SUM(S19:S26)=$E$3,SUM(S19:S26),SUM(S19:S26)&amp;"误差"&amp;ROUND(SUM(S19:S26)-E3,2))</f>
        <v>73865.87</v>
      </c>
    </row>
    <row r="28" spans="1:19">
      <c r="A28" s="2258"/>
      <c r="B28" s="50" t="s">
        <v>1963</v>
      </c>
      <c r="C28" s="1258" t="s">
        <v>1964</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1963</v>
      </c>
      <c r="C29" s="2262"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1962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1966</v>
      </c>
      <c r="D31" s="727">
        <f>D27+D30</f>
        <v>11089.73</v>
      </c>
      <c r="E31" s="727">
        <f>E27+E30</f>
        <v>73865.87</v>
      </c>
      <c r="F31" s="728">
        <f>F27+F30</f>
        <v>73865.87</v>
      </c>
      <c r="G31" s="729">
        <f>G27+G30</f>
        <v>0</v>
      </c>
      <c r="H31" s="1391"/>
      <c r="I31" s="1391"/>
      <c r="J31" s="1391"/>
      <c r="K31" s="1391"/>
      <c r="L31" s="1391"/>
      <c r="M31" s="1391"/>
      <c r="N31" s="1391"/>
      <c r="O31" s="1391"/>
      <c r="P31" s="1391"/>
    </row>
    <row r="32" spans="1:19">
      <c r="A32" s="2228"/>
      <c r="B32" s="2228" t="s">
        <v>1967</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I15" sqref="I15"/>
    </sheetView>
  </sheetViews>
  <sheetFormatPr defaultRowHeight="13.5"/>
  <cols>
    <col min="10" max="10" width="9.625" customWidth="1"/>
    <col min="12" max="12" width="9.625" customWidth="1"/>
  </cols>
  <sheetData>
    <row r="1" spans="1:13">
      <c r="A1" s="2952" t="s">
        <v>3065</v>
      </c>
      <c r="B1" s="2951"/>
      <c r="C1" s="2951"/>
      <c r="D1" s="2951"/>
      <c r="E1" s="2951"/>
      <c r="F1" s="2951"/>
      <c r="G1" s="2951"/>
      <c r="H1" s="2951"/>
      <c r="I1" s="2951"/>
      <c r="J1" s="2951"/>
      <c r="K1" s="2951"/>
      <c r="L1" s="2951"/>
      <c r="M1" s="2951"/>
    </row>
    <row r="2" spans="1:13" ht="22.5">
      <c r="A2" s="2951"/>
      <c r="B2" s="2954" t="s">
        <v>3069</v>
      </c>
      <c r="C2" s="2954" t="s">
        <v>3058</v>
      </c>
      <c r="D2" s="2954" t="s">
        <v>3060</v>
      </c>
      <c r="E2" s="2954" t="s">
        <v>3058</v>
      </c>
      <c r="F2" s="2954" t="s">
        <v>3061</v>
      </c>
      <c r="G2" s="2954" t="s">
        <v>3058</v>
      </c>
      <c r="H2" s="2954" t="s">
        <v>3062</v>
      </c>
      <c r="I2" s="2954" t="s">
        <v>3058</v>
      </c>
      <c r="J2" s="2954" t="s">
        <v>3064</v>
      </c>
      <c r="K2" s="2954" t="s">
        <v>3058</v>
      </c>
      <c r="L2" s="2954" t="s">
        <v>3063</v>
      </c>
      <c r="M2" s="2954" t="s">
        <v>3058</v>
      </c>
    </row>
    <row r="3" spans="1:13">
      <c r="A3" s="2952" t="s">
        <v>3057</v>
      </c>
      <c r="B3" s="2951">
        <v>1</v>
      </c>
      <c r="C3" s="2951">
        <v>58.150700000000001</v>
      </c>
      <c r="D3" s="2951">
        <v>1</v>
      </c>
      <c r="E3" s="2951">
        <v>56.398499999999999</v>
      </c>
      <c r="F3" s="2951">
        <v>1</v>
      </c>
      <c r="G3" s="2951">
        <v>56.398499999999999</v>
      </c>
      <c r="H3" s="2951">
        <v>1</v>
      </c>
      <c r="I3" s="2951">
        <v>56.398499999999999</v>
      </c>
      <c r="J3" s="2951">
        <v>1</v>
      </c>
      <c r="K3" s="2951">
        <v>56.398499999999999</v>
      </c>
      <c r="L3" s="2951">
        <v>1</v>
      </c>
      <c r="M3" s="2951">
        <v>56.398499999999999</v>
      </c>
    </row>
    <row r="4" spans="1:13">
      <c r="A4" s="2951"/>
      <c r="B4" s="2951">
        <v>2</v>
      </c>
      <c r="C4" s="2951">
        <v>58.150700000000001</v>
      </c>
      <c r="D4" s="2951">
        <v>2</v>
      </c>
      <c r="E4" s="2951">
        <v>56.398499999999999</v>
      </c>
      <c r="F4" s="2951">
        <v>2</v>
      </c>
      <c r="G4" s="2951">
        <v>56.398499999999999</v>
      </c>
      <c r="H4" s="2951">
        <v>2</v>
      </c>
      <c r="I4" s="2951">
        <v>56.398499999999999</v>
      </c>
      <c r="J4" s="2951">
        <v>2</v>
      </c>
      <c r="K4" s="2951">
        <v>56.398499999999999</v>
      </c>
      <c r="L4" s="2951">
        <v>2</v>
      </c>
      <c r="M4" s="2951">
        <v>56.398499999999999</v>
      </c>
    </row>
    <row r="5" spans="1:13">
      <c r="A5" s="2951"/>
      <c r="B5" s="2951">
        <v>3</v>
      </c>
      <c r="C5" s="2951">
        <v>58.451500000000003</v>
      </c>
      <c r="D5" s="2951">
        <v>3</v>
      </c>
      <c r="E5" s="2951">
        <v>56.690199999999997</v>
      </c>
      <c r="F5" s="2951">
        <v>3</v>
      </c>
      <c r="G5" s="2951">
        <v>56.690199999999997</v>
      </c>
      <c r="H5" s="2951">
        <v>3</v>
      </c>
      <c r="I5" s="2951">
        <v>56.690199999999997</v>
      </c>
      <c r="J5" s="2951">
        <v>3</v>
      </c>
      <c r="K5" s="2951">
        <v>56.690199999999997</v>
      </c>
      <c r="L5" s="2951">
        <v>3</v>
      </c>
      <c r="M5" s="2951">
        <v>56.690199999999997</v>
      </c>
    </row>
    <row r="6" spans="1:13">
      <c r="A6" s="2951"/>
      <c r="B6" s="2951">
        <v>4</v>
      </c>
      <c r="C6" s="2951">
        <v>58.451500000000003</v>
      </c>
      <c r="D6" s="2951">
        <v>4</v>
      </c>
      <c r="E6" s="2951">
        <v>56.690199999999997</v>
      </c>
      <c r="F6" s="2951">
        <v>4</v>
      </c>
      <c r="G6" s="2951">
        <v>56.690199999999997</v>
      </c>
      <c r="H6" s="2951">
        <v>4</v>
      </c>
      <c r="I6" s="2951">
        <v>56.690199999999997</v>
      </c>
      <c r="J6" s="2951">
        <v>4</v>
      </c>
      <c r="K6" s="2951">
        <v>56.690199999999997</v>
      </c>
      <c r="L6" s="2951">
        <v>4</v>
      </c>
      <c r="M6" s="2951">
        <v>56.690199999999997</v>
      </c>
    </row>
    <row r="7" spans="1:13">
      <c r="A7" s="2951"/>
      <c r="B7" s="2951">
        <v>5</v>
      </c>
      <c r="C7" s="2951">
        <v>58.150700000000001</v>
      </c>
      <c r="D7" s="2951">
        <v>5</v>
      </c>
      <c r="E7" s="2951">
        <v>56.398499999999999</v>
      </c>
      <c r="F7" s="2951">
        <v>5</v>
      </c>
      <c r="G7" s="2951">
        <v>56.398499999999999</v>
      </c>
      <c r="H7" s="2951">
        <v>5</v>
      </c>
      <c r="I7" s="2951">
        <v>56.398499999999999</v>
      </c>
      <c r="J7" s="2951">
        <v>5</v>
      </c>
      <c r="K7" s="2951">
        <v>56.398499999999999</v>
      </c>
      <c r="L7" s="2951">
        <v>5</v>
      </c>
      <c r="M7" s="2951">
        <v>56.398499999999999</v>
      </c>
    </row>
    <row r="8" spans="1:13">
      <c r="A8" s="2951"/>
      <c r="B8" s="2951">
        <v>6</v>
      </c>
      <c r="C8" s="2951">
        <v>58.150700000000001</v>
      </c>
      <c r="D8" s="2951">
        <v>6</v>
      </c>
      <c r="E8" s="2951">
        <v>56.398499999999999</v>
      </c>
      <c r="F8" s="2951">
        <v>6</v>
      </c>
      <c r="G8" s="2951">
        <v>56.398499999999999</v>
      </c>
      <c r="H8" s="2951">
        <v>6</v>
      </c>
      <c r="I8" s="2951">
        <v>56.398499999999999</v>
      </c>
      <c r="J8" s="2951">
        <v>6</v>
      </c>
      <c r="K8" s="2951">
        <v>56.398499999999999</v>
      </c>
      <c r="L8" s="2951">
        <v>6</v>
      </c>
      <c r="M8" s="2951">
        <v>56.398499999999999</v>
      </c>
    </row>
    <row r="9" spans="1:13">
      <c r="A9" s="2951"/>
      <c r="B9" s="2951">
        <v>7</v>
      </c>
      <c r="C9" s="2951">
        <v>58.451500000000003</v>
      </c>
      <c r="D9" s="2951">
        <v>7</v>
      </c>
      <c r="E9" s="2951">
        <v>56.690199999999997</v>
      </c>
      <c r="F9" s="2951">
        <v>7</v>
      </c>
      <c r="G9" s="2951">
        <v>56.690199999999997</v>
      </c>
      <c r="H9" s="2951">
        <v>7</v>
      </c>
      <c r="I9" s="2951">
        <v>56.690199999999997</v>
      </c>
      <c r="J9" s="2951">
        <v>7</v>
      </c>
      <c r="K9" s="2951">
        <v>56.690199999999997</v>
      </c>
      <c r="L9" s="2951">
        <v>7</v>
      </c>
      <c r="M9" s="2951">
        <v>56.690199999999997</v>
      </c>
    </row>
    <row r="10" spans="1:13">
      <c r="A10" s="2951"/>
      <c r="B10" s="2951">
        <v>8</v>
      </c>
      <c r="C10" s="2951">
        <v>58.451500000000003</v>
      </c>
      <c r="D10" s="2951">
        <v>8</v>
      </c>
      <c r="E10" s="2951">
        <v>56.690199999999997</v>
      </c>
      <c r="F10" s="2951">
        <v>8</v>
      </c>
      <c r="G10" s="2951">
        <v>56.690199999999997</v>
      </c>
      <c r="H10" s="2951">
        <v>8</v>
      </c>
      <c r="I10" s="2951">
        <v>56.690199999999997</v>
      </c>
      <c r="J10" s="2951">
        <v>8</v>
      </c>
      <c r="K10" s="2951">
        <v>56.690199999999997</v>
      </c>
      <c r="L10" s="2951">
        <v>8</v>
      </c>
      <c r="M10" s="2951">
        <v>56.690199999999997</v>
      </c>
    </row>
    <row r="11" spans="1:13">
      <c r="A11" s="2951"/>
      <c r="B11" s="2951">
        <v>9</v>
      </c>
      <c r="C11" s="2951">
        <v>90.895499999999998</v>
      </c>
      <c r="D11" s="2951">
        <v>9</v>
      </c>
      <c r="E11" s="2951">
        <v>88.156499999999994</v>
      </c>
      <c r="F11" s="2951">
        <v>9</v>
      </c>
      <c r="G11" s="2951">
        <v>88.156499999999994</v>
      </c>
      <c r="H11" s="2951">
        <v>9</v>
      </c>
      <c r="I11" s="2951">
        <v>88.156499999999994</v>
      </c>
      <c r="J11" s="2951">
        <v>9</v>
      </c>
      <c r="K11" s="2951">
        <v>88.156499999999994</v>
      </c>
      <c r="L11" s="2951">
        <v>9</v>
      </c>
      <c r="M11" s="2951">
        <v>88.156499999999994</v>
      </c>
    </row>
    <row r="12" spans="1:13">
      <c r="A12" s="2951"/>
      <c r="B12" s="2951">
        <v>10</v>
      </c>
      <c r="C12" s="2951">
        <v>58.702199999999998</v>
      </c>
      <c r="D12" s="2951">
        <v>10</v>
      </c>
      <c r="E12" s="2951">
        <v>56.933300000000003</v>
      </c>
      <c r="F12" s="2951">
        <v>10</v>
      </c>
      <c r="G12" s="2951">
        <v>56.933300000000003</v>
      </c>
      <c r="H12" s="2951">
        <v>10</v>
      </c>
      <c r="I12" s="2951">
        <v>56.933300000000003</v>
      </c>
      <c r="J12" s="2951">
        <v>10</v>
      </c>
      <c r="K12" s="2951">
        <v>56.933300000000003</v>
      </c>
      <c r="L12" s="2951">
        <v>10</v>
      </c>
      <c r="M12" s="2951">
        <v>56.933300000000003</v>
      </c>
    </row>
    <row r="13" spans="1:13">
      <c r="A13" s="2951"/>
      <c r="B13" s="2951">
        <v>11</v>
      </c>
      <c r="C13" s="2951">
        <v>58.702199999999998</v>
      </c>
      <c r="D13" s="2951">
        <v>11</v>
      </c>
      <c r="E13" s="2951">
        <v>56.933300000000003</v>
      </c>
      <c r="F13" s="2951">
        <v>11</v>
      </c>
      <c r="G13" s="2951">
        <v>56.933300000000003</v>
      </c>
      <c r="H13" s="2951">
        <v>11</v>
      </c>
      <c r="I13" s="2951">
        <v>56.933300000000003</v>
      </c>
      <c r="J13" s="2951">
        <v>11</v>
      </c>
      <c r="K13" s="2951">
        <v>56.933300000000003</v>
      </c>
      <c r="L13" s="2951">
        <v>11</v>
      </c>
      <c r="M13" s="2951">
        <v>56.933300000000003</v>
      </c>
    </row>
    <row r="14" spans="1:13">
      <c r="A14" s="2951"/>
      <c r="B14" s="2951">
        <v>12</v>
      </c>
      <c r="C14" s="2951">
        <v>59.003</v>
      </c>
      <c r="D14" s="2951">
        <v>12</v>
      </c>
      <c r="E14" s="2951">
        <v>57.225000000000001</v>
      </c>
      <c r="F14" s="2951">
        <v>12</v>
      </c>
      <c r="G14" s="2951">
        <v>57.225000000000001</v>
      </c>
      <c r="H14" s="2951">
        <v>12</v>
      </c>
      <c r="I14" s="2951">
        <v>57.225000000000001</v>
      </c>
      <c r="J14" s="2951">
        <v>12</v>
      </c>
      <c r="K14" s="2951">
        <v>57.225000000000001</v>
      </c>
      <c r="L14" s="2951">
        <v>12</v>
      </c>
      <c r="M14" s="2951">
        <v>57.225000000000001</v>
      </c>
    </row>
    <row r="15" spans="1:13">
      <c r="A15" s="2951"/>
      <c r="B15" s="2951">
        <v>13</v>
      </c>
      <c r="C15" s="2951">
        <v>59.003</v>
      </c>
      <c r="D15" s="2951">
        <v>13</v>
      </c>
      <c r="E15" s="2951">
        <v>57.225000000000001</v>
      </c>
      <c r="F15" s="2951">
        <v>13</v>
      </c>
      <c r="G15" s="2951">
        <v>57.225000000000001</v>
      </c>
      <c r="H15" s="2951">
        <v>13</v>
      </c>
      <c r="I15" s="2951">
        <v>57.225000000000001</v>
      </c>
      <c r="J15" s="2951">
        <v>13</v>
      </c>
      <c r="K15" s="2951">
        <v>57.225000000000001</v>
      </c>
      <c r="L15" s="2951">
        <v>13</v>
      </c>
      <c r="M15" s="2951">
        <v>57.225000000000001</v>
      </c>
    </row>
    <row r="16" spans="1:13">
      <c r="A16" s="2951"/>
      <c r="B16" s="2951">
        <v>14</v>
      </c>
      <c r="C16" s="2951">
        <v>59.003</v>
      </c>
      <c r="D16" s="2951">
        <v>14</v>
      </c>
      <c r="E16" s="2951">
        <v>57.225000000000001</v>
      </c>
      <c r="F16" s="2951">
        <v>14</v>
      </c>
      <c r="G16" s="2951">
        <v>57.225000000000001</v>
      </c>
      <c r="H16" s="2951">
        <v>14</v>
      </c>
      <c r="I16" s="2951">
        <v>57.225000000000001</v>
      </c>
      <c r="J16" s="2951">
        <v>14</v>
      </c>
      <c r="K16" s="2951">
        <v>57.225000000000001</v>
      </c>
      <c r="L16" s="2951">
        <v>14</v>
      </c>
      <c r="M16" s="2951">
        <v>57.225000000000001</v>
      </c>
    </row>
    <row r="17" spans="1:13">
      <c r="A17" s="2951"/>
      <c r="B17" s="2951">
        <v>15</v>
      </c>
      <c r="C17" s="2951">
        <v>105.28959999999999</v>
      </c>
      <c r="D17" s="2951">
        <v>15</v>
      </c>
      <c r="E17" s="2951">
        <v>102.1169</v>
      </c>
      <c r="F17" s="2951">
        <v>15</v>
      </c>
      <c r="G17" s="2951">
        <v>102.1169</v>
      </c>
      <c r="H17" s="2951">
        <v>15</v>
      </c>
      <c r="I17" s="2951">
        <v>102.1169</v>
      </c>
      <c r="J17" s="2951">
        <v>15</v>
      </c>
      <c r="K17" s="2951">
        <v>102.1169</v>
      </c>
      <c r="L17" s="2951">
        <v>15</v>
      </c>
      <c r="M17" s="2951">
        <v>102.1169</v>
      </c>
    </row>
    <row r="18" spans="1:13">
      <c r="A18" s="2951"/>
      <c r="B18" s="2951">
        <v>16</v>
      </c>
      <c r="C18" s="2951">
        <v>57.072899999999997</v>
      </c>
      <c r="D18" s="2951">
        <v>16</v>
      </c>
      <c r="E18" s="2951">
        <v>55.353200000000001</v>
      </c>
      <c r="F18" s="2951">
        <v>16</v>
      </c>
      <c r="G18" s="2951">
        <v>55.353200000000001</v>
      </c>
      <c r="H18" s="2951">
        <v>16</v>
      </c>
      <c r="I18" s="2951">
        <v>55.353200000000001</v>
      </c>
      <c r="J18" s="2951">
        <v>16</v>
      </c>
      <c r="K18" s="2951">
        <v>55.353200000000001</v>
      </c>
      <c r="L18" s="2951">
        <v>16</v>
      </c>
      <c r="M18" s="2951">
        <v>55.353200000000001</v>
      </c>
    </row>
    <row r="19" spans="1:13">
      <c r="A19" s="2951"/>
      <c r="B19" s="2951">
        <v>17</v>
      </c>
      <c r="C19" s="2951">
        <v>56.772199999999998</v>
      </c>
      <c r="D19" s="2951">
        <v>17</v>
      </c>
      <c r="E19" s="2951">
        <v>55.061399999999999</v>
      </c>
      <c r="F19" s="2951">
        <v>17</v>
      </c>
      <c r="G19" s="2951">
        <v>55.061399999999999</v>
      </c>
      <c r="H19" s="2951">
        <v>17</v>
      </c>
      <c r="I19" s="2951">
        <v>55.061399999999999</v>
      </c>
      <c r="J19" s="2951">
        <v>17</v>
      </c>
      <c r="K19" s="2951">
        <v>55.061399999999999</v>
      </c>
      <c r="L19" s="2951">
        <v>17</v>
      </c>
      <c r="M19" s="2951">
        <v>55.061399999999999</v>
      </c>
    </row>
    <row r="20" spans="1:13">
      <c r="A20" s="2951"/>
      <c r="B20" s="2951">
        <v>18</v>
      </c>
      <c r="C20" s="2951">
        <v>56.772199999999998</v>
      </c>
      <c r="D20" s="2951">
        <v>18</v>
      </c>
      <c r="E20" s="2951">
        <v>55.061399999999999</v>
      </c>
      <c r="F20" s="2951">
        <v>18</v>
      </c>
      <c r="G20" s="2951">
        <v>55.061399999999999</v>
      </c>
      <c r="H20" s="2951">
        <v>18</v>
      </c>
      <c r="I20" s="2951">
        <v>55.061399999999999</v>
      </c>
      <c r="J20" s="2951">
        <v>18</v>
      </c>
      <c r="K20" s="2951">
        <v>55.061399999999999</v>
      </c>
      <c r="L20" s="2951">
        <v>18</v>
      </c>
      <c r="M20" s="2951">
        <v>55.061399999999999</v>
      </c>
    </row>
    <row r="21" spans="1:13">
      <c r="A21" s="2951"/>
      <c r="B21" s="2951">
        <v>19</v>
      </c>
      <c r="C21" s="2951">
        <v>57.072899999999997</v>
      </c>
      <c r="D21" s="2951">
        <v>19</v>
      </c>
      <c r="E21" s="2951">
        <v>55.353200000000001</v>
      </c>
      <c r="F21" s="2951">
        <v>19</v>
      </c>
      <c r="G21" s="2951">
        <v>55.353200000000001</v>
      </c>
      <c r="H21" s="2951">
        <v>19</v>
      </c>
      <c r="I21" s="2951">
        <v>55.353200000000001</v>
      </c>
      <c r="J21" s="2951">
        <v>19</v>
      </c>
      <c r="K21" s="2951">
        <v>55.353200000000001</v>
      </c>
      <c r="L21" s="2951">
        <v>19</v>
      </c>
      <c r="M21" s="2951">
        <v>55.353200000000001</v>
      </c>
    </row>
    <row r="22" spans="1:13">
      <c r="A22" s="2951"/>
      <c r="B22" s="2951">
        <v>20</v>
      </c>
      <c r="C22" s="2951">
        <v>57.072899999999997</v>
      </c>
      <c r="D22" s="2951">
        <v>20</v>
      </c>
      <c r="E22" s="2951">
        <v>55.353200000000001</v>
      </c>
      <c r="F22" s="2951">
        <v>20</v>
      </c>
      <c r="G22" s="2951">
        <v>55.353200000000001</v>
      </c>
      <c r="H22" s="2951">
        <v>20</v>
      </c>
      <c r="I22" s="2951">
        <v>55.353200000000001</v>
      </c>
      <c r="J22" s="2951">
        <v>20</v>
      </c>
      <c r="K22" s="2951">
        <v>55.353200000000001</v>
      </c>
      <c r="L22" s="2951">
        <v>20</v>
      </c>
      <c r="M22" s="2951">
        <v>55.353200000000001</v>
      </c>
    </row>
    <row r="23" spans="1:13">
      <c r="A23" s="2951"/>
      <c r="B23" s="2951">
        <v>21</v>
      </c>
      <c r="C23" s="2951">
        <v>56.772199999999998</v>
      </c>
      <c r="D23" s="2951">
        <v>21</v>
      </c>
      <c r="E23" s="2951">
        <v>55.061399999999999</v>
      </c>
      <c r="F23" s="2951">
        <v>21</v>
      </c>
      <c r="G23" s="2951">
        <v>55.061399999999999</v>
      </c>
      <c r="H23" s="2951">
        <v>21</v>
      </c>
      <c r="I23" s="2951">
        <v>55.061399999999999</v>
      </c>
      <c r="J23" s="2951">
        <v>21</v>
      </c>
      <c r="K23" s="2951">
        <v>55.061399999999999</v>
      </c>
      <c r="L23" s="2951">
        <v>21</v>
      </c>
      <c r="M23" s="2951">
        <v>55.061399999999999</v>
      </c>
    </row>
    <row r="24" spans="1:13">
      <c r="A24" s="2951"/>
      <c r="B24" s="2951">
        <v>22</v>
      </c>
      <c r="C24" s="2951">
        <v>56.772199999999998</v>
      </c>
      <c r="D24" s="2951">
        <v>22</v>
      </c>
      <c r="E24" s="2951">
        <v>55.061399999999999</v>
      </c>
      <c r="F24" s="2951">
        <v>22</v>
      </c>
      <c r="G24" s="2951">
        <v>55.061399999999999</v>
      </c>
      <c r="H24" s="2951">
        <v>22</v>
      </c>
      <c r="I24" s="2951">
        <v>55.061399999999999</v>
      </c>
      <c r="J24" s="2951">
        <v>22</v>
      </c>
      <c r="K24" s="2951">
        <v>55.061399999999999</v>
      </c>
      <c r="L24" s="2951">
        <v>22</v>
      </c>
      <c r="M24" s="2951">
        <v>55.061399999999999</v>
      </c>
    </row>
    <row r="25" spans="1:13">
      <c r="A25" s="2951"/>
      <c r="B25" s="2951">
        <v>23</v>
      </c>
      <c r="C25" s="2951">
        <v>57.072899999999997</v>
      </c>
      <c r="D25" s="2951">
        <v>23</v>
      </c>
      <c r="E25" s="2951">
        <v>55.353200000000001</v>
      </c>
      <c r="F25" s="2951">
        <v>23</v>
      </c>
      <c r="G25" s="2951">
        <v>55.353200000000001</v>
      </c>
      <c r="H25" s="2951">
        <v>23</v>
      </c>
      <c r="I25" s="2951">
        <v>55.353200000000001</v>
      </c>
      <c r="J25" s="2951">
        <v>23</v>
      </c>
      <c r="K25" s="2951">
        <v>55.353200000000001</v>
      </c>
      <c r="L25" s="2951">
        <v>23</v>
      </c>
      <c r="M25" s="2951">
        <v>55.353200000000001</v>
      </c>
    </row>
    <row r="26" spans="1:13">
      <c r="A26" s="2951"/>
      <c r="B26" s="2951">
        <v>24</v>
      </c>
      <c r="C26" s="2951">
        <v>57.072899999999997</v>
      </c>
      <c r="D26" s="2951">
        <v>24</v>
      </c>
      <c r="E26" s="2951">
        <v>55.353200000000001</v>
      </c>
      <c r="F26" s="2951">
        <v>24</v>
      </c>
      <c r="G26" s="2951">
        <v>55.353200000000001</v>
      </c>
      <c r="H26" s="2951">
        <v>24</v>
      </c>
      <c r="I26" s="2951">
        <v>55.353200000000001</v>
      </c>
      <c r="J26" s="2951">
        <v>24</v>
      </c>
      <c r="K26" s="2951">
        <v>55.353200000000001</v>
      </c>
      <c r="L26" s="2951">
        <v>24</v>
      </c>
      <c r="M26" s="2951">
        <v>55.353200000000001</v>
      </c>
    </row>
    <row r="27" spans="1:13">
      <c r="A27" s="2951"/>
      <c r="B27" s="2951">
        <v>25</v>
      </c>
      <c r="C27" s="2951">
        <v>59.667200000000001</v>
      </c>
      <c r="D27" s="2951">
        <v>25</v>
      </c>
      <c r="E27" s="2951">
        <v>57.869199999999999</v>
      </c>
      <c r="F27" s="2951">
        <v>25</v>
      </c>
      <c r="G27" s="2951">
        <v>57.869199999999999</v>
      </c>
      <c r="H27" s="2951">
        <v>25</v>
      </c>
      <c r="I27" s="2951">
        <v>57.869199999999999</v>
      </c>
      <c r="J27" s="2951">
        <v>25</v>
      </c>
      <c r="K27" s="2951">
        <v>57.869199999999999</v>
      </c>
      <c r="L27" s="2951">
        <v>25</v>
      </c>
      <c r="M27" s="2951">
        <v>57.869199999999999</v>
      </c>
    </row>
    <row r="28" spans="1:13">
      <c r="A28" s="2951"/>
      <c r="B28" s="2951">
        <v>26</v>
      </c>
      <c r="C28" s="2951">
        <v>60.5319</v>
      </c>
      <c r="D28" s="2951">
        <v>26</v>
      </c>
      <c r="E28" s="2951">
        <v>55.353200000000001</v>
      </c>
      <c r="F28" s="2951">
        <v>26</v>
      </c>
      <c r="G28" s="2951">
        <v>55.353200000000001</v>
      </c>
      <c r="H28" s="2951">
        <v>26</v>
      </c>
      <c r="I28" s="2951">
        <v>55.353200000000001</v>
      </c>
      <c r="J28" s="2951">
        <v>26</v>
      </c>
      <c r="K28" s="2951">
        <v>55.353200000000001</v>
      </c>
      <c r="L28" s="2951">
        <v>26</v>
      </c>
      <c r="M28" s="2951">
        <v>55.353200000000001</v>
      </c>
    </row>
    <row r="29" spans="1:13">
      <c r="A29" s="2951"/>
      <c r="B29" s="2951">
        <v>27</v>
      </c>
      <c r="C29" s="2951">
        <v>67.9846</v>
      </c>
      <c r="D29" s="2951">
        <v>27</v>
      </c>
      <c r="E29" s="2951">
        <v>55.353200000000001</v>
      </c>
      <c r="F29" s="2951">
        <v>27</v>
      </c>
      <c r="G29" s="2951">
        <v>55.353200000000001</v>
      </c>
      <c r="H29" s="2951">
        <v>27</v>
      </c>
      <c r="I29" s="2951">
        <v>55.353200000000001</v>
      </c>
      <c r="J29" s="2951">
        <v>27</v>
      </c>
      <c r="K29" s="2951">
        <v>55.353200000000001</v>
      </c>
      <c r="L29" s="2951">
        <v>27</v>
      </c>
      <c r="M29" s="2951">
        <v>55.353200000000001</v>
      </c>
    </row>
    <row r="30" spans="1:13">
      <c r="A30" s="2951"/>
      <c r="B30" s="2951">
        <v>28</v>
      </c>
      <c r="C30" s="2951">
        <v>67.9846</v>
      </c>
      <c r="D30" s="2951">
        <v>28</v>
      </c>
      <c r="E30" s="2951">
        <v>65.936000000000007</v>
      </c>
      <c r="F30" s="2951">
        <v>28</v>
      </c>
      <c r="G30" s="2951">
        <v>65.936000000000007</v>
      </c>
      <c r="H30" s="2951">
        <v>28</v>
      </c>
      <c r="I30" s="2951">
        <v>65.936000000000007</v>
      </c>
      <c r="J30" s="2951">
        <v>28</v>
      </c>
      <c r="K30" s="2951">
        <v>65.936000000000007</v>
      </c>
      <c r="L30" s="2951">
        <v>28</v>
      </c>
      <c r="M30" s="2951">
        <v>65.936000000000007</v>
      </c>
    </row>
    <row r="31" spans="1:13">
      <c r="A31" s="2951"/>
      <c r="B31" s="2951"/>
      <c r="C31" s="2951"/>
      <c r="D31" s="2951">
        <v>29</v>
      </c>
      <c r="E31" s="2951">
        <v>65.936000000000007</v>
      </c>
      <c r="F31" s="2951">
        <v>29</v>
      </c>
      <c r="G31" s="2951">
        <v>65.936000000000007</v>
      </c>
      <c r="H31" s="2951">
        <v>29</v>
      </c>
      <c r="I31" s="2951">
        <v>65.936000000000007</v>
      </c>
      <c r="J31" s="2951">
        <v>29</v>
      </c>
      <c r="K31" s="2951">
        <v>65.936000000000007</v>
      </c>
      <c r="L31" s="2951">
        <v>29</v>
      </c>
      <c r="M31" s="2951">
        <v>65.936000000000007</v>
      </c>
    </row>
    <row r="32" spans="1:13">
      <c r="A32" s="2955" t="s">
        <v>3059</v>
      </c>
      <c r="B32" s="2956"/>
      <c r="C32" s="2956">
        <f>SUM(C3:C31)</f>
        <v>1725.6288999999995</v>
      </c>
      <c r="D32" s="2956"/>
      <c r="E32" s="2956">
        <f>SUM(E3:E31)</f>
        <v>1725.6290000000004</v>
      </c>
      <c r="F32" s="2956"/>
      <c r="G32" s="2956">
        <f>SUM(G3:G31)</f>
        <v>1725.6290000000004</v>
      </c>
      <c r="H32" s="2956"/>
      <c r="I32" s="2956">
        <f>SUM(I3:I31)</f>
        <v>1725.6290000000004</v>
      </c>
      <c r="J32" s="2956"/>
      <c r="K32" s="2956">
        <f>SUM(K3:K31)</f>
        <v>1725.6290000000004</v>
      </c>
      <c r="L32" s="2956"/>
      <c r="M32" s="2956">
        <f>SUM(M3:M31)</f>
        <v>1725.6290000000004</v>
      </c>
    </row>
    <row r="33" spans="1:2">
      <c r="A33" s="2957" t="s">
        <v>3078</v>
      </c>
      <c r="B33" s="2957">
        <f>C32+E32+G32+I32+K32+M32</f>
        <v>10353.773900000002</v>
      </c>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topLeftCell="A6" workbookViewId="0">
      <selection activeCell="I15" sqref="I15"/>
    </sheetView>
  </sheetViews>
  <sheetFormatPr defaultRowHeight="13.5"/>
  <sheetData>
    <row r="1" spans="1:13">
      <c r="A1" s="2952" t="s">
        <v>3066</v>
      </c>
      <c r="B1" s="2951"/>
      <c r="C1" s="2951"/>
      <c r="D1" s="2951"/>
      <c r="E1" s="2951"/>
      <c r="F1" s="2951"/>
      <c r="G1" s="2951"/>
      <c r="H1" s="2951"/>
      <c r="I1" s="2951"/>
      <c r="J1" s="2951"/>
      <c r="K1" s="2951"/>
      <c r="L1" s="2951"/>
      <c r="M1" s="2951"/>
    </row>
    <row r="2" spans="1:13" ht="33.75">
      <c r="A2" s="2951"/>
      <c r="B2" s="2954" t="s">
        <v>3070</v>
      </c>
      <c r="C2" s="2954" t="s">
        <v>3071</v>
      </c>
      <c r="D2" s="2954" t="s">
        <v>3072</v>
      </c>
      <c r="E2" s="2954" t="s">
        <v>3071</v>
      </c>
      <c r="F2" s="2954" t="s">
        <v>3073</v>
      </c>
      <c r="G2" s="2954" t="s">
        <v>3071</v>
      </c>
      <c r="H2" s="2954" t="s">
        <v>3074</v>
      </c>
      <c r="I2" s="2954" t="s">
        <v>3071</v>
      </c>
      <c r="J2" s="2954" t="s">
        <v>3075</v>
      </c>
      <c r="K2" s="2954" t="s">
        <v>3071</v>
      </c>
      <c r="L2" s="2954" t="s">
        <v>3076</v>
      </c>
      <c r="M2" s="2954" t="s">
        <v>3071</v>
      </c>
    </row>
    <row r="3" spans="1:13">
      <c r="A3" s="2952" t="s">
        <v>3067</v>
      </c>
      <c r="B3" s="2951">
        <v>1</v>
      </c>
      <c r="C3" s="2951">
        <v>53.131999999999998</v>
      </c>
      <c r="D3" s="2951">
        <v>1</v>
      </c>
      <c r="E3" s="2951">
        <v>51.785699999999999</v>
      </c>
      <c r="F3" s="2951">
        <v>1</v>
      </c>
      <c r="G3" s="2951">
        <v>51.785699999999999</v>
      </c>
      <c r="H3" s="2951">
        <v>1</v>
      </c>
      <c r="I3" s="2951">
        <v>51.785699999999999</v>
      </c>
      <c r="J3" s="2951">
        <v>1</v>
      </c>
      <c r="K3" s="2951">
        <v>51.785699999999999</v>
      </c>
      <c r="L3" s="2951">
        <v>1</v>
      </c>
      <c r="M3" s="2951">
        <v>51.785699999999999</v>
      </c>
    </row>
    <row r="4" spans="1:13">
      <c r="A4" s="2951"/>
      <c r="B4" s="2951">
        <v>2</v>
      </c>
      <c r="C4" s="2951">
        <v>47.775300000000001</v>
      </c>
      <c r="D4" s="2951">
        <v>2</v>
      </c>
      <c r="E4" s="2951">
        <v>46.564799999999998</v>
      </c>
      <c r="F4" s="2951">
        <v>2</v>
      </c>
      <c r="G4" s="2951">
        <v>46.564799999999998</v>
      </c>
      <c r="H4" s="2951">
        <v>2</v>
      </c>
      <c r="I4" s="2951">
        <v>46.564799999999998</v>
      </c>
      <c r="J4" s="2951">
        <v>2</v>
      </c>
      <c r="K4" s="2951">
        <v>46.564799999999998</v>
      </c>
      <c r="L4" s="2951">
        <v>2</v>
      </c>
      <c r="M4" s="2951">
        <v>46.564799999999998</v>
      </c>
    </row>
    <row r="5" spans="1:13">
      <c r="A5" s="2951"/>
      <c r="B5" s="2951">
        <v>3</v>
      </c>
      <c r="C5" s="2951">
        <v>47.775300000000001</v>
      </c>
      <c r="D5" s="2951">
        <v>3</v>
      </c>
      <c r="E5" s="2951">
        <v>46.564799999999998</v>
      </c>
      <c r="F5" s="2951">
        <v>3</v>
      </c>
      <c r="G5" s="2951">
        <v>46.564799999999998</v>
      </c>
      <c r="H5" s="2951">
        <v>3</v>
      </c>
      <c r="I5" s="2951">
        <v>46.564799999999998</v>
      </c>
      <c r="J5" s="2951">
        <v>3</v>
      </c>
      <c r="K5" s="2951">
        <v>46.564799999999998</v>
      </c>
      <c r="L5" s="2951">
        <v>3</v>
      </c>
      <c r="M5" s="2951">
        <v>46.564799999999998</v>
      </c>
    </row>
    <row r="6" spans="1:13">
      <c r="A6" s="2951"/>
      <c r="B6" s="2951">
        <v>4</v>
      </c>
      <c r="C6" s="2951">
        <v>47.775300000000001</v>
      </c>
      <c r="D6" s="2951">
        <v>4</v>
      </c>
      <c r="E6" s="2951">
        <v>46.564799999999998</v>
      </c>
      <c r="F6" s="2951">
        <v>4</v>
      </c>
      <c r="G6" s="2951">
        <v>46.564799999999998</v>
      </c>
      <c r="H6" s="2951">
        <v>4</v>
      </c>
      <c r="I6" s="2951">
        <v>46.564799999999998</v>
      </c>
      <c r="J6" s="2951">
        <v>4</v>
      </c>
      <c r="K6" s="2951">
        <v>46.564799999999998</v>
      </c>
      <c r="L6" s="2951">
        <v>4</v>
      </c>
      <c r="M6" s="2951">
        <v>46.564799999999998</v>
      </c>
    </row>
    <row r="7" spans="1:13">
      <c r="A7" s="2951"/>
      <c r="B7" s="2951">
        <v>5</v>
      </c>
      <c r="C7" s="2951">
        <v>47.775300000000001</v>
      </c>
      <c r="D7" s="2951">
        <v>5</v>
      </c>
      <c r="E7" s="2951">
        <v>46.564799999999998</v>
      </c>
      <c r="F7" s="2951">
        <v>5</v>
      </c>
      <c r="G7" s="2951">
        <v>46.564799999999998</v>
      </c>
      <c r="H7" s="2951">
        <v>5</v>
      </c>
      <c r="I7" s="2951">
        <v>46.564799999999998</v>
      </c>
      <c r="J7" s="2951">
        <v>5</v>
      </c>
      <c r="K7" s="2951">
        <v>46.564799999999998</v>
      </c>
      <c r="L7" s="2951">
        <v>5</v>
      </c>
      <c r="M7" s="2951">
        <v>46.564799999999998</v>
      </c>
    </row>
    <row r="8" spans="1:13">
      <c r="A8" s="2951"/>
      <c r="B8" s="2951">
        <v>6</v>
      </c>
      <c r="C8" s="2951">
        <v>47.775300000000001</v>
      </c>
      <c r="D8" s="2951">
        <v>6</v>
      </c>
      <c r="E8" s="2951">
        <v>46.564799999999998</v>
      </c>
      <c r="F8" s="2951">
        <v>6</v>
      </c>
      <c r="G8" s="2951">
        <v>46.564799999999998</v>
      </c>
      <c r="H8" s="2951">
        <v>6</v>
      </c>
      <c r="I8" s="2951">
        <v>46.564799999999998</v>
      </c>
      <c r="J8" s="2951">
        <v>6</v>
      </c>
      <c r="K8" s="2951">
        <v>46.564799999999998</v>
      </c>
      <c r="L8" s="2951">
        <v>6</v>
      </c>
      <c r="M8" s="2951">
        <v>46.564799999999998</v>
      </c>
    </row>
    <row r="9" spans="1:13">
      <c r="A9" s="2951"/>
      <c r="B9" s="2951">
        <v>7</v>
      </c>
      <c r="C9" s="2951">
        <v>47.775300000000001</v>
      </c>
      <c r="D9" s="2951">
        <v>7</v>
      </c>
      <c r="E9" s="2951">
        <v>46.564799999999998</v>
      </c>
      <c r="F9" s="2951">
        <v>7</v>
      </c>
      <c r="G9" s="2951">
        <v>46.564799999999998</v>
      </c>
      <c r="H9" s="2951">
        <v>7</v>
      </c>
      <c r="I9" s="2951">
        <v>46.564799999999998</v>
      </c>
      <c r="J9" s="2951">
        <v>7</v>
      </c>
      <c r="K9" s="2951">
        <v>46.564799999999998</v>
      </c>
      <c r="L9" s="2951">
        <v>7</v>
      </c>
      <c r="M9" s="2951">
        <v>46.564799999999998</v>
      </c>
    </row>
    <row r="10" spans="1:13">
      <c r="A10" s="2951"/>
      <c r="B10" s="2951">
        <v>8</v>
      </c>
      <c r="C10" s="2951">
        <v>48.783299999999997</v>
      </c>
      <c r="D10" s="2951">
        <v>8</v>
      </c>
      <c r="E10" s="2951">
        <v>46.564799999999998</v>
      </c>
      <c r="F10" s="2951">
        <v>8</v>
      </c>
      <c r="G10" s="2951">
        <v>46.564799999999998</v>
      </c>
      <c r="H10" s="2951">
        <v>8</v>
      </c>
      <c r="I10" s="2951">
        <v>46.564799999999998</v>
      </c>
      <c r="J10" s="2951">
        <v>8</v>
      </c>
      <c r="K10" s="2951">
        <v>46.564799999999998</v>
      </c>
      <c r="L10" s="2951">
        <v>8</v>
      </c>
      <c r="M10" s="2951">
        <v>46.564799999999998</v>
      </c>
    </row>
    <row r="11" spans="1:13">
      <c r="A11" s="2951"/>
      <c r="B11" s="2951">
        <v>9</v>
      </c>
      <c r="C11" s="2951">
        <v>47.456200000000003</v>
      </c>
      <c r="D11" s="2951">
        <v>9</v>
      </c>
      <c r="E11" s="2951">
        <v>47.547199999999997</v>
      </c>
      <c r="F11" s="2951">
        <v>9</v>
      </c>
      <c r="G11" s="2951">
        <v>47.547199999999997</v>
      </c>
      <c r="H11" s="2951">
        <v>9</v>
      </c>
      <c r="I11" s="2951">
        <v>47.547199999999997</v>
      </c>
      <c r="J11" s="2951">
        <v>9</v>
      </c>
      <c r="K11" s="2951">
        <v>47.547199999999997</v>
      </c>
      <c r="L11" s="2951">
        <v>9</v>
      </c>
      <c r="M11" s="2951">
        <v>47.547199999999997</v>
      </c>
    </row>
    <row r="12" spans="1:13">
      <c r="A12" s="2951"/>
      <c r="B12" s="2951">
        <v>10</v>
      </c>
      <c r="C12" s="2951">
        <v>47.775300000000001</v>
      </c>
      <c r="D12" s="2951">
        <v>10</v>
      </c>
      <c r="E12" s="2951">
        <v>46.253799999999998</v>
      </c>
      <c r="F12" s="2951">
        <v>10</v>
      </c>
      <c r="G12" s="2951">
        <v>46.253799999999998</v>
      </c>
      <c r="H12" s="2951">
        <v>10</v>
      </c>
      <c r="I12" s="2951">
        <v>46.253799999999998</v>
      </c>
      <c r="J12" s="2951">
        <v>10</v>
      </c>
      <c r="K12" s="2951">
        <v>46.253799999999998</v>
      </c>
      <c r="L12" s="2951">
        <v>10</v>
      </c>
      <c r="M12" s="2951">
        <v>46.253799999999998</v>
      </c>
    </row>
    <row r="13" spans="1:13">
      <c r="A13" s="2951"/>
      <c r="B13" s="2951">
        <v>11</v>
      </c>
      <c r="C13" s="2951">
        <v>47.775300000000001</v>
      </c>
      <c r="D13" s="2951">
        <v>11</v>
      </c>
      <c r="E13" s="2951">
        <v>46.564799999999998</v>
      </c>
      <c r="F13" s="2951">
        <v>11</v>
      </c>
      <c r="G13" s="2951">
        <v>46.564799999999998</v>
      </c>
      <c r="H13" s="2951">
        <v>11</v>
      </c>
      <c r="I13" s="2951">
        <v>46.564799999999998</v>
      </c>
      <c r="J13" s="2951">
        <v>11</v>
      </c>
      <c r="K13" s="2951">
        <v>46.564799999999998</v>
      </c>
      <c r="L13" s="2951">
        <v>11</v>
      </c>
      <c r="M13" s="2951">
        <v>46.564799999999998</v>
      </c>
    </row>
    <row r="14" spans="1:13">
      <c r="A14" s="2951"/>
      <c r="B14" s="2951">
        <v>12</v>
      </c>
      <c r="C14" s="2951">
        <v>47.775300000000001</v>
      </c>
      <c r="D14" s="2951">
        <v>12</v>
      </c>
      <c r="E14" s="2951">
        <v>46.564799999999998</v>
      </c>
      <c r="F14" s="2951">
        <v>12</v>
      </c>
      <c r="G14" s="2951">
        <v>46.564799999999998</v>
      </c>
      <c r="H14" s="2951">
        <v>12</v>
      </c>
      <c r="I14" s="2951">
        <v>46.564799999999998</v>
      </c>
      <c r="J14" s="2951">
        <v>12</v>
      </c>
      <c r="K14" s="2951">
        <v>46.564799999999998</v>
      </c>
      <c r="L14" s="2951">
        <v>12</v>
      </c>
      <c r="M14" s="2951">
        <v>46.564799999999998</v>
      </c>
    </row>
    <row r="15" spans="1:13">
      <c r="A15" s="2951"/>
      <c r="B15" s="2951">
        <v>13</v>
      </c>
      <c r="C15" s="2951">
        <v>47.775300000000001</v>
      </c>
      <c r="D15" s="2951">
        <v>13</v>
      </c>
      <c r="E15" s="2951">
        <v>46.564799999999998</v>
      </c>
      <c r="F15" s="2951">
        <v>13</v>
      </c>
      <c r="G15" s="2951">
        <v>46.564799999999998</v>
      </c>
      <c r="H15" s="2951">
        <v>13</v>
      </c>
      <c r="I15" s="2951">
        <v>46.564799999999998</v>
      </c>
      <c r="J15" s="2951">
        <v>13</v>
      </c>
      <c r="K15" s="2951">
        <v>46.564799999999998</v>
      </c>
      <c r="L15" s="2951">
        <v>13</v>
      </c>
      <c r="M15" s="2951">
        <v>46.564799999999998</v>
      </c>
    </row>
    <row r="16" spans="1:13">
      <c r="A16" s="2951"/>
      <c r="B16" s="2951">
        <v>14</v>
      </c>
      <c r="C16" s="2951">
        <v>47.401699999999998</v>
      </c>
      <c r="D16" s="2951">
        <v>14</v>
      </c>
      <c r="E16" s="2951">
        <v>46.564799999999998</v>
      </c>
      <c r="F16" s="2951">
        <v>14</v>
      </c>
      <c r="G16" s="2951">
        <v>46.564799999999998</v>
      </c>
      <c r="H16" s="2951">
        <v>14</v>
      </c>
      <c r="I16" s="2951">
        <v>46.564799999999998</v>
      </c>
      <c r="J16" s="2951">
        <v>14</v>
      </c>
      <c r="K16" s="2951">
        <v>46.564799999999998</v>
      </c>
      <c r="L16" s="2951">
        <v>14</v>
      </c>
      <c r="M16" s="2951">
        <v>46.564799999999998</v>
      </c>
    </row>
    <row r="17" spans="1:13">
      <c r="A17" s="2951"/>
      <c r="B17" s="2951">
        <v>15</v>
      </c>
      <c r="C17" s="2951">
        <v>47.401699999999998</v>
      </c>
      <c r="D17" s="2951">
        <v>15</v>
      </c>
      <c r="E17" s="2951">
        <v>46.200699999999998</v>
      </c>
      <c r="F17" s="2951">
        <v>15</v>
      </c>
      <c r="G17" s="2951">
        <v>46.200699999999998</v>
      </c>
      <c r="H17" s="2951">
        <v>15</v>
      </c>
      <c r="I17" s="2951">
        <v>46.200699999999998</v>
      </c>
      <c r="J17" s="2951">
        <v>15</v>
      </c>
      <c r="K17" s="2951">
        <v>46.200699999999998</v>
      </c>
      <c r="L17" s="2951">
        <v>15</v>
      </c>
      <c r="M17" s="2951">
        <v>46.200699999999998</v>
      </c>
    </row>
    <row r="18" spans="1:13">
      <c r="A18" s="2951"/>
      <c r="B18" s="2951">
        <v>16</v>
      </c>
      <c r="C18" s="2951">
        <v>47.775300000000001</v>
      </c>
      <c r="D18" s="2951">
        <v>16</v>
      </c>
      <c r="E18" s="2951">
        <v>46.200699999999998</v>
      </c>
      <c r="F18" s="2951">
        <v>16</v>
      </c>
      <c r="G18" s="2951">
        <v>46.200699999999998</v>
      </c>
      <c r="H18" s="2951">
        <v>16</v>
      </c>
      <c r="I18" s="2951">
        <v>46.200699999999998</v>
      </c>
      <c r="J18" s="2951">
        <v>16</v>
      </c>
      <c r="K18" s="2951">
        <v>46.200699999999998</v>
      </c>
      <c r="L18" s="2951">
        <v>16</v>
      </c>
      <c r="M18" s="2951">
        <v>46.200699999999998</v>
      </c>
    </row>
    <row r="19" spans="1:13">
      <c r="A19" s="2951"/>
      <c r="B19" s="2951">
        <v>17</v>
      </c>
      <c r="C19" s="2951">
        <v>47.495100000000001</v>
      </c>
      <c r="D19" s="2951">
        <v>17</v>
      </c>
      <c r="E19" s="2951">
        <v>46.564799999999998</v>
      </c>
      <c r="F19" s="2951">
        <v>17</v>
      </c>
      <c r="G19" s="2951">
        <v>46.564799999999998</v>
      </c>
      <c r="H19" s="2951">
        <v>17</v>
      </c>
      <c r="I19" s="2951">
        <v>46.564799999999998</v>
      </c>
      <c r="J19" s="2951">
        <v>17</v>
      </c>
      <c r="K19" s="2951">
        <v>46.564799999999998</v>
      </c>
      <c r="L19" s="2951">
        <v>17</v>
      </c>
      <c r="M19" s="2951">
        <v>46.564799999999998</v>
      </c>
    </row>
    <row r="20" spans="1:13">
      <c r="A20" s="2951"/>
      <c r="B20" s="2951">
        <v>18</v>
      </c>
      <c r="C20" s="2951">
        <v>47.495100000000001</v>
      </c>
      <c r="D20" s="2951">
        <v>18</v>
      </c>
      <c r="E20" s="2951">
        <v>46.291699999999999</v>
      </c>
      <c r="F20" s="2951">
        <v>18</v>
      </c>
      <c r="G20" s="2951">
        <v>46.291699999999999</v>
      </c>
      <c r="H20" s="2951">
        <v>18</v>
      </c>
      <c r="I20" s="2951">
        <v>46.291699999999999</v>
      </c>
      <c r="J20" s="2951">
        <v>18</v>
      </c>
      <c r="K20" s="2951">
        <v>46.291699999999999</v>
      </c>
      <c r="L20" s="2951">
        <v>18</v>
      </c>
      <c r="M20" s="2951">
        <v>46.291699999999999</v>
      </c>
    </row>
    <row r="21" spans="1:13">
      <c r="A21" s="2951"/>
      <c r="B21" s="2951">
        <v>19</v>
      </c>
      <c r="C21" s="2951">
        <v>47.495100000000001</v>
      </c>
      <c r="D21" s="2951">
        <v>19</v>
      </c>
      <c r="E21" s="2951">
        <v>46.291699999999999</v>
      </c>
      <c r="F21" s="2951">
        <v>19</v>
      </c>
      <c r="G21" s="2951">
        <v>46.291699999999999</v>
      </c>
      <c r="H21" s="2951">
        <v>19</v>
      </c>
      <c r="I21" s="2951">
        <v>46.291699999999999</v>
      </c>
      <c r="J21" s="2951">
        <v>19</v>
      </c>
      <c r="K21" s="2951">
        <v>46.291699999999999</v>
      </c>
      <c r="L21" s="2951">
        <v>19</v>
      </c>
      <c r="M21" s="2951">
        <v>46.291699999999999</v>
      </c>
    </row>
    <row r="22" spans="1:13">
      <c r="A22" s="2951"/>
      <c r="B22" s="2951">
        <v>20</v>
      </c>
      <c r="C22" s="2951">
        <v>47.495100000000001</v>
      </c>
      <c r="D22" s="2951">
        <v>20</v>
      </c>
      <c r="E22" s="2951">
        <v>46.291699999999999</v>
      </c>
      <c r="F22" s="2951">
        <v>20</v>
      </c>
      <c r="G22" s="2951">
        <v>46.291699999999999</v>
      </c>
      <c r="H22" s="2951">
        <v>20</v>
      </c>
      <c r="I22" s="2951">
        <v>46.291699999999999</v>
      </c>
      <c r="J22" s="2951">
        <v>20</v>
      </c>
      <c r="K22" s="2951">
        <v>46.291699999999999</v>
      </c>
      <c r="L22" s="2951">
        <v>20</v>
      </c>
      <c r="M22" s="2951">
        <v>46.291699999999999</v>
      </c>
    </row>
    <row r="23" spans="1:13">
      <c r="A23" s="2951"/>
      <c r="B23" s="2951">
        <v>21</v>
      </c>
      <c r="C23" s="2951">
        <v>47.775300000000001</v>
      </c>
      <c r="D23" s="2951">
        <v>21</v>
      </c>
      <c r="E23" s="2951">
        <v>46.291699999999999</v>
      </c>
      <c r="F23" s="2951">
        <v>21</v>
      </c>
      <c r="G23" s="2951">
        <v>46.291699999999999</v>
      </c>
      <c r="H23" s="2951">
        <v>21</v>
      </c>
      <c r="I23" s="2951">
        <v>46.291699999999999</v>
      </c>
      <c r="J23" s="2951">
        <v>21</v>
      </c>
      <c r="K23" s="2951">
        <v>46.291699999999999</v>
      </c>
      <c r="L23" s="2951">
        <v>21</v>
      </c>
      <c r="M23" s="2951">
        <v>46.291699999999999</v>
      </c>
    </row>
    <row r="24" spans="1:13">
      <c r="A24" s="2951"/>
      <c r="B24" s="2951">
        <v>22</v>
      </c>
      <c r="C24" s="2951">
        <v>47.775300000000001</v>
      </c>
      <c r="D24" s="2951">
        <v>22</v>
      </c>
      <c r="E24" s="2951">
        <v>46.564799999999998</v>
      </c>
      <c r="F24" s="2951">
        <v>22</v>
      </c>
      <c r="G24" s="2951">
        <v>46.564799999999998</v>
      </c>
      <c r="H24" s="2951">
        <v>22</v>
      </c>
      <c r="I24" s="2951">
        <v>46.564799999999998</v>
      </c>
      <c r="J24" s="2951">
        <v>22</v>
      </c>
      <c r="K24" s="2951">
        <v>46.564799999999998</v>
      </c>
      <c r="L24" s="2951">
        <v>22</v>
      </c>
      <c r="M24" s="2951">
        <v>46.564799999999998</v>
      </c>
    </row>
    <row r="25" spans="1:13">
      <c r="A25" s="2951"/>
      <c r="B25" s="2951">
        <v>23</v>
      </c>
      <c r="C25" s="2951">
        <v>47.495100000000001</v>
      </c>
      <c r="D25" s="2951">
        <v>23</v>
      </c>
      <c r="E25" s="2951">
        <v>46.564799999999998</v>
      </c>
      <c r="F25" s="2951">
        <v>23</v>
      </c>
      <c r="G25" s="2951">
        <v>46.564799999999998</v>
      </c>
      <c r="H25" s="2951">
        <v>23</v>
      </c>
      <c r="I25" s="2951">
        <v>46.564799999999998</v>
      </c>
      <c r="J25" s="2951">
        <v>23</v>
      </c>
      <c r="K25" s="2951">
        <v>46.564799999999998</v>
      </c>
      <c r="L25" s="2951">
        <v>23</v>
      </c>
      <c r="M25" s="2951">
        <v>46.564799999999998</v>
      </c>
    </row>
    <row r="26" spans="1:13">
      <c r="A26" s="2951"/>
      <c r="B26" s="2951">
        <v>24</v>
      </c>
      <c r="C26" s="2951">
        <v>47.495100000000001</v>
      </c>
      <c r="D26" s="2951">
        <v>24</v>
      </c>
      <c r="E26" s="2951">
        <v>46.291699999999999</v>
      </c>
      <c r="F26" s="2951">
        <v>24</v>
      </c>
      <c r="G26" s="2951">
        <v>46.291699999999999</v>
      </c>
      <c r="H26" s="2951">
        <v>24</v>
      </c>
      <c r="I26" s="2951">
        <v>46.291699999999999</v>
      </c>
      <c r="J26" s="2951">
        <v>24</v>
      </c>
      <c r="K26" s="2951">
        <v>46.291699999999999</v>
      </c>
      <c r="L26" s="2951">
        <v>24</v>
      </c>
      <c r="M26" s="2951">
        <v>46.291699999999999</v>
      </c>
    </row>
    <row r="27" spans="1:13">
      <c r="A27" s="2951"/>
      <c r="B27" s="2951">
        <v>25</v>
      </c>
      <c r="C27" s="2951">
        <v>47.775300000000001</v>
      </c>
      <c r="D27" s="2951">
        <v>25</v>
      </c>
      <c r="E27" s="2951">
        <v>46.291699999999999</v>
      </c>
      <c r="F27" s="2951">
        <v>25</v>
      </c>
      <c r="G27" s="2951">
        <v>46.291699999999999</v>
      </c>
      <c r="H27" s="2951">
        <v>25</v>
      </c>
      <c r="I27" s="2951">
        <v>46.291699999999999</v>
      </c>
      <c r="J27" s="2951">
        <v>25</v>
      </c>
      <c r="K27" s="2951">
        <v>46.291699999999999</v>
      </c>
      <c r="L27" s="2951">
        <v>25</v>
      </c>
      <c r="M27" s="2951">
        <v>46.291699999999999</v>
      </c>
    </row>
    <row r="28" spans="1:13">
      <c r="A28" s="2951"/>
      <c r="B28" s="2951">
        <v>26</v>
      </c>
      <c r="C28" s="2951">
        <v>47.775300000000001</v>
      </c>
      <c r="D28" s="2951">
        <v>26</v>
      </c>
      <c r="E28" s="2951">
        <v>46.564799999999998</v>
      </c>
      <c r="F28" s="2951">
        <v>26</v>
      </c>
      <c r="G28" s="2951">
        <v>46.564799999999998</v>
      </c>
      <c r="H28" s="2951">
        <v>26</v>
      </c>
      <c r="I28" s="2951">
        <v>46.564799999999998</v>
      </c>
      <c r="J28" s="2951">
        <v>26</v>
      </c>
      <c r="K28" s="2951">
        <v>46.564799999999998</v>
      </c>
      <c r="L28" s="2951">
        <v>26</v>
      </c>
      <c r="M28" s="2951">
        <v>46.564799999999998</v>
      </c>
    </row>
    <row r="29" spans="1:13">
      <c r="A29" s="2951"/>
      <c r="B29" s="2951">
        <v>27</v>
      </c>
      <c r="C29" s="2951">
        <v>47.495100000000001</v>
      </c>
      <c r="D29" s="2951">
        <v>27</v>
      </c>
      <c r="E29" s="2951">
        <v>46.564799999999998</v>
      </c>
      <c r="F29" s="2951">
        <v>27</v>
      </c>
      <c r="G29" s="2951">
        <v>46.564799999999998</v>
      </c>
      <c r="H29" s="2951">
        <v>27</v>
      </c>
      <c r="I29" s="2951">
        <v>46.564799999999998</v>
      </c>
      <c r="J29" s="2951">
        <v>27</v>
      </c>
      <c r="K29" s="2951">
        <v>46.564799999999998</v>
      </c>
      <c r="L29" s="2951">
        <v>27</v>
      </c>
      <c r="M29" s="2951">
        <v>46.564799999999998</v>
      </c>
    </row>
    <row r="30" spans="1:13">
      <c r="A30" s="2951"/>
      <c r="B30" s="2951">
        <v>28</v>
      </c>
      <c r="C30" s="2951">
        <v>47.495100000000001</v>
      </c>
      <c r="D30" s="2951">
        <v>28</v>
      </c>
      <c r="E30" s="2951">
        <v>46.291699999999999</v>
      </c>
      <c r="F30" s="2951">
        <v>28</v>
      </c>
      <c r="G30" s="2951">
        <v>46.291699999999999</v>
      </c>
      <c r="H30" s="2951">
        <v>28</v>
      </c>
      <c r="I30" s="2951">
        <v>46.291699999999999</v>
      </c>
      <c r="J30" s="2951">
        <v>28</v>
      </c>
      <c r="K30" s="2951">
        <v>46.291699999999999</v>
      </c>
      <c r="L30" s="2951">
        <v>28</v>
      </c>
      <c r="M30" s="2951">
        <v>46.291699999999999</v>
      </c>
    </row>
    <row r="31" spans="1:13">
      <c r="A31" s="2951"/>
      <c r="B31" s="2951">
        <v>29</v>
      </c>
      <c r="C31" s="2951">
        <v>47.775300000000001</v>
      </c>
      <c r="D31" s="2951">
        <v>29</v>
      </c>
      <c r="E31" s="2951">
        <v>46.291699999999999</v>
      </c>
      <c r="F31" s="2951">
        <v>29</v>
      </c>
      <c r="G31" s="2951">
        <v>46.291699999999999</v>
      </c>
      <c r="H31" s="2951">
        <v>29</v>
      </c>
      <c r="I31" s="2951">
        <v>46.291699999999999</v>
      </c>
      <c r="J31" s="2951">
        <v>29</v>
      </c>
      <c r="K31" s="2951">
        <v>46.291699999999999</v>
      </c>
      <c r="L31" s="2951">
        <v>29</v>
      </c>
      <c r="M31" s="2951">
        <v>46.291699999999999</v>
      </c>
    </row>
    <row r="32" spans="1:13">
      <c r="A32" s="2951"/>
      <c r="B32" s="2951">
        <v>30</v>
      </c>
      <c r="C32" s="2951">
        <v>47.775300000000001</v>
      </c>
      <c r="D32" s="2951">
        <v>30</v>
      </c>
      <c r="E32" s="2951">
        <v>46.564799999999998</v>
      </c>
      <c r="F32" s="2951">
        <v>30</v>
      </c>
      <c r="G32" s="2951">
        <v>46.564799999999998</v>
      </c>
      <c r="H32" s="2951">
        <v>30</v>
      </c>
      <c r="I32" s="2951">
        <v>46.564799999999998</v>
      </c>
      <c r="J32" s="2951">
        <v>30</v>
      </c>
      <c r="K32" s="2951">
        <v>46.564799999999998</v>
      </c>
      <c r="L32" s="2951">
        <v>30</v>
      </c>
      <c r="M32" s="2951">
        <v>46.564799999999998</v>
      </c>
    </row>
    <row r="33" spans="1:13">
      <c r="A33" s="2951"/>
      <c r="B33" s="2951">
        <v>31</v>
      </c>
      <c r="C33" s="2951">
        <v>47.775300000000001</v>
      </c>
      <c r="D33" s="2951">
        <v>31</v>
      </c>
      <c r="E33" s="2951">
        <v>46.564799999999998</v>
      </c>
      <c r="F33" s="2951">
        <v>31</v>
      </c>
      <c r="G33" s="2951">
        <v>46.564799999999998</v>
      </c>
      <c r="H33" s="2951">
        <v>31</v>
      </c>
      <c r="I33" s="2951">
        <v>46.564799999999998</v>
      </c>
      <c r="J33" s="2951">
        <v>31</v>
      </c>
      <c r="K33" s="2951">
        <v>46.564799999999998</v>
      </c>
      <c r="L33" s="2951">
        <v>31</v>
      </c>
      <c r="M33" s="2951">
        <v>46.564799999999998</v>
      </c>
    </row>
    <row r="34" spans="1:13">
      <c r="A34" s="2951"/>
      <c r="B34" s="2951">
        <v>32</v>
      </c>
      <c r="C34" s="2951">
        <v>47.775300000000001</v>
      </c>
      <c r="D34" s="2951">
        <v>32</v>
      </c>
      <c r="E34" s="2951">
        <v>46.564799999999998</v>
      </c>
      <c r="F34" s="2951">
        <v>32</v>
      </c>
      <c r="G34" s="2951">
        <v>46.564799999999998</v>
      </c>
      <c r="H34" s="2951">
        <v>32</v>
      </c>
      <c r="I34" s="2951">
        <v>46.564799999999998</v>
      </c>
      <c r="J34" s="2951">
        <v>32</v>
      </c>
      <c r="K34" s="2951">
        <v>46.564799999999998</v>
      </c>
      <c r="L34" s="2951">
        <v>32</v>
      </c>
      <c r="M34" s="2951">
        <v>46.564799999999998</v>
      </c>
    </row>
    <row r="35" spans="1:13">
      <c r="A35" s="2951"/>
      <c r="B35" s="2951">
        <v>33</v>
      </c>
      <c r="C35" s="2951">
        <v>47.495100000000001</v>
      </c>
      <c r="D35" s="2951">
        <v>33</v>
      </c>
      <c r="E35" s="2951">
        <v>46.564799999999998</v>
      </c>
      <c r="F35" s="2951">
        <v>33</v>
      </c>
      <c r="G35" s="2951">
        <v>46.564799999999998</v>
      </c>
      <c r="H35" s="2951">
        <v>33</v>
      </c>
      <c r="I35" s="2951">
        <v>46.564799999999998</v>
      </c>
      <c r="J35" s="2951">
        <v>33</v>
      </c>
      <c r="K35" s="2951">
        <v>46.564799999999998</v>
      </c>
      <c r="L35" s="2951">
        <v>33</v>
      </c>
      <c r="M35" s="2951">
        <v>46.564799999999998</v>
      </c>
    </row>
    <row r="36" spans="1:13">
      <c r="A36" s="2951"/>
      <c r="B36" s="2951">
        <v>34</v>
      </c>
      <c r="C36" s="2951">
        <v>47.495100000000001</v>
      </c>
      <c r="D36" s="2951">
        <v>34</v>
      </c>
      <c r="E36" s="2951">
        <v>46.291699999999999</v>
      </c>
      <c r="F36" s="2951">
        <v>34</v>
      </c>
      <c r="G36" s="2951">
        <v>46.291699999999999</v>
      </c>
      <c r="H36" s="2951">
        <v>34</v>
      </c>
      <c r="I36" s="2951">
        <v>46.291699999999999</v>
      </c>
      <c r="J36" s="2951">
        <v>34</v>
      </c>
      <c r="K36" s="2951">
        <v>46.291699999999999</v>
      </c>
      <c r="L36" s="2951">
        <v>34</v>
      </c>
      <c r="M36" s="2951">
        <v>46.291699999999999</v>
      </c>
    </row>
    <row r="37" spans="1:13">
      <c r="A37" s="2951"/>
      <c r="B37" s="2951">
        <v>35</v>
      </c>
      <c r="C37" s="2951">
        <v>53.131999999999998</v>
      </c>
      <c r="D37" s="2951">
        <v>35</v>
      </c>
      <c r="E37" s="2951">
        <v>46.291699999999999</v>
      </c>
      <c r="F37" s="2951">
        <v>35</v>
      </c>
      <c r="G37" s="2951">
        <v>46.291699999999999</v>
      </c>
      <c r="H37" s="2951">
        <v>35</v>
      </c>
      <c r="I37" s="2951">
        <v>46.291699999999999</v>
      </c>
      <c r="J37" s="2951">
        <v>35</v>
      </c>
      <c r="K37" s="2951">
        <v>46.291699999999999</v>
      </c>
      <c r="L37" s="2951">
        <v>35</v>
      </c>
      <c r="M37" s="2951">
        <v>46.291699999999999</v>
      </c>
    </row>
    <row r="38" spans="1:13">
      <c r="A38" s="2951"/>
      <c r="B38" s="2951">
        <v>36</v>
      </c>
      <c r="C38" s="2951">
        <v>53.131999999999998</v>
      </c>
      <c r="D38" s="2951">
        <v>36</v>
      </c>
      <c r="E38" s="2951">
        <v>51.785699999999999</v>
      </c>
      <c r="F38" s="2951">
        <v>36</v>
      </c>
      <c r="G38" s="2951">
        <v>51.785699999999999</v>
      </c>
      <c r="H38" s="2951">
        <v>36</v>
      </c>
      <c r="I38" s="2951">
        <v>51.785699999999999</v>
      </c>
      <c r="J38" s="2951">
        <v>36</v>
      </c>
      <c r="K38" s="2951">
        <v>51.785699999999999</v>
      </c>
      <c r="L38" s="2951">
        <v>36</v>
      </c>
      <c r="M38" s="2951">
        <v>51.785699999999999</v>
      </c>
    </row>
    <row r="39" spans="1:13">
      <c r="A39" s="2951"/>
      <c r="B39" s="2951">
        <v>37</v>
      </c>
      <c r="C39" s="2951">
        <v>53.131999999999998</v>
      </c>
      <c r="D39" s="2951">
        <v>37</v>
      </c>
      <c r="E39" s="2951">
        <v>51.785699999999999</v>
      </c>
      <c r="F39" s="2951">
        <v>37</v>
      </c>
      <c r="G39" s="2951">
        <v>51.785699999999999</v>
      </c>
      <c r="H39" s="2951">
        <v>37</v>
      </c>
      <c r="I39" s="2951">
        <v>51.785699999999999</v>
      </c>
      <c r="J39" s="2951">
        <v>37</v>
      </c>
      <c r="K39" s="2951">
        <v>51.785699999999999</v>
      </c>
      <c r="L39" s="2951">
        <v>37</v>
      </c>
      <c r="M39" s="2951">
        <v>51.785699999999999</v>
      </c>
    </row>
    <row r="40" spans="1:13">
      <c r="A40" s="2951"/>
      <c r="B40" s="2951">
        <v>38</v>
      </c>
      <c r="C40" s="2951">
        <v>51.829000000000001</v>
      </c>
      <c r="D40" s="2951">
        <v>38</v>
      </c>
      <c r="E40" s="2951">
        <v>51.785699999999999</v>
      </c>
      <c r="F40" s="2951">
        <v>38</v>
      </c>
      <c r="G40" s="2951">
        <v>51.785699999999999</v>
      </c>
      <c r="H40" s="2951">
        <v>38</v>
      </c>
      <c r="I40" s="2951">
        <v>51.785699999999999</v>
      </c>
      <c r="J40" s="2951">
        <v>38</v>
      </c>
      <c r="K40" s="2951">
        <v>51.785699999999999</v>
      </c>
      <c r="L40" s="2951">
        <v>38</v>
      </c>
      <c r="M40" s="2951">
        <v>51.785699999999999</v>
      </c>
    </row>
    <row r="41" spans="1:13">
      <c r="A41" s="2951"/>
      <c r="B41" s="2951"/>
      <c r="C41" s="2951"/>
      <c r="D41" s="2951">
        <v>39</v>
      </c>
      <c r="E41" s="2951">
        <v>50.515799999999999</v>
      </c>
      <c r="F41" s="2951">
        <v>39</v>
      </c>
      <c r="G41" s="2951">
        <v>50.515799999999999</v>
      </c>
      <c r="H41" s="2951">
        <v>39</v>
      </c>
      <c r="I41" s="2951">
        <v>50.515799999999999</v>
      </c>
      <c r="J41" s="2951">
        <v>39</v>
      </c>
      <c r="K41" s="2951">
        <v>50.515799999999999</v>
      </c>
      <c r="L41" s="2951">
        <v>39</v>
      </c>
      <c r="M41" s="2951">
        <v>50.515799999999999</v>
      </c>
    </row>
    <row r="42" spans="1:13">
      <c r="A42" s="2955" t="s">
        <v>3077</v>
      </c>
      <c r="B42" s="2956"/>
      <c r="C42" s="2956">
        <f>SUM(C3:C41)</f>
        <v>1838.0816000000009</v>
      </c>
      <c r="D42" s="2956"/>
      <c r="E42" s="2956">
        <f>SUM(E3:E41)</f>
        <v>1838.0740000000003</v>
      </c>
      <c r="F42" s="2956"/>
      <c r="G42" s="2956">
        <f>SUM(G3:G41)</f>
        <v>1838.0740000000003</v>
      </c>
      <c r="H42" s="2956"/>
      <c r="I42" s="2956">
        <f>SUM(I3:I41)</f>
        <v>1838.0740000000003</v>
      </c>
      <c r="J42" s="2956"/>
      <c r="K42" s="2956">
        <f>SUM(K3:K41)</f>
        <v>1838.0740000000003</v>
      </c>
      <c r="L42" s="2956"/>
      <c r="M42" s="2956">
        <f>SUM(M3:M41)</f>
        <v>1838.0740000000003</v>
      </c>
    </row>
    <row r="43" spans="1:13">
      <c r="A43" s="2957" t="s">
        <v>3078</v>
      </c>
      <c r="B43" s="2957">
        <f>C42+E42*6+G42*2+I42*2+K42+M42</f>
        <v>23894.969600000004</v>
      </c>
    </row>
  </sheetData>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opLeftCell="H1" workbookViewId="0">
      <selection activeCell="R31" sqref="R31"/>
    </sheetView>
  </sheetViews>
  <sheetFormatPr defaultRowHeight="13.5"/>
  <cols>
    <col min="2" max="2" width="24.625" customWidth="1"/>
    <col min="4" max="6" width="11.625" bestFit="1" customWidth="1"/>
  </cols>
  <sheetData>
    <row r="1" spans="1:10" ht="19.5" customHeight="1">
      <c r="A1" s="3148" t="s">
        <v>3079</v>
      </c>
      <c r="B1" s="3149"/>
      <c r="C1" s="3149"/>
      <c r="D1" s="3149"/>
      <c r="E1" s="3149"/>
      <c r="F1" s="3149"/>
      <c r="G1" s="3150"/>
      <c r="I1" s="2984" t="s">
        <v>3198</v>
      </c>
      <c r="J1">
        <v>71558</v>
      </c>
    </row>
    <row r="2" spans="1:10">
      <c r="A2" s="2953" t="s">
        <v>3080</v>
      </c>
      <c r="B2" s="2953" t="s">
        <v>3081</v>
      </c>
      <c r="C2" s="2953" t="s">
        <v>3082</v>
      </c>
      <c r="D2" s="2953" t="s">
        <v>3083</v>
      </c>
      <c r="E2" s="2953" t="s">
        <v>3084</v>
      </c>
      <c r="F2" s="2953" t="s">
        <v>3085</v>
      </c>
      <c r="G2" s="2953" t="s">
        <v>3086</v>
      </c>
      <c r="I2" s="2985" t="s">
        <v>3194</v>
      </c>
      <c r="J2">
        <v>11740</v>
      </c>
    </row>
    <row r="3" spans="1:10" ht="21.75" customHeight="1">
      <c r="A3" s="2953" t="s">
        <v>3104</v>
      </c>
      <c r="B3" s="2953" t="s">
        <v>3096</v>
      </c>
      <c r="C3" s="2953">
        <v>1</v>
      </c>
      <c r="D3" s="2953">
        <v>11149.876700000001</v>
      </c>
      <c r="E3" s="2953">
        <v>1487.1950999999999</v>
      </c>
      <c r="F3" s="2953">
        <v>12637.0718</v>
      </c>
      <c r="G3" s="2953"/>
      <c r="I3" s="2984" t="s">
        <v>3199</v>
      </c>
      <c r="J3">
        <v>11850</v>
      </c>
    </row>
    <row r="4" spans="1:10" ht="15.75" customHeight="1">
      <c r="A4" s="2953" t="s">
        <v>3087</v>
      </c>
      <c r="B4" s="2953" t="s">
        <v>3097</v>
      </c>
      <c r="C4" s="2953">
        <v>1</v>
      </c>
      <c r="D4" s="2953">
        <v>655.82069999999999</v>
      </c>
      <c r="E4" s="2953">
        <v>223.04089999999999</v>
      </c>
      <c r="F4" s="2953">
        <v>878.86159999999995</v>
      </c>
      <c r="G4" s="2953"/>
      <c r="I4" s="2985" t="s">
        <v>142</v>
      </c>
      <c r="J4">
        <v>11745</v>
      </c>
    </row>
    <row r="5" spans="1:10" ht="15.75" customHeight="1">
      <c r="A5" s="2953" t="s">
        <v>3087</v>
      </c>
      <c r="B5" s="2953" t="s">
        <v>3098</v>
      </c>
      <c r="C5" s="2953">
        <v>1</v>
      </c>
      <c r="D5" s="2953">
        <v>5.3345000000000002</v>
      </c>
      <c r="E5" s="2953">
        <v>0</v>
      </c>
      <c r="F5" s="2953">
        <v>5.3345000000000002</v>
      </c>
      <c r="G5" s="2953"/>
      <c r="I5" s="2984" t="s">
        <v>3200</v>
      </c>
      <c r="J5">
        <v>11705</v>
      </c>
    </row>
    <row r="6" spans="1:10" ht="19.5" customHeight="1">
      <c r="A6" s="2953" t="s">
        <v>3088</v>
      </c>
      <c r="B6" s="2953" t="s">
        <v>3096</v>
      </c>
      <c r="C6" s="2953">
        <v>1</v>
      </c>
      <c r="D6" s="2953">
        <v>10225.9092</v>
      </c>
      <c r="E6" s="2953">
        <v>1437.9522999999999</v>
      </c>
      <c r="F6" s="2953">
        <v>11663.861500000001</v>
      </c>
      <c r="G6" s="2953"/>
      <c r="I6" s="2985" t="s">
        <v>3195</v>
      </c>
      <c r="J6">
        <v>27268</v>
      </c>
    </row>
    <row r="7" spans="1:10" ht="17.25" customHeight="1">
      <c r="A7" s="2953" t="s">
        <v>3088</v>
      </c>
      <c r="B7" s="2953" t="s">
        <v>3097</v>
      </c>
      <c r="C7" s="2953">
        <v>2</v>
      </c>
      <c r="D7" s="2953">
        <v>1029.8787</v>
      </c>
      <c r="E7" s="2953">
        <v>368.39179999999999</v>
      </c>
      <c r="F7" s="2953">
        <v>1398.2705000000001</v>
      </c>
      <c r="G7" s="2953"/>
      <c r="I7" s="2984" t="s">
        <v>3201</v>
      </c>
      <c r="J7">
        <v>12079</v>
      </c>
    </row>
    <row r="8" spans="1:10" ht="15.75" customHeight="1">
      <c r="A8" s="2953" t="s">
        <v>3088</v>
      </c>
      <c r="B8" s="2953" t="s">
        <v>3099</v>
      </c>
      <c r="C8" s="2953">
        <v>1</v>
      </c>
      <c r="D8" s="2953">
        <v>32.852499999999999</v>
      </c>
      <c r="E8" s="2953">
        <v>4.0031999999999996</v>
      </c>
      <c r="F8" s="2953">
        <v>36.855699999999999</v>
      </c>
      <c r="G8" s="2953"/>
      <c r="I8" s="2985" t="s">
        <v>3196</v>
      </c>
      <c r="J8">
        <v>12080</v>
      </c>
    </row>
    <row r="9" spans="1:10" ht="14.25" customHeight="1">
      <c r="A9" s="2953" t="s">
        <v>3088</v>
      </c>
      <c r="B9" s="2953" t="s">
        <v>3100</v>
      </c>
      <c r="C9" s="2953">
        <v>1</v>
      </c>
      <c r="D9" s="2953">
        <v>5.3345000000000002</v>
      </c>
      <c r="E9" s="2953">
        <v>0</v>
      </c>
      <c r="F9" s="2953">
        <v>5.3345000000000002</v>
      </c>
      <c r="G9" s="2953"/>
      <c r="I9" s="2984" t="s">
        <v>3202</v>
      </c>
      <c r="J9">
        <v>12086</v>
      </c>
    </row>
    <row r="10" spans="1:10" ht="16.5" customHeight="1">
      <c r="A10" s="2953" t="s">
        <v>3089</v>
      </c>
      <c r="B10" s="2953" t="s">
        <v>3101</v>
      </c>
      <c r="C10" s="2953">
        <v>86</v>
      </c>
      <c r="D10" s="2953">
        <v>3674.0761000000002</v>
      </c>
      <c r="E10" s="2953">
        <v>380.86239999999998</v>
      </c>
      <c r="F10" s="2953">
        <v>4054.9385000000002</v>
      </c>
      <c r="G10" s="2953"/>
      <c r="I10" s="2985" t="s">
        <v>3197</v>
      </c>
      <c r="J10">
        <v>12082</v>
      </c>
    </row>
    <row r="11" spans="1:10" ht="16.5" customHeight="1">
      <c r="A11" s="2953" t="s">
        <v>3089</v>
      </c>
      <c r="B11" s="2953" t="s">
        <v>3102</v>
      </c>
      <c r="C11" s="2953">
        <v>1</v>
      </c>
      <c r="D11" s="2953">
        <v>893.69069999999999</v>
      </c>
      <c r="E11" s="2953">
        <v>23.303699999999999</v>
      </c>
      <c r="F11" s="2953">
        <v>916.99440000000004</v>
      </c>
      <c r="G11" s="2953"/>
      <c r="I11" s="2984"/>
      <c r="J11">
        <f>SUM(J1:J10)</f>
        <v>194193</v>
      </c>
    </row>
    <row r="12" spans="1:10" ht="16.5" customHeight="1">
      <c r="A12" s="2953" t="s">
        <v>3089</v>
      </c>
      <c r="B12" s="2953" t="s">
        <v>3103</v>
      </c>
      <c r="C12" s="2953">
        <v>2</v>
      </c>
      <c r="D12" s="2953">
        <v>68.817499999999995</v>
      </c>
      <c r="E12" s="2953">
        <v>1.7944</v>
      </c>
      <c r="F12" s="2953">
        <v>70.611900000000006</v>
      </c>
      <c r="G12" s="2953"/>
      <c r="I12" s="2985"/>
    </row>
    <row r="13" spans="1:10" ht="16.5" customHeight="1">
      <c r="A13" s="2953" t="s">
        <v>3090</v>
      </c>
      <c r="B13" s="2953" t="s">
        <v>3101</v>
      </c>
      <c r="C13" s="2953">
        <v>48</v>
      </c>
      <c r="D13" s="2953">
        <v>3813.5571</v>
      </c>
      <c r="E13" s="2953">
        <v>2631.5482000000002</v>
      </c>
      <c r="F13" s="2953">
        <v>6445.1053000000002</v>
      </c>
      <c r="G13" s="2953"/>
      <c r="I13" s="2984"/>
    </row>
    <row r="14" spans="1:10" ht="16.5" customHeight="1">
      <c r="A14" s="2953" t="s">
        <v>3068</v>
      </c>
      <c r="B14" s="2953" t="s">
        <v>3101</v>
      </c>
      <c r="C14" s="2953">
        <v>98</v>
      </c>
      <c r="D14" s="2953">
        <v>3639.5486999999998</v>
      </c>
      <c r="E14" s="2953">
        <v>2267.9816000000001</v>
      </c>
      <c r="F14" s="2953">
        <v>5907.5303000000004</v>
      </c>
      <c r="G14" s="2953"/>
      <c r="I14" s="2985"/>
    </row>
    <row r="15" spans="1:10" ht="24">
      <c r="A15" s="2953" t="s">
        <v>3091</v>
      </c>
      <c r="B15" s="2953" t="s">
        <v>3101</v>
      </c>
      <c r="C15" s="2953">
        <v>612</v>
      </c>
      <c r="D15" s="2953">
        <v>22554.142199999998</v>
      </c>
      <c r="E15" s="2953">
        <v>12657.947399999999</v>
      </c>
      <c r="F15" s="2953">
        <v>35212.089599999999</v>
      </c>
      <c r="G15" s="2953"/>
      <c r="I15" s="2984"/>
    </row>
    <row r="16" spans="1:10">
      <c r="A16" s="2953" t="s">
        <v>3092</v>
      </c>
      <c r="B16" s="2953" t="s">
        <v>3101</v>
      </c>
      <c r="C16" s="2953">
        <v>204</v>
      </c>
      <c r="D16" s="2953">
        <v>7518.0474000000004</v>
      </c>
      <c r="E16" s="2953">
        <v>4219.3158000000003</v>
      </c>
      <c r="F16" s="2953">
        <v>11737.3632</v>
      </c>
      <c r="G16" s="2953"/>
      <c r="I16" s="2985"/>
    </row>
    <row r="17" spans="1:9">
      <c r="A17" s="2953" t="s">
        <v>3093</v>
      </c>
      <c r="B17" s="2953" t="s">
        <v>3101</v>
      </c>
      <c r="C17" s="2953">
        <v>204</v>
      </c>
      <c r="D17" s="2953">
        <v>7518.0474000000004</v>
      </c>
      <c r="E17" s="2953">
        <v>4219.3158000000003</v>
      </c>
      <c r="F17" s="2953">
        <v>11737.3632</v>
      </c>
      <c r="G17" s="2953"/>
      <c r="I17" s="2986"/>
    </row>
    <row r="18" spans="1:9">
      <c r="A18" s="2953" t="s">
        <v>3094</v>
      </c>
      <c r="B18" s="2953" t="s">
        <v>3101</v>
      </c>
      <c r="C18" s="2953">
        <v>102</v>
      </c>
      <c r="D18" s="2953">
        <v>3759.0237000000002</v>
      </c>
      <c r="E18" s="2953">
        <v>2109.6579000000002</v>
      </c>
      <c r="F18" s="2953">
        <v>5868.6815999999999</v>
      </c>
      <c r="G18" s="2953"/>
    </row>
    <row r="19" spans="1:9">
      <c r="A19" s="2953" t="s">
        <v>3095</v>
      </c>
      <c r="B19" s="2953" t="s">
        <v>3101</v>
      </c>
      <c r="C19" s="2953">
        <v>102</v>
      </c>
      <c r="D19" s="2953">
        <v>3759.0237000000002</v>
      </c>
      <c r="E19" s="2953">
        <v>2109.6579000000002</v>
      </c>
      <c r="F19" s="2953">
        <v>5868.6815999999999</v>
      </c>
      <c r="G19" s="2953"/>
    </row>
    <row r="20" spans="1:9">
      <c r="A20" s="2958" t="s">
        <v>3059</v>
      </c>
      <c r="B20" s="2956"/>
      <c r="C20" s="2956">
        <f>SUM(C3:C19)</f>
        <v>1467</v>
      </c>
      <c r="D20" s="2956">
        <f>SUM(D3:D19)</f>
        <v>80302.981300000029</v>
      </c>
      <c r="E20" s="2956">
        <f>SUM(E3:E19)</f>
        <v>34141.968399999998</v>
      </c>
      <c r="F20" s="2956">
        <f>SUM(F3:F19)</f>
        <v>114444.94969999997</v>
      </c>
      <c r="G20" s="2956"/>
    </row>
    <row r="22" spans="1:9" ht="24">
      <c r="A22" s="2959" t="s">
        <v>3105</v>
      </c>
      <c r="B22">
        <f>SUM(F14:F19)</f>
        <v>76331.709499999997</v>
      </c>
    </row>
    <row r="24" spans="1:9">
      <c r="A24" s="2959" t="s">
        <v>4863</v>
      </c>
      <c r="B24" s="3053">
        <f>SUM(F10:F19)-F11-F12</f>
        <v>86831.753299999997</v>
      </c>
    </row>
  </sheetData>
  <mergeCells count="1">
    <mergeCell ref="A1:G1"/>
  </mergeCells>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I15" sqref="I15"/>
    </sheetView>
  </sheetViews>
  <sheetFormatPr defaultRowHeight="13.5"/>
  <sheetData>
    <row r="1" spans="1:4" ht="42.75">
      <c r="A1" s="2973" t="s">
        <v>3174</v>
      </c>
    </row>
    <row r="2" spans="1:4" ht="17.25" thickBot="1">
      <c r="A2" s="2974" t="s">
        <v>3175</v>
      </c>
      <c r="B2" s="2975" t="s">
        <v>3176</v>
      </c>
      <c r="C2" s="2975" t="s">
        <v>3177</v>
      </c>
      <c r="D2" s="2975" t="s">
        <v>3178</v>
      </c>
    </row>
    <row r="3" spans="1:4" ht="16.5">
      <c r="A3" s="2976">
        <v>2017.2</v>
      </c>
      <c r="B3" s="2977">
        <v>30171</v>
      </c>
      <c r="C3" s="2977">
        <v>0.98</v>
      </c>
      <c r="D3" s="2977"/>
    </row>
    <row r="4" spans="1:4" ht="16.5">
      <c r="A4" s="2978">
        <v>2017.3</v>
      </c>
      <c r="B4" s="2979">
        <v>30460</v>
      </c>
      <c r="C4" s="2979">
        <v>0.96</v>
      </c>
      <c r="D4" s="2979"/>
    </row>
    <row r="5" spans="1:4" ht="16.5">
      <c r="A5" s="2976">
        <v>2017.4</v>
      </c>
      <c r="B5" s="2977">
        <v>30814</v>
      </c>
      <c r="C5" s="2977">
        <v>1.1599999999999999</v>
      </c>
      <c r="D5" s="2977"/>
    </row>
    <row r="6" spans="1:4" ht="16.5">
      <c r="A6" s="2978">
        <v>2018.1</v>
      </c>
      <c r="B6" s="2979">
        <v>31087</v>
      </c>
      <c r="C6" s="2979">
        <v>0.89</v>
      </c>
      <c r="D6" s="2979"/>
    </row>
    <row r="7" spans="1:4" ht="16.5">
      <c r="A7" s="2980">
        <v>2018.2</v>
      </c>
      <c r="B7" s="2981">
        <v>31406</v>
      </c>
      <c r="C7" s="2981">
        <v>1.03</v>
      </c>
    </row>
    <row r="8" spans="1:4">
      <c r="C8">
        <f>AVERAGE(C3:C7)</f>
        <v>1.004</v>
      </c>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9"/>
  <sheetViews>
    <sheetView zoomScaleSheetLayoutView="100" workbookViewId="0">
      <pane xSplit="1" ySplit="1" topLeftCell="B525" activePane="bottomRight" state="frozen"/>
      <selection activeCell="I15" sqref="I15"/>
      <selection pane="topRight" activeCell="I15" sqref="I15"/>
      <selection pane="bottomLeft" activeCell="I15" sqref="I15"/>
      <selection pane="bottomRight" activeCell="H69" sqref="H69:H71"/>
    </sheetView>
  </sheetViews>
  <sheetFormatPr defaultColWidth="9" defaultRowHeight="14.25"/>
  <cols>
    <col min="1" max="2" width="9" style="3028"/>
    <col min="3" max="3" width="34.625" style="3028" customWidth="1"/>
    <col min="4" max="4" width="16" style="3028" customWidth="1"/>
    <col min="5" max="8" width="9" style="3028"/>
    <col min="9" max="9" width="13.25" style="3028" customWidth="1"/>
    <col min="10" max="260" width="9" style="3028"/>
    <col min="261" max="261" width="34.625" style="3028" customWidth="1"/>
    <col min="262" max="262" width="16" style="3028" customWidth="1"/>
    <col min="263" max="516" width="9" style="3028"/>
    <col min="517" max="517" width="34.625" style="3028" customWidth="1"/>
    <col min="518" max="518" width="16" style="3028" customWidth="1"/>
    <col min="519" max="772" width="9" style="3028"/>
    <col min="773" max="773" width="34.625" style="3028" customWidth="1"/>
    <col min="774" max="774" width="16" style="3028" customWidth="1"/>
    <col min="775" max="1028" width="9" style="3028"/>
    <col min="1029" max="1029" width="34.625" style="3028" customWidth="1"/>
    <col min="1030" max="1030" width="16" style="3028" customWidth="1"/>
    <col min="1031" max="1284" width="9" style="3028"/>
    <col min="1285" max="1285" width="34.625" style="3028" customWidth="1"/>
    <col min="1286" max="1286" width="16" style="3028" customWidth="1"/>
    <col min="1287" max="1540" width="9" style="3028"/>
    <col min="1541" max="1541" width="34.625" style="3028" customWidth="1"/>
    <col min="1542" max="1542" width="16" style="3028" customWidth="1"/>
    <col min="1543" max="1796" width="9" style="3028"/>
    <col min="1797" max="1797" width="34.625" style="3028" customWidth="1"/>
    <col min="1798" max="1798" width="16" style="3028" customWidth="1"/>
    <col min="1799" max="2052" width="9" style="3028"/>
    <col min="2053" max="2053" width="34.625" style="3028" customWidth="1"/>
    <col min="2054" max="2054" width="16" style="3028" customWidth="1"/>
    <col min="2055" max="2308" width="9" style="3028"/>
    <col min="2309" max="2309" width="34.625" style="3028" customWidth="1"/>
    <col min="2310" max="2310" width="16" style="3028" customWidth="1"/>
    <col min="2311" max="2564" width="9" style="3028"/>
    <col min="2565" max="2565" width="34.625" style="3028" customWidth="1"/>
    <col min="2566" max="2566" width="16" style="3028" customWidth="1"/>
    <col min="2567" max="2820" width="9" style="3028"/>
    <col min="2821" max="2821" width="34.625" style="3028" customWidth="1"/>
    <col min="2822" max="2822" width="16" style="3028" customWidth="1"/>
    <col min="2823" max="3076" width="9" style="3028"/>
    <col min="3077" max="3077" width="34.625" style="3028" customWidth="1"/>
    <col min="3078" max="3078" width="16" style="3028" customWidth="1"/>
    <col min="3079" max="3332" width="9" style="3028"/>
    <col min="3333" max="3333" width="34.625" style="3028" customWidth="1"/>
    <col min="3334" max="3334" width="16" style="3028" customWidth="1"/>
    <col min="3335" max="3588" width="9" style="3028"/>
    <col min="3589" max="3589" width="34.625" style="3028" customWidth="1"/>
    <col min="3590" max="3590" width="16" style="3028" customWidth="1"/>
    <col min="3591" max="3844" width="9" style="3028"/>
    <col min="3845" max="3845" width="34.625" style="3028" customWidth="1"/>
    <col min="3846" max="3846" width="16" style="3028" customWidth="1"/>
    <col min="3847" max="4100" width="9" style="3028"/>
    <col min="4101" max="4101" width="34.625" style="3028" customWidth="1"/>
    <col min="4102" max="4102" width="16" style="3028" customWidth="1"/>
    <col min="4103" max="4356" width="9" style="3028"/>
    <col min="4357" max="4357" width="34.625" style="3028" customWidth="1"/>
    <col min="4358" max="4358" width="16" style="3028" customWidth="1"/>
    <col min="4359" max="4612" width="9" style="3028"/>
    <col min="4613" max="4613" width="34.625" style="3028" customWidth="1"/>
    <col min="4614" max="4614" width="16" style="3028" customWidth="1"/>
    <col min="4615" max="4868" width="9" style="3028"/>
    <col min="4869" max="4869" width="34.625" style="3028" customWidth="1"/>
    <col min="4870" max="4870" width="16" style="3028" customWidth="1"/>
    <col min="4871" max="5124" width="9" style="3028"/>
    <col min="5125" max="5125" width="34.625" style="3028" customWidth="1"/>
    <col min="5126" max="5126" width="16" style="3028" customWidth="1"/>
    <col min="5127" max="5380" width="9" style="3028"/>
    <col min="5381" max="5381" width="34.625" style="3028" customWidth="1"/>
    <col min="5382" max="5382" width="16" style="3028" customWidth="1"/>
    <col min="5383" max="5636" width="9" style="3028"/>
    <col min="5637" max="5637" width="34.625" style="3028" customWidth="1"/>
    <col min="5638" max="5638" width="16" style="3028" customWidth="1"/>
    <col min="5639" max="5892" width="9" style="3028"/>
    <col min="5893" max="5893" width="34.625" style="3028" customWidth="1"/>
    <col min="5894" max="5894" width="16" style="3028" customWidth="1"/>
    <col min="5895" max="6148" width="9" style="3028"/>
    <col min="6149" max="6149" width="34.625" style="3028" customWidth="1"/>
    <col min="6150" max="6150" width="16" style="3028" customWidth="1"/>
    <col min="6151" max="6404" width="9" style="3028"/>
    <col min="6405" max="6405" width="34.625" style="3028" customWidth="1"/>
    <col min="6406" max="6406" width="16" style="3028" customWidth="1"/>
    <col min="6407" max="6660" width="9" style="3028"/>
    <col min="6661" max="6661" width="34.625" style="3028" customWidth="1"/>
    <col min="6662" max="6662" width="16" style="3028" customWidth="1"/>
    <col min="6663" max="6916" width="9" style="3028"/>
    <col min="6917" max="6917" width="34.625" style="3028" customWidth="1"/>
    <col min="6918" max="6918" width="16" style="3028" customWidth="1"/>
    <col min="6919" max="7172" width="9" style="3028"/>
    <col min="7173" max="7173" width="34.625" style="3028" customWidth="1"/>
    <col min="7174" max="7174" width="16" style="3028" customWidth="1"/>
    <col min="7175" max="7428" width="9" style="3028"/>
    <col min="7429" max="7429" width="34.625" style="3028" customWidth="1"/>
    <col min="7430" max="7430" width="16" style="3028" customWidth="1"/>
    <col min="7431" max="7684" width="9" style="3028"/>
    <col min="7685" max="7685" width="34.625" style="3028" customWidth="1"/>
    <col min="7686" max="7686" width="16" style="3028" customWidth="1"/>
    <col min="7687" max="7940" width="9" style="3028"/>
    <col min="7941" max="7941" width="34.625" style="3028" customWidth="1"/>
    <col min="7942" max="7942" width="16" style="3028" customWidth="1"/>
    <col min="7943" max="8196" width="9" style="3028"/>
    <col min="8197" max="8197" width="34.625" style="3028" customWidth="1"/>
    <col min="8198" max="8198" width="16" style="3028" customWidth="1"/>
    <col min="8199" max="8452" width="9" style="3028"/>
    <col min="8453" max="8453" width="34.625" style="3028" customWidth="1"/>
    <col min="8454" max="8454" width="16" style="3028" customWidth="1"/>
    <col min="8455" max="8708" width="9" style="3028"/>
    <col min="8709" max="8709" width="34.625" style="3028" customWidth="1"/>
    <col min="8710" max="8710" width="16" style="3028" customWidth="1"/>
    <col min="8711" max="8964" width="9" style="3028"/>
    <col min="8965" max="8965" width="34.625" style="3028" customWidth="1"/>
    <col min="8966" max="8966" width="16" style="3028" customWidth="1"/>
    <col min="8967" max="9220" width="9" style="3028"/>
    <col min="9221" max="9221" width="34.625" style="3028" customWidth="1"/>
    <col min="9222" max="9222" width="16" style="3028" customWidth="1"/>
    <col min="9223" max="9476" width="9" style="3028"/>
    <col min="9477" max="9477" width="34.625" style="3028" customWidth="1"/>
    <col min="9478" max="9478" width="16" style="3028" customWidth="1"/>
    <col min="9479" max="9732" width="9" style="3028"/>
    <col min="9733" max="9733" width="34.625" style="3028" customWidth="1"/>
    <col min="9734" max="9734" width="16" style="3028" customWidth="1"/>
    <col min="9735" max="9988" width="9" style="3028"/>
    <col min="9989" max="9989" width="34.625" style="3028" customWidth="1"/>
    <col min="9990" max="9990" width="16" style="3028" customWidth="1"/>
    <col min="9991" max="10244" width="9" style="3028"/>
    <col min="10245" max="10245" width="34.625" style="3028" customWidth="1"/>
    <col min="10246" max="10246" width="16" style="3028" customWidth="1"/>
    <col min="10247" max="10500" width="9" style="3028"/>
    <col min="10501" max="10501" width="34.625" style="3028" customWidth="1"/>
    <col min="10502" max="10502" width="16" style="3028" customWidth="1"/>
    <col min="10503" max="10756" width="9" style="3028"/>
    <col min="10757" max="10757" width="34.625" style="3028" customWidth="1"/>
    <col min="10758" max="10758" width="16" style="3028" customWidth="1"/>
    <col min="10759" max="11012" width="9" style="3028"/>
    <col min="11013" max="11013" width="34.625" style="3028" customWidth="1"/>
    <col min="11014" max="11014" width="16" style="3028" customWidth="1"/>
    <col min="11015" max="11268" width="9" style="3028"/>
    <col min="11269" max="11269" width="34.625" style="3028" customWidth="1"/>
    <col min="11270" max="11270" width="16" style="3028" customWidth="1"/>
    <col min="11271" max="11524" width="9" style="3028"/>
    <col min="11525" max="11525" width="34.625" style="3028" customWidth="1"/>
    <col min="11526" max="11526" width="16" style="3028" customWidth="1"/>
    <col min="11527" max="11780" width="9" style="3028"/>
    <col min="11781" max="11781" width="34.625" style="3028" customWidth="1"/>
    <col min="11782" max="11782" width="16" style="3028" customWidth="1"/>
    <col min="11783" max="12036" width="9" style="3028"/>
    <col min="12037" max="12037" width="34.625" style="3028" customWidth="1"/>
    <col min="12038" max="12038" width="16" style="3028" customWidth="1"/>
    <col min="12039" max="12292" width="9" style="3028"/>
    <col min="12293" max="12293" width="34.625" style="3028" customWidth="1"/>
    <col min="12294" max="12294" width="16" style="3028" customWidth="1"/>
    <col min="12295" max="12548" width="9" style="3028"/>
    <col min="12549" max="12549" width="34.625" style="3028" customWidth="1"/>
    <col min="12550" max="12550" width="16" style="3028" customWidth="1"/>
    <col min="12551" max="12804" width="9" style="3028"/>
    <col min="12805" max="12805" width="34.625" style="3028" customWidth="1"/>
    <col min="12806" max="12806" width="16" style="3028" customWidth="1"/>
    <col min="12807" max="13060" width="9" style="3028"/>
    <col min="13061" max="13061" width="34.625" style="3028" customWidth="1"/>
    <col min="13062" max="13062" width="16" style="3028" customWidth="1"/>
    <col min="13063" max="13316" width="9" style="3028"/>
    <col min="13317" max="13317" width="34.625" style="3028" customWidth="1"/>
    <col min="13318" max="13318" width="16" style="3028" customWidth="1"/>
    <col min="13319" max="13572" width="9" style="3028"/>
    <col min="13573" max="13573" width="34.625" style="3028" customWidth="1"/>
    <col min="13574" max="13574" width="16" style="3028" customWidth="1"/>
    <col min="13575" max="13828" width="9" style="3028"/>
    <col min="13829" max="13829" width="34.625" style="3028" customWidth="1"/>
    <col min="13830" max="13830" width="16" style="3028" customWidth="1"/>
    <col min="13831" max="14084" width="9" style="3028"/>
    <col min="14085" max="14085" width="34.625" style="3028" customWidth="1"/>
    <col min="14086" max="14086" width="16" style="3028" customWidth="1"/>
    <col min="14087" max="14340" width="9" style="3028"/>
    <col min="14341" max="14341" width="34.625" style="3028" customWidth="1"/>
    <col min="14342" max="14342" width="16" style="3028" customWidth="1"/>
    <col min="14343" max="14596" width="9" style="3028"/>
    <col min="14597" max="14597" width="34.625" style="3028" customWidth="1"/>
    <col min="14598" max="14598" width="16" style="3028" customWidth="1"/>
    <col min="14599" max="14852" width="9" style="3028"/>
    <col min="14853" max="14853" width="34.625" style="3028" customWidth="1"/>
    <col min="14854" max="14854" width="16" style="3028" customWidth="1"/>
    <col min="14855" max="15108" width="9" style="3028"/>
    <col min="15109" max="15109" width="34.625" style="3028" customWidth="1"/>
    <col min="15110" max="15110" width="16" style="3028" customWidth="1"/>
    <col min="15111" max="15364" width="9" style="3028"/>
    <col min="15365" max="15365" width="34.625" style="3028" customWidth="1"/>
    <col min="15366" max="15366" width="16" style="3028" customWidth="1"/>
    <col min="15367" max="15620" width="9" style="3028"/>
    <col min="15621" max="15621" width="34.625" style="3028" customWidth="1"/>
    <col min="15622" max="15622" width="16" style="3028" customWidth="1"/>
    <col min="15623" max="15876" width="9" style="3028"/>
    <col min="15877" max="15877" width="34.625" style="3028" customWidth="1"/>
    <col min="15878" max="15878" width="16" style="3028" customWidth="1"/>
    <col min="15879" max="16132" width="9" style="3028"/>
    <col min="16133" max="16133" width="34.625" style="3028" customWidth="1"/>
    <col min="16134" max="16134" width="16" style="3028" customWidth="1"/>
    <col min="16135" max="16384" width="9" style="3028"/>
  </cols>
  <sheetData>
    <row r="1" spans="1:22" s="3027" customFormat="1" ht="22.5">
      <c r="A1" s="3025"/>
      <c r="B1" s="3026" t="s">
        <v>3226</v>
      </c>
      <c r="C1" s="3026" t="s">
        <v>3227</v>
      </c>
      <c r="D1" s="3026" t="s">
        <v>3228</v>
      </c>
      <c r="E1" s="3026" t="s">
        <v>3229</v>
      </c>
      <c r="G1" s="2954"/>
      <c r="H1" s="2954"/>
      <c r="I1" s="2954" t="s">
        <v>3069</v>
      </c>
      <c r="J1" s="2954" t="s">
        <v>3058</v>
      </c>
      <c r="K1" s="2954" t="s">
        <v>3060</v>
      </c>
      <c r="L1" s="2954" t="s">
        <v>3058</v>
      </c>
      <c r="M1" s="2954" t="s">
        <v>3061</v>
      </c>
      <c r="N1" s="2954" t="s">
        <v>3058</v>
      </c>
      <c r="O1" s="2954" t="s">
        <v>3062</v>
      </c>
      <c r="P1" s="2954" t="s">
        <v>3058</v>
      </c>
      <c r="Q1" s="2954" t="s">
        <v>3064</v>
      </c>
      <c r="R1" s="2954" t="s">
        <v>3058</v>
      </c>
      <c r="S1" s="2954" t="s">
        <v>3063</v>
      </c>
      <c r="T1" s="2954" t="s">
        <v>3058</v>
      </c>
      <c r="U1" s="2954" t="s">
        <v>4475</v>
      </c>
      <c r="V1" s="2954" t="s">
        <v>3058</v>
      </c>
    </row>
    <row r="2" spans="1:22">
      <c r="A2" s="3028">
        <v>1</v>
      </c>
      <c r="B2" s="3029" t="s">
        <v>3230</v>
      </c>
      <c r="C2" s="3029" t="s">
        <v>3231</v>
      </c>
      <c r="D2" s="3030">
        <v>53.906799999999997</v>
      </c>
      <c r="E2" s="3029" t="s">
        <v>1377</v>
      </c>
      <c r="F2" s="3029"/>
      <c r="G2" s="3029"/>
      <c r="I2" s="3029" t="s">
        <v>4566</v>
      </c>
      <c r="J2" s="3030">
        <v>53.131999999999998</v>
      </c>
      <c r="K2" s="3029" t="s">
        <v>4604</v>
      </c>
      <c r="L2" s="3030">
        <v>51.785699999999999</v>
      </c>
      <c r="M2" s="3029" t="s">
        <v>4643</v>
      </c>
      <c r="N2" s="3030">
        <v>51.785699999999999</v>
      </c>
      <c r="O2" s="3029" t="s">
        <v>4682</v>
      </c>
      <c r="P2" s="3030">
        <v>51.785699999999999</v>
      </c>
      <c r="Q2" s="3029" t="s">
        <v>4721</v>
      </c>
      <c r="R2" s="3030">
        <v>51.785699999999999</v>
      </c>
      <c r="S2" s="3029" t="s">
        <v>4760</v>
      </c>
      <c r="T2" s="3030">
        <v>51.785699999999999</v>
      </c>
      <c r="U2" s="3029" t="s">
        <v>4799</v>
      </c>
      <c r="V2" s="3030">
        <v>53.906799999999997</v>
      </c>
    </row>
    <row r="3" spans="1:22">
      <c r="A3" s="3028">
        <v>2</v>
      </c>
      <c r="B3" s="3029" t="s">
        <v>3230</v>
      </c>
      <c r="C3" s="3029" t="s">
        <v>3232</v>
      </c>
      <c r="D3" s="3030">
        <v>35.047800000000002</v>
      </c>
      <c r="E3" s="3029" t="s">
        <v>1377</v>
      </c>
      <c r="F3" s="3029"/>
      <c r="G3" s="3029"/>
      <c r="I3" s="3029" t="s">
        <v>4567</v>
      </c>
      <c r="J3" s="3030">
        <v>47.775300000000001</v>
      </c>
      <c r="K3" s="3029" t="s">
        <v>4605</v>
      </c>
      <c r="L3" s="3030">
        <v>46.564799999999998</v>
      </c>
      <c r="M3" s="3029" t="s">
        <v>4644</v>
      </c>
      <c r="N3" s="3030">
        <v>46.564799999999998</v>
      </c>
      <c r="O3" s="3029" t="s">
        <v>4683</v>
      </c>
      <c r="P3" s="3030">
        <v>46.564799999999998</v>
      </c>
      <c r="Q3" s="3029" t="s">
        <v>4722</v>
      </c>
      <c r="R3" s="3030">
        <v>46.564799999999998</v>
      </c>
      <c r="S3" s="3029" t="s">
        <v>4761</v>
      </c>
      <c r="T3" s="3030">
        <v>46.564799999999998</v>
      </c>
      <c r="U3" s="3029" t="s">
        <v>4800</v>
      </c>
      <c r="V3" s="3030">
        <v>35.047800000000002</v>
      </c>
    </row>
    <row r="4" spans="1:22">
      <c r="A4" s="3028">
        <v>3</v>
      </c>
      <c r="B4" s="3029" t="s">
        <v>3230</v>
      </c>
      <c r="C4" s="3029" t="s">
        <v>3233</v>
      </c>
      <c r="D4" s="3030">
        <v>48.8825</v>
      </c>
      <c r="E4" s="3029" t="s">
        <v>1377</v>
      </c>
      <c r="F4" s="3029"/>
      <c r="G4" s="3029"/>
      <c r="I4" s="3029" t="s">
        <v>4568</v>
      </c>
      <c r="J4" s="3030">
        <v>47.775300000000001</v>
      </c>
      <c r="K4" s="3029" t="s">
        <v>4606</v>
      </c>
      <c r="L4" s="3030">
        <v>46.564799999999998</v>
      </c>
      <c r="M4" s="3029" t="s">
        <v>4645</v>
      </c>
      <c r="N4" s="3030">
        <v>46.564799999999998</v>
      </c>
      <c r="O4" s="3029" t="s">
        <v>4684</v>
      </c>
      <c r="P4" s="3030">
        <v>46.564799999999998</v>
      </c>
      <c r="Q4" s="3029" t="s">
        <v>4723</v>
      </c>
      <c r="R4" s="3030">
        <v>46.564799999999998</v>
      </c>
      <c r="S4" s="3029" t="s">
        <v>4762</v>
      </c>
      <c r="T4" s="3030">
        <v>46.564799999999998</v>
      </c>
      <c r="U4" s="3029" t="s">
        <v>4801</v>
      </c>
      <c r="V4" s="3030">
        <v>48.8825</v>
      </c>
    </row>
    <row r="5" spans="1:22">
      <c r="A5" s="3028">
        <v>4</v>
      </c>
      <c r="B5" s="3029" t="s">
        <v>3230</v>
      </c>
      <c r="C5" s="3029" t="s">
        <v>3234</v>
      </c>
      <c r="D5" s="3030">
        <v>35.047800000000002</v>
      </c>
      <c r="E5" s="3029" t="s">
        <v>1377</v>
      </c>
      <c r="F5" s="3029"/>
      <c r="G5" s="3029"/>
      <c r="I5" s="3029" t="s">
        <v>4569</v>
      </c>
      <c r="J5" s="3030">
        <v>47.775300000000001</v>
      </c>
      <c r="K5" s="3029" t="s">
        <v>4607</v>
      </c>
      <c r="L5" s="3030">
        <v>46.564799999999998</v>
      </c>
      <c r="M5" s="3029" t="s">
        <v>4646</v>
      </c>
      <c r="N5" s="3030">
        <v>46.564799999999998</v>
      </c>
      <c r="O5" s="3029" t="s">
        <v>4685</v>
      </c>
      <c r="P5" s="3030">
        <v>46.564799999999998</v>
      </c>
      <c r="Q5" s="3029" t="s">
        <v>4724</v>
      </c>
      <c r="R5" s="3030">
        <v>46.564799999999998</v>
      </c>
      <c r="S5" s="3029" t="s">
        <v>4763</v>
      </c>
      <c r="T5" s="3030">
        <v>46.564799999999998</v>
      </c>
      <c r="U5" s="3029" t="s">
        <v>4802</v>
      </c>
      <c r="V5" s="3030">
        <v>35.047800000000002</v>
      </c>
    </row>
    <row r="6" spans="1:22">
      <c r="A6" s="3028">
        <v>5</v>
      </c>
      <c r="B6" s="3029" t="s">
        <v>3230</v>
      </c>
      <c r="C6" s="3029" t="s">
        <v>3235</v>
      </c>
      <c r="D6" s="3030">
        <v>35.047800000000002</v>
      </c>
      <c r="E6" s="3029" t="s">
        <v>1377</v>
      </c>
      <c r="F6" s="3029"/>
      <c r="G6" s="3029"/>
      <c r="I6" s="3029" t="s">
        <v>4570</v>
      </c>
      <c r="J6" s="3030">
        <v>47.775300000000001</v>
      </c>
      <c r="K6" s="3029" t="s">
        <v>4608</v>
      </c>
      <c r="L6" s="3030">
        <v>46.564799999999998</v>
      </c>
      <c r="M6" s="3029" t="s">
        <v>4647</v>
      </c>
      <c r="N6" s="3030">
        <v>46.564799999999998</v>
      </c>
      <c r="O6" s="3029" t="s">
        <v>4686</v>
      </c>
      <c r="P6" s="3030">
        <v>46.564799999999998</v>
      </c>
      <c r="Q6" s="3029" t="s">
        <v>4725</v>
      </c>
      <c r="R6" s="3030">
        <v>46.564799999999998</v>
      </c>
      <c r="S6" s="3029" t="s">
        <v>4764</v>
      </c>
      <c r="T6" s="3030">
        <v>46.564799999999998</v>
      </c>
      <c r="U6" s="3029" t="s">
        <v>4803</v>
      </c>
      <c r="V6" s="3030">
        <v>35.047800000000002</v>
      </c>
    </row>
    <row r="7" spans="1:22">
      <c r="A7" s="3028">
        <v>6</v>
      </c>
      <c r="B7" s="3029" t="s">
        <v>3230</v>
      </c>
      <c r="C7" s="3029" t="s">
        <v>3236</v>
      </c>
      <c r="D7" s="3030">
        <v>35.047800000000002</v>
      </c>
      <c r="E7" s="3029" t="s">
        <v>1377</v>
      </c>
      <c r="F7" s="3029"/>
      <c r="G7" s="3029"/>
      <c r="I7" s="3029" t="s">
        <v>4571</v>
      </c>
      <c r="J7" s="3030">
        <v>47.775300000000001</v>
      </c>
      <c r="K7" s="3029" t="s">
        <v>4609</v>
      </c>
      <c r="L7" s="3030">
        <v>46.564799999999998</v>
      </c>
      <c r="M7" s="3029" t="s">
        <v>4648</v>
      </c>
      <c r="N7" s="3030">
        <v>46.564799999999998</v>
      </c>
      <c r="O7" s="3029" t="s">
        <v>4687</v>
      </c>
      <c r="P7" s="3030">
        <v>46.564799999999998</v>
      </c>
      <c r="Q7" s="3029" t="s">
        <v>4726</v>
      </c>
      <c r="R7" s="3030">
        <v>46.564799999999998</v>
      </c>
      <c r="S7" s="3029" t="s">
        <v>4765</v>
      </c>
      <c r="T7" s="3030">
        <v>46.564799999999998</v>
      </c>
      <c r="U7" s="3029" t="s">
        <v>4804</v>
      </c>
      <c r="V7" s="3030">
        <v>35.047800000000002</v>
      </c>
    </row>
    <row r="8" spans="1:22">
      <c r="A8" s="3028">
        <v>7</v>
      </c>
      <c r="B8" s="3029" t="s">
        <v>3230</v>
      </c>
      <c r="C8" s="3029" t="s">
        <v>3237</v>
      </c>
      <c r="D8" s="3030">
        <v>35.047800000000002</v>
      </c>
      <c r="E8" s="3029" t="s">
        <v>1377</v>
      </c>
      <c r="F8" s="3029"/>
      <c r="G8" s="3029"/>
      <c r="I8" s="3029" t="s">
        <v>4572</v>
      </c>
      <c r="J8" s="3030">
        <v>47.775300000000001</v>
      </c>
      <c r="K8" s="3029" t="s">
        <v>4610</v>
      </c>
      <c r="L8" s="3030">
        <v>46.564799999999998</v>
      </c>
      <c r="M8" s="3029" t="s">
        <v>4649</v>
      </c>
      <c r="N8" s="3030">
        <v>46.564799999999998</v>
      </c>
      <c r="O8" s="3029" t="s">
        <v>4688</v>
      </c>
      <c r="P8" s="3030">
        <v>46.564799999999998</v>
      </c>
      <c r="Q8" s="3029" t="s">
        <v>4727</v>
      </c>
      <c r="R8" s="3030">
        <v>46.564799999999998</v>
      </c>
      <c r="S8" s="3029" t="s">
        <v>4766</v>
      </c>
      <c r="T8" s="3030">
        <v>46.564799999999998</v>
      </c>
      <c r="U8" s="3029" t="s">
        <v>4805</v>
      </c>
      <c r="V8" s="3030">
        <v>35.047800000000002</v>
      </c>
    </row>
    <row r="9" spans="1:22">
      <c r="A9" s="3028">
        <v>8</v>
      </c>
      <c r="B9" s="3029" t="s">
        <v>3230</v>
      </c>
      <c r="C9" s="3029" t="s">
        <v>3238</v>
      </c>
      <c r="D9" s="3030">
        <v>40.950600000000001</v>
      </c>
      <c r="E9" s="3029" t="s">
        <v>1377</v>
      </c>
      <c r="F9" s="3029"/>
      <c r="G9" s="3029"/>
      <c r="I9" s="3029" t="s">
        <v>4573</v>
      </c>
      <c r="J9" s="3030">
        <v>48.783299999999997</v>
      </c>
      <c r="K9" s="3029" t="s">
        <v>4611</v>
      </c>
      <c r="L9" s="3033">
        <v>46.564799999999998</v>
      </c>
      <c r="M9" s="3029" t="s">
        <v>4650</v>
      </c>
      <c r="N9" s="3030">
        <v>46.564799999999998</v>
      </c>
      <c r="O9" s="3029" t="s">
        <v>4689</v>
      </c>
      <c r="P9" s="3030">
        <v>46.564799999999998</v>
      </c>
      <c r="Q9" s="3029" t="s">
        <v>4728</v>
      </c>
      <c r="R9" s="3030">
        <v>46.564799999999998</v>
      </c>
      <c r="S9" s="3029" t="s">
        <v>4767</v>
      </c>
      <c r="T9" s="3030">
        <v>46.564799999999998</v>
      </c>
      <c r="U9" s="3029" t="s">
        <v>4806</v>
      </c>
      <c r="V9" s="3030">
        <v>40.950600000000001</v>
      </c>
    </row>
    <row r="10" spans="1:22">
      <c r="A10" s="3028">
        <v>9</v>
      </c>
      <c r="B10" s="3029" t="s">
        <v>3230</v>
      </c>
      <c r="C10" s="3029" t="s">
        <v>3239</v>
      </c>
      <c r="D10" s="3030">
        <v>40.950600000000001</v>
      </c>
      <c r="E10" s="3029" t="s">
        <v>1377</v>
      </c>
      <c r="F10" s="3029"/>
      <c r="G10" s="3029"/>
      <c r="I10" s="3029" t="s">
        <v>4574</v>
      </c>
      <c r="J10" s="3030">
        <v>47.456200000000003</v>
      </c>
      <c r="K10" s="3029" t="s">
        <v>4612</v>
      </c>
      <c r="L10" s="3033">
        <v>47.547199999999997</v>
      </c>
      <c r="M10" s="3029" t="s">
        <v>4651</v>
      </c>
      <c r="N10" s="3030">
        <v>47.547199999999997</v>
      </c>
      <c r="O10" s="3029" t="s">
        <v>4690</v>
      </c>
      <c r="P10" s="3030">
        <v>47.547199999999997</v>
      </c>
      <c r="Q10" s="3029" t="s">
        <v>4729</v>
      </c>
      <c r="R10" s="3030">
        <v>47.547199999999997</v>
      </c>
      <c r="S10" s="3029" t="s">
        <v>4768</v>
      </c>
      <c r="T10" s="3030">
        <v>47.547199999999997</v>
      </c>
      <c r="U10" s="3029" t="s">
        <v>4807</v>
      </c>
      <c r="V10" s="3030">
        <v>40.950600000000001</v>
      </c>
    </row>
    <row r="11" spans="1:22">
      <c r="A11" s="3028">
        <v>10</v>
      </c>
      <c r="B11" s="3029" t="s">
        <v>3230</v>
      </c>
      <c r="C11" s="3029" t="s">
        <v>3240</v>
      </c>
      <c r="D11" s="3030">
        <v>40.950600000000001</v>
      </c>
      <c r="E11" s="3029" t="s">
        <v>1377</v>
      </c>
      <c r="F11" s="3029"/>
      <c r="G11" s="3029"/>
      <c r="I11" s="3029" t="s">
        <v>4575</v>
      </c>
      <c r="J11" s="3030">
        <v>47.775300000000001</v>
      </c>
      <c r="K11" s="3029" t="s">
        <v>4613</v>
      </c>
      <c r="L11" s="3030">
        <v>46.253799999999998</v>
      </c>
      <c r="M11" s="3029" t="s">
        <v>4652</v>
      </c>
      <c r="N11" s="3030">
        <v>46.253799999999998</v>
      </c>
      <c r="O11" s="3029" t="s">
        <v>4691</v>
      </c>
      <c r="P11" s="3030">
        <v>46.253799999999998</v>
      </c>
      <c r="Q11" s="3029" t="s">
        <v>4730</v>
      </c>
      <c r="R11" s="3030">
        <v>46.253799999999998</v>
      </c>
      <c r="S11" s="3029" t="s">
        <v>4769</v>
      </c>
      <c r="T11" s="3030">
        <v>46.253799999999998</v>
      </c>
      <c r="U11" s="3029" t="s">
        <v>4808</v>
      </c>
      <c r="V11" s="3030">
        <v>40.950600000000001</v>
      </c>
    </row>
    <row r="12" spans="1:22">
      <c r="A12" s="3028">
        <v>11</v>
      </c>
      <c r="B12" s="3029" t="s">
        <v>3230</v>
      </c>
      <c r="C12" s="3029" t="s">
        <v>3241</v>
      </c>
      <c r="D12" s="3030">
        <v>40.950600000000001</v>
      </c>
      <c r="E12" s="3029" t="s">
        <v>1377</v>
      </c>
      <c r="F12" s="3029"/>
      <c r="G12" s="3029"/>
      <c r="I12" s="3029" t="s">
        <v>4576</v>
      </c>
      <c r="J12" s="3030">
        <v>47.775300000000001</v>
      </c>
      <c r="K12" s="3029" t="s">
        <v>4614</v>
      </c>
      <c r="L12" s="3030">
        <v>46.564799999999998</v>
      </c>
      <c r="M12" s="3029" t="s">
        <v>4653</v>
      </c>
      <c r="N12" s="3030">
        <v>46.564799999999998</v>
      </c>
      <c r="O12" s="3029" t="s">
        <v>4692</v>
      </c>
      <c r="P12" s="3030">
        <v>46.564799999999998</v>
      </c>
      <c r="Q12" s="3029" t="s">
        <v>4731</v>
      </c>
      <c r="R12" s="3030">
        <v>46.564799999999998</v>
      </c>
      <c r="S12" s="3029" t="s">
        <v>4770</v>
      </c>
      <c r="T12" s="3030">
        <v>46.564799999999998</v>
      </c>
      <c r="U12" s="3029" t="s">
        <v>4809</v>
      </c>
      <c r="V12" s="3030">
        <v>40.950600000000001</v>
      </c>
    </row>
    <row r="13" spans="1:22">
      <c r="A13" s="3028">
        <v>12</v>
      </c>
      <c r="B13" s="3029" t="s">
        <v>3230</v>
      </c>
      <c r="C13" s="3029" t="s">
        <v>3242</v>
      </c>
      <c r="D13" s="3030">
        <v>40.950600000000001</v>
      </c>
      <c r="E13" s="3029" t="s">
        <v>1377</v>
      </c>
      <c r="F13" s="3029"/>
      <c r="G13" s="3029"/>
      <c r="I13" s="3029" t="s">
        <v>4577</v>
      </c>
      <c r="J13" s="3030">
        <v>47.775300000000001</v>
      </c>
      <c r="K13" s="3029" t="s">
        <v>4615</v>
      </c>
      <c r="L13" s="3030">
        <v>46.564799999999998</v>
      </c>
      <c r="M13" s="3029" t="s">
        <v>4654</v>
      </c>
      <c r="N13" s="3030">
        <v>46.564799999999998</v>
      </c>
      <c r="O13" s="3029" t="s">
        <v>4693</v>
      </c>
      <c r="P13" s="3030">
        <v>46.564799999999998</v>
      </c>
      <c r="Q13" s="3029" t="s">
        <v>4732</v>
      </c>
      <c r="R13" s="3030">
        <v>46.564799999999998</v>
      </c>
      <c r="S13" s="3029" t="s">
        <v>4771</v>
      </c>
      <c r="T13" s="3030">
        <v>46.564799999999998</v>
      </c>
      <c r="U13" s="3029" t="s">
        <v>4810</v>
      </c>
      <c r="V13" s="3030">
        <v>40.950600000000001</v>
      </c>
    </row>
    <row r="14" spans="1:22">
      <c r="A14" s="3028">
        <v>13</v>
      </c>
      <c r="B14" s="3029" t="s">
        <v>3230</v>
      </c>
      <c r="C14" s="3029" t="s">
        <v>3243</v>
      </c>
      <c r="D14" s="3030">
        <v>42.811999999999998</v>
      </c>
      <c r="E14" s="3029" t="s">
        <v>1377</v>
      </c>
      <c r="F14" s="3029"/>
      <c r="G14" s="3029"/>
      <c r="I14" s="3029" t="s">
        <v>4578</v>
      </c>
      <c r="J14" s="3030">
        <v>47.775300000000001</v>
      </c>
      <c r="K14" s="3029" t="s">
        <v>4616</v>
      </c>
      <c r="L14" s="3030">
        <v>46.564799999999998</v>
      </c>
      <c r="M14" s="3029" t="s">
        <v>4655</v>
      </c>
      <c r="N14" s="3030">
        <v>46.564799999999998</v>
      </c>
      <c r="O14" s="3029" t="s">
        <v>4694</v>
      </c>
      <c r="P14" s="3030">
        <v>46.564799999999998</v>
      </c>
      <c r="Q14" s="3029" t="s">
        <v>4733</v>
      </c>
      <c r="R14" s="3030">
        <v>46.564799999999998</v>
      </c>
      <c r="S14" s="3029" t="s">
        <v>4772</v>
      </c>
      <c r="T14" s="3030">
        <v>46.564799999999998</v>
      </c>
      <c r="U14" s="3029" t="s">
        <v>4811</v>
      </c>
      <c r="V14" s="3030">
        <v>42.811999999999998</v>
      </c>
    </row>
    <row r="15" spans="1:22">
      <c r="A15" s="3028">
        <v>14</v>
      </c>
      <c r="B15" s="3029" t="s">
        <v>3230</v>
      </c>
      <c r="C15" s="3029" t="s">
        <v>3244</v>
      </c>
      <c r="D15" s="3030">
        <v>32.236199999999997</v>
      </c>
      <c r="E15" s="3029" t="s">
        <v>1377</v>
      </c>
      <c r="F15" s="3029"/>
      <c r="G15" s="3029"/>
      <c r="I15" s="3029" t="s">
        <v>4579</v>
      </c>
      <c r="J15" s="3030">
        <v>47.401699999999998</v>
      </c>
      <c r="K15" s="3029" t="s">
        <v>4617</v>
      </c>
      <c r="L15" s="3030">
        <v>46.564799999999998</v>
      </c>
      <c r="M15" s="3029" t="s">
        <v>4656</v>
      </c>
      <c r="N15" s="3030">
        <v>46.564799999999998</v>
      </c>
      <c r="O15" s="3029" t="s">
        <v>4695</v>
      </c>
      <c r="P15" s="3030">
        <v>46.564799999999998</v>
      </c>
      <c r="Q15" s="3029" t="s">
        <v>4734</v>
      </c>
      <c r="R15" s="3030">
        <v>46.564799999999998</v>
      </c>
      <c r="S15" s="3029" t="s">
        <v>4773</v>
      </c>
      <c r="T15" s="3030">
        <v>46.564799999999998</v>
      </c>
      <c r="U15" s="3029" t="s">
        <v>4812</v>
      </c>
      <c r="V15" s="3030">
        <v>32.236199999999997</v>
      </c>
    </row>
    <row r="16" spans="1:22">
      <c r="A16" s="3028">
        <v>15</v>
      </c>
      <c r="B16" s="3029" t="s">
        <v>3230</v>
      </c>
      <c r="C16" s="3029" t="s">
        <v>3245</v>
      </c>
      <c r="D16" s="3030">
        <v>31.794599999999999</v>
      </c>
      <c r="E16" s="3029" t="s">
        <v>1377</v>
      </c>
      <c r="F16" s="3029"/>
      <c r="G16" s="3029"/>
      <c r="I16" s="3029" t="s">
        <v>4580</v>
      </c>
      <c r="J16" s="3030">
        <v>47.401699999999998</v>
      </c>
      <c r="K16" s="3029" t="s">
        <v>4618</v>
      </c>
      <c r="L16" s="3030">
        <v>46.200699999999998</v>
      </c>
      <c r="M16" s="3029" t="s">
        <v>4657</v>
      </c>
      <c r="N16" s="3030">
        <v>46.200699999999998</v>
      </c>
      <c r="O16" s="3029" t="s">
        <v>4696</v>
      </c>
      <c r="P16" s="3030">
        <v>46.200699999999998</v>
      </c>
      <c r="Q16" s="3029" t="s">
        <v>4735</v>
      </c>
      <c r="R16" s="3030">
        <v>46.200699999999998</v>
      </c>
      <c r="S16" s="3029" t="s">
        <v>4774</v>
      </c>
      <c r="T16" s="3030">
        <v>46.200699999999998</v>
      </c>
      <c r="U16" s="3029" t="s">
        <v>4813</v>
      </c>
      <c r="V16" s="3030">
        <v>31.794599999999999</v>
      </c>
    </row>
    <row r="17" spans="1:22">
      <c r="A17" s="3028">
        <v>16</v>
      </c>
      <c r="B17" s="3029" t="s">
        <v>3230</v>
      </c>
      <c r="C17" s="3029" t="s">
        <v>3246</v>
      </c>
      <c r="D17" s="3030">
        <v>50.110399999999998</v>
      </c>
      <c r="E17" s="3029" t="s">
        <v>1377</v>
      </c>
      <c r="F17" s="3029"/>
      <c r="G17" s="3029"/>
      <c r="I17" s="3029" t="s">
        <v>4581</v>
      </c>
      <c r="J17" s="3030">
        <v>47.775300000000001</v>
      </c>
      <c r="K17" s="3029" t="s">
        <v>4619</v>
      </c>
      <c r="L17" s="3030">
        <v>46.200699999999998</v>
      </c>
      <c r="M17" s="3029" t="s">
        <v>4658</v>
      </c>
      <c r="N17" s="3030">
        <v>46.200699999999998</v>
      </c>
      <c r="O17" s="3029" t="s">
        <v>4697</v>
      </c>
      <c r="P17" s="3030">
        <v>46.200699999999998</v>
      </c>
      <c r="Q17" s="3029" t="s">
        <v>4736</v>
      </c>
      <c r="R17" s="3030">
        <v>46.200699999999998</v>
      </c>
      <c r="S17" s="3029" t="s">
        <v>4775</v>
      </c>
      <c r="T17" s="3030">
        <v>46.200699999999998</v>
      </c>
      <c r="U17" s="3029" t="s">
        <v>4814</v>
      </c>
      <c r="V17" s="3030">
        <v>50.110399999999998</v>
      </c>
    </row>
    <row r="18" spans="1:22">
      <c r="A18" s="3028">
        <v>17</v>
      </c>
      <c r="B18" s="3029" t="s">
        <v>3230</v>
      </c>
      <c r="C18" s="3029" t="s">
        <v>3247</v>
      </c>
      <c r="D18" s="3030">
        <v>37.9908</v>
      </c>
      <c r="E18" s="3029" t="s">
        <v>1377</v>
      </c>
      <c r="F18" s="3029"/>
      <c r="G18" s="3029"/>
      <c r="I18" s="3029" t="s">
        <v>4582</v>
      </c>
      <c r="J18" s="3030">
        <v>47.495100000000001</v>
      </c>
      <c r="K18" s="3029" t="s">
        <v>4620</v>
      </c>
      <c r="L18" s="3030">
        <v>46.564799999999998</v>
      </c>
      <c r="M18" s="3029" t="s">
        <v>4659</v>
      </c>
      <c r="N18" s="3030">
        <v>46.564799999999998</v>
      </c>
      <c r="O18" s="3029" t="s">
        <v>4698</v>
      </c>
      <c r="P18" s="3030">
        <v>46.564799999999998</v>
      </c>
      <c r="Q18" s="3029" t="s">
        <v>4737</v>
      </c>
      <c r="R18" s="3030">
        <v>46.564799999999998</v>
      </c>
      <c r="S18" s="3029" t="s">
        <v>4776</v>
      </c>
      <c r="T18" s="3030">
        <v>46.564799999999998</v>
      </c>
      <c r="U18" s="3029" t="s">
        <v>4815</v>
      </c>
      <c r="V18" s="3030">
        <v>37.9908</v>
      </c>
    </row>
    <row r="19" spans="1:22">
      <c r="A19" s="3028">
        <v>18</v>
      </c>
      <c r="B19" s="3029" t="s">
        <v>3230</v>
      </c>
      <c r="C19" s="3029" t="s">
        <v>3248</v>
      </c>
      <c r="D19" s="3030">
        <v>37.9908</v>
      </c>
      <c r="E19" s="3029" t="s">
        <v>1377</v>
      </c>
      <c r="F19" s="3029"/>
      <c r="G19" s="3029"/>
      <c r="I19" s="3029" t="s">
        <v>4583</v>
      </c>
      <c r="J19" s="3030">
        <v>47.495100000000001</v>
      </c>
      <c r="K19" s="3029" t="s">
        <v>4621</v>
      </c>
      <c r="L19" s="3030">
        <v>46.291699999999999</v>
      </c>
      <c r="M19" s="3029" t="s">
        <v>4660</v>
      </c>
      <c r="N19" s="3030">
        <v>46.291699999999999</v>
      </c>
      <c r="O19" s="3029" t="s">
        <v>4699</v>
      </c>
      <c r="P19" s="3030">
        <v>46.291699999999999</v>
      </c>
      <c r="Q19" s="3029" t="s">
        <v>4738</v>
      </c>
      <c r="R19" s="3030">
        <v>46.291699999999999</v>
      </c>
      <c r="S19" s="3029" t="s">
        <v>4777</v>
      </c>
      <c r="T19" s="3030">
        <v>46.291699999999999</v>
      </c>
      <c r="U19" s="3029" t="s">
        <v>4816</v>
      </c>
      <c r="V19" s="3030">
        <v>37.9908</v>
      </c>
    </row>
    <row r="20" spans="1:22">
      <c r="A20" s="3028">
        <v>19</v>
      </c>
      <c r="B20" s="3029" t="s">
        <v>3230</v>
      </c>
      <c r="C20" s="3029" t="s">
        <v>3249</v>
      </c>
      <c r="D20" s="3030">
        <v>37.9908</v>
      </c>
      <c r="E20" s="3029" t="s">
        <v>1377</v>
      </c>
      <c r="F20" s="3029"/>
      <c r="G20" s="3029"/>
      <c r="I20" s="3029" t="s">
        <v>4584</v>
      </c>
      <c r="J20" s="3030">
        <v>47.495100000000001</v>
      </c>
      <c r="K20" s="3029" t="s">
        <v>4622</v>
      </c>
      <c r="L20" s="3030">
        <v>46.291699999999999</v>
      </c>
      <c r="M20" s="3029" t="s">
        <v>4661</v>
      </c>
      <c r="N20" s="3030">
        <v>46.291699999999999</v>
      </c>
      <c r="O20" s="3029" t="s">
        <v>4700</v>
      </c>
      <c r="P20" s="3030">
        <v>46.291699999999999</v>
      </c>
      <c r="Q20" s="3029" t="s">
        <v>4739</v>
      </c>
      <c r="R20" s="3030">
        <v>46.291699999999999</v>
      </c>
      <c r="S20" s="3029" t="s">
        <v>4778</v>
      </c>
      <c r="T20" s="3030">
        <v>46.291699999999999</v>
      </c>
      <c r="U20" s="3029" t="s">
        <v>4817</v>
      </c>
      <c r="V20" s="3030">
        <v>37.9908</v>
      </c>
    </row>
    <row r="21" spans="1:22">
      <c r="A21" s="3028">
        <v>20</v>
      </c>
      <c r="B21" s="3029" t="s">
        <v>3230</v>
      </c>
      <c r="C21" s="3029" t="s">
        <v>3250</v>
      </c>
      <c r="D21" s="3030">
        <v>37.9908</v>
      </c>
      <c r="E21" s="3029" t="s">
        <v>1377</v>
      </c>
      <c r="F21" s="3029"/>
      <c r="G21" s="3029"/>
      <c r="I21" s="3029" t="s">
        <v>4585</v>
      </c>
      <c r="J21" s="3030">
        <v>47.495100000000001</v>
      </c>
      <c r="K21" s="3029" t="s">
        <v>4623</v>
      </c>
      <c r="L21" s="3030">
        <v>46.291699999999999</v>
      </c>
      <c r="M21" s="3029" t="s">
        <v>4662</v>
      </c>
      <c r="N21" s="3030">
        <v>46.291699999999999</v>
      </c>
      <c r="O21" s="3029" t="s">
        <v>4701</v>
      </c>
      <c r="P21" s="3030">
        <v>46.291699999999999</v>
      </c>
      <c r="Q21" s="3029" t="s">
        <v>4740</v>
      </c>
      <c r="R21" s="3030">
        <v>46.291699999999999</v>
      </c>
      <c r="S21" s="3029" t="s">
        <v>4779</v>
      </c>
      <c r="T21" s="3030">
        <v>46.291699999999999</v>
      </c>
      <c r="U21" s="3029" t="s">
        <v>4818</v>
      </c>
      <c r="V21" s="3030">
        <v>37.9908</v>
      </c>
    </row>
    <row r="22" spans="1:22">
      <c r="A22" s="3028">
        <v>21</v>
      </c>
      <c r="B22" s="3029" t="s">
        <v>3230</v>
      </c>
      <c r="C22" s="3029" t="s">
        <v>3251</v>
      </c>
      <c r="D22" s="3030">
        <v>36.591299999999997</v>
      </c>
      <c r="E22" s="3029" t="s">
        <v>1377</v>
      </c>
      <c r="F22" s="3029"/>
      <c r="G22" s="3029"/>
      <c r="I22" s="3029" t="s">
        <v>4586</v>
      </c>
      <c r="J22" s="3030">
        <v>47.775300000000001</v>
      </c>
      <c r="K22" s="3029" t="s">
        <v>4624</v>
      </c>
      <c r="L22" s="3030">
        <v>46.291699999999999</v>
      </c>
      <c r="M22" s="3029" t="s">
        <v>4663</v>
      </c>
      <c r="N22" s="3030">
        <v>46.291699999999999</v>
      </c>
      <c r="O22" s="3029" t="s">
        <v>4702</v>
      </c>
      <c r="P22" s="3030">
        <v>46.291699999999999</v>
      </c>
      <c r="Q22" s="3029" t="s">
        <v>4741</v>
      </c>
      <c r="R22" s="3030">
        <v>46.291699999999999</v>
      </c>
      <c r="S22" s="3029" t="s">
        <v>4780</v>
      </c>
      <c r="T22" s="3030">
        <v>46.291699999999999</v>
      </c>
      <c r="U22" s="3029" t="s">
        <v>4819</v>
      </c>
      <c r="V22" s="3030">
        <v>36.591299999999997</v>
      </c>
    </row>
    <row r="23" spans="1:22">
      <c r="A23" s="3028">
        <v>22</v>
      </c>
      <c r="B23" s="3029" t="s">
        <v>3230</v>
      </c>
      <c r="C23" s="3029" t="s">
        <v>3252</v>
      </c>
      <c r="D23" s="3030">
        <v>54.805300000000003</v>
      </c>
      <c r="E23" s="3029" t="s">
        <v>1377</v>
      </c>
      <c r="F23" s="3029"/>
      <c r="G23" s="3029"/>
      <c r="I23" s="3029" t="s">
        <v>4587</v>
      </c>
      <c r="J23" s="3030">
        <v>47.775300000000001</v>
      </c>
      <c r="K23" s="3029" t="s">
        <v>4625</v>
      </c>
      <c r="L23" s="3030">
        <v>46.564799999999998</v>
      </c>
      <c r="M23" s="3029" t="s">
        <v>4664</v>
      </c>
      <c r="N23" s="3030">
        <v>46.564799999999998</v>
      </c>
      <c r="O23" s="3029" t="s">
        <v>4703</v>
      </c>
      <c r="P23" s="3030">
        <v>46.564799999999998</v>
      </c>
      <c r="Q23" s="3029" t="s">
        <v>4742</v>
      </c>
      <c r="R23" s="3030">
        <v>46.564799999999998</v>
      </c>
      <c r="S23" s="3029" t="s">
        <v>4781</v>
      </c>
      <c r="T23" s="3030">
        <v>46.564799999999998</v>
      </c>
      <c r="U23" s="3029" t="s">
        <v>4820</v>
      </c>
      <c r="V23" s="3030">
        <v>54.805300000000003</v>
      </c>
    </row>
    <row r="24" spans="1:22">
      <c r="A24" s="3028">
        <v>23</v>
      </c>
      <c r="B24" s="3029" t="s">
        <v>3230</v>
      </c>
      <c r="C24" s="3029" t="s">
        <v>3253</v>
      </c>
      <c r="D24" s="3030">
        <v>40.212699999999998</v>
      </c>
      <c r="E24" s="3029" t="s">
        <v>1377</v>
      </c>
      <c r="F24" s="3029"/>
      <c r="G24" s="3029"/>
      <c r="I24" s="3029" t="s">
        <v>4588</v>
      </c>
      <c r="J24" s="3030">
        <v>47.495100000000001</v>
      </c>
      <c r="K24" s="3029" t="s">
        <v>4626</v>
      </c>
      <c r="L24" s="3030">
        <v>46.564799999999998</v>
      </c>
      <c r="M24" s="3029" t="s">
        <v>4665</v>
      </c>
      <c r="N24" s="3030">
        <v>46.564799999999998</v>
      </c>
      <c r="O24" s="3029" t="s">
        <v>4704</v>
      </c>
      <c r="P24" s="3030">
        <v>46.564799999999998</v>
      </c>
      <c r="Q24" s="3029" t="s">
        <v>4743</v>
      </c>
      <c r="R24" s="3030">
        <v>46.564799999999998</v>
      </c>
      <c r="S24" s="3029" t="s">
        <v>4782</v>
      </c>
      <c r="T24" s="3030">
        <v>46.564799999999998</v>
      </c>
      <c r="U24" s="3029" t="s">
        <v>4821</v>
      </c>
      <c r="V24" s="3030">
        <v>40.212699999999998</v>
      </c>
    </row>
    <row r="25" spans="1:22">
      <c r="A25" s="3028">
        <v>24</v>
      </c>
      <c r="B25" s="3029" t="s">
        <v>3230</v>
      </c>
      <c r="C25" s="3029" t="s">
        <v>3254</v>
      </c>
      <c r="D25" s="3030">
        <v>40.212699999999998</v>
      </c>
      <c r="E25" s="3029" t="s">
        <v>1377</v>
      </c>
      <c r="F25" s="3029"/>
      <c r="G25" s="3029"/>
      <c r="I25" s="3029" t="s">
        <v>4589</v>
      </c>
      <c r="J25" s="3030">
        <v>47.495100000000001</v>
      </c>
      <c r="K25" s="3029" t="s">
        <v>4627</v>
      </c>
      <c r="L25" s="3030">
        <v>46.291699999999999</v>
      </c>
      <c r="M25" s="3029" t="s">
        <v>4666</v>
      </c>
      <c r="N25" s="3030">
        <v>46.291699999999999</v>
      </c>
      <c r="O25" s="3029" t="s">
        <v>4705</v>
      </c>
      <c r="P25" s="3030">
        <v>46.291699999999999</v>
      </c>
      <c r="Q25" s="3029" t="s">
        <v>4744</v>
      </c>
      <c r="R25" s="3030">
        <v>46.291699999999999</v>
      </c>
      <c r="S25" s="3029" t="s">
        <v>4783</v>
      </c>
      <c r="T25" s="3030">
        <v>46.291699999999999</v>
      </c>
      <c r="U25" s="3029" t="s">
        <v>4822</v>
      </c>
      <c r="V25" s="3030">
        <v>40.212699999999998</v>
      </c>
    </row>
    <row r="26" spans="1:22">
      <c r="A26" s="3028">
        <v>25</v>
      </c>
      <c r="B26" s="3029" t="s">
        <v>3230</v>
      </c>
      <c r="C26" s="3029" t="s">
        <v>3255</v>
      </c>
      <c r="D26" s="3030">
        <v>40.212699999999998</v>
      </c>
      <c r="E26" s="3029" t="s">
        <v>1377</v>
      </c>
      <c r="F26" s="3029"/>
      <c r="G26" s="3029"/>
      <c r="I26" s="3029" t="s">
        <v>4590</v>
      </c>
      <c r="J26" s="3030">
        <v>47.775300000000001</v>
      </c>
      <c r="K26" s="3029" t="s">
        <v>4628</v>
      </c>
      <c r="L26" s="3030">
        <v>46.291699999999999</v>
      </c>
      <c r="M26" s="3029" t="s">
        <v>4667</v>
      </c>
      <c r="N26" s="3030">
        <v>46.291699999999999</v>
      </c>
      <c r="O26" s="3029" t="s">
        <v>4706</v>
      </c>
      <c r="P26" s="3030">
        <v>46.291699999999999</v>
      </c>
      <c r="Q26" s="3029" t="s">
        <v>4745</v>
      </c>
      <c r="R26" s="3030">
        <v>46.291699999999999</v>
      </c>
      <c r="S26" s="3029" t="s">
        <v>4784</v>
      </c>
      <c r="T26" s="3030">
        <v>46.291699999999999</v>
      </c>
      <c r="U26" s="3029" t="s">
        <v>4823</v>
      </c>
      <c r="V26" s="3030">
        <v>40.212699999999998</v>
      </c>
    </row>
    <row r="27" spans="1:22">
      <c r="A27" s="3028">
        <v>26</v>
      </c>
      <c r="B27" s="3029" t="s">
        <v>3230</v>
      </c>
      <c r="C27" s="3029" t="s">
        <v>3256</v>
      </c>
      <c r="D27" s="3030">
        <v>35.349699999999999</v>
      </c>
      <c r="E27" s="3029" t="s">
        <v>1377</v>
      </c>
      <c r="F27" s="3029"/>
      <c r="G27" s="3029"/>
      <c r="I27" s="3029" t="s">
        <v>4591</v>
      </c>
      <c r="J27" s="3030">
        <v>47.775300000000001</v>
      </c>
      <c r="K27" s="3029" t="s">
        <v>4629</v>
      </c>
      <c r="L27" s="3030">
        <v>46.564799999999998</v>
      </c>
      <c r="M27" s="3029" t="s">
        <v>4668</v>
      </c>
      <c r="N27" s="3030">
        <v>46.564799999999998</v>
      </c>
      <c r="O27" s="3029" t="s">
        <v>4707</v>
      </c>
      <c r="P27" s="3030">
        <v>46.564799999999998</v>
      </c>
      <c r="Q27" s="3029" t="s">
        <v>4746</v>
      </c>
      <c r="R27" s="3030">
        <v>46.564799999999998</v>
      </c>
      <c r="S27" s="3029" t="s">
        <v>4785</v>
      </c>
      <c r="T27" s="3030">
        <v>46.564799999999998</v>
      </c>
      <c r="U27" s="3029" t="s">
        <v>4824</v>
      </c>
      <c r="V27" s="3030">
        <v>35.349699999999999</v>
      </c>
    </row>
    <row r="28" spans="1:22">
      <c r="A28" s="3028">
        <v>27</v>
      </c>
      <c r="B28" s="3029" t="s">
        <v>3230</v>
      </c>
      <c r="C28" s="3029" t="s">
        <v>3257</v>
      </c>
      <c r="D28" s="3030">
        <v>35.349699999999999</v>
      </c>
      <c r="E28" s="3029" t="s">
        <v>1377</v>
      </c>
      <c r="F28" s="3029"/>
      <c r="G28" s="3029"/>
      <c r="I28" s="3029" t="s">
        <v>4592</v>
      </c>
      <c r="J28" s="3030">
        <v>47.495100000000001</v>
      </c>
      <c r="K28" s="3029" t="s">
        <v>4630</v>
      </c>
      <c r="L28" s="3030">
        <v>46.564799999999998</v>
      </c>
      <c r="M28" s="3029" t="s">
        <v>4669</v>
      </c>
      <c r="N28" s="3030">
        <v>46.564799999999998</v>
      </c>
      <c r="O28" s="3029" t="s">
        <v>4708</v>
      </c>
      <c r="P28" s="3030">
        <v>46.564799999999998</v>
      </c>
      <c r="Q28" s="3029" t="s">
        <v>4747</v>
      </c>
      <c r="R28" s="3030">
        <v>46.564799999999998</v>
      </c>
      <c r="S28" s="3029" t="s">
        <v>4786</v>
      </c>
      <c r="T28" s="3030">
        <v>46.564799999999998</v>
      </c>
      <c r="U28" s="3029" t="s">
        <v>4825</v>
      </c>
      <c r="V28" s="3030">
        <v>35.349699999999999</v>
      </c>
    </row>
    <row r="29" spans="1:22">
      <c r="A29" s="3028">
        <v>28</v>
      </c>
      <c r="B29" s="3029" t="s">
        <v>3230</v>
      </c>
      <c r="C29" s="3029" t="s">
        <v>3258</v>
      </c>
      <c r="D29" s="3030">
        <v>24.326599999999999</v>
      </c>
      <c r="E29" s="3029" t="s">
        <v>1377</v>
      </c>
      <c r="F29" s="3029"/>
      <c r="G29" s="3029"/>
      <c r="I29" s="3029" t="s">
        <v>4593</v>
      </c>
      <c r="J29" s="3030">
        <v>47.495100000000001</v>
      </c>
      <c r="K29" s="3029" t="s">
        <v>4631</v>
      </c>
      <c r="L29" s="3030">
        <v>46.291699999999999</v>
      </c>
      <c r="M29" s="3029" t="s">
        <v>4670</v>
      </c>
      <c r="N29" s="3030">
        <v>46.291699999999999</v>
      </c>
      <c r="O29" s="3029" t="s">
        <v>4709</v>
      </c>
      <c r="P29" s="3030">
        <v>46.291699999999999</v>
      </c>
      <c r="Q29" s="3029" t="s">
        <v>4748</v>
      </c>
      <c r="R29" s="3030">
        <v>46.291699999999999</v>
      </c>
      <c r="S29" s="3029" t="s">
        <v>4787</v>
      </c>
      <c r="T29" s="3030">
        <v>46.291699999999999</v>
      </c>
      <c r="U29" s="3029" t="s">
        <v>4826</v>
      </c>
      <c r="V29" s="3030">
        <v>24.326599999999999</v>
      </c>
    </row>
    <row r="30" spans="1:22">
      <c r="A30" s="3028">
        <v>29</v>
      </c>
      <c r="B30" s="3029" t="s">
        <v>3230</v>
      </c>
      <c r="C30" s="3029" t="s">
        <v>3259</v>
      </c>
      <c r="D30" s="3030">
        <v>35.349699999999999</v>
      </c>
      <c r="E30" s="3029" t="s">
        <v>1377</v>
      </c>
      <c r="F30" s="3029"/>
      <c r="G30" s="3029"/>
      <c r="I30" s="3029" t="s">
        <v>4594</v>
      </c>
      <c r="J30" s="3030">
        <v>47.775300000000001</v>
      </c>
      <c r="K30" s="3029" t="s">
        <v>4632</v>
      </c>
      <c r="L30" s="3030">
        <v>46.291699999999999</v>
      </c>
      <c r="M30" s="3029" t="s">
        <v>4671</v>
      </c>
      <c r="N30" s="3030">
        <v>46.291699999999999</v>
      </c>
      <c r="O30" s="3029" t="s">
        <v>4710</v>
      </c>
      <c r="P30" s="3030">
        <v>46.291699999999999</v>
      </c>
      <c r="Q30" s="3029" t="s">
        <v>4749</v>
      </c>
      <c r="R30" s="3030">
        <v>46.291699999999999</v>
      </c>
      <c r="S30" s="3029" t="s">
        <v>4788</v>
      </c>
      <c r="T30" s="3030">
        <v>46.291699999999999</v>
      </c>
      <c r="U30" s="3029" t="s">
        <v>4827</v>
      </c>
      <c r="V30" s="3030">
        <v>35.349699999999999</v>
      </c>
    </row>
    <row r="31" spans="1:22">
      <c r="A31" s="3028">
        <v>30</v>
      </c>
      <c r="B31" s="3029" t="s">
        <v>3230</v>
      </c>
      <c r="C31" s="3029" t="s">
        <v>3260</v>
      </c>
      <c r="D31" s="3030">
        <v>36.870100000000001</v>
      </c>
      <c r="E31" s="3029" t="s">
        <v>1377</v>
      </c>
      <c r="F31" s="3029"/>
      <c r="G31" s="3029"/>
      <c r="I31" s="3029" t="s">
        <v>4595</v>
      </c>
      <c r="J31" s="3030">
        <v>47.775300000000001</v>
      </c>
      <c r="K31" s="3029" t="s">
        <v>4633</v>
      </c>
      <c r="L31" s="3030">
        <v>46.564799999999998</v>
      </c>
      <c r="M31" s="3029" t="s">
        <v>4672</v>
      </c>
      <c r="N31" s="3030">
        <v>46.564799999999998</v>
      </c>
      <c r="O31" s="3029" t="s">
        <v>4711</v>
      </c>
      <c r="P31" s="3030">
        <v>46.564799999999998</v>
      </c>
      <c r="Q31" s="3029" t="s">
        <v>4750</v>
      </c>
      <c r="R31" s="3030">
        <v>46.564799999999998</v>
      </c>
      <c r="S31" s="3029" t="s">
        <v>4789</v>
      </c>
      <c r="T31" s="3030">
        <v>46.564799999999998</v>
      </c>
      <c r="U31" s="3029" t="s">
        <v>4828</v>
      </c>
      <c r="V31" s="3030">
        <v>36.870100000000001</v>
      </c>
    </row>
    <row r="32" spans="1:22">
      <c r="A32" s="3028">
        <v>31</v>
      </c>
      <c r="B32" s="3029" t="s">
        <v>3230</v>
      </c>
      <c r="C32" s="3029" t="s">
        <v>3261</v>
      </c>
      <c r="D32" s="3030">
        <v>40.950600000000001</v>
      </c>
      <c r="E32" s="3029" t="s">
        <v>1377</v>
      </c>
      <c r="F32" s="3029"/>
      <c r="G32" s="3029"/>
      <c r="I32" s="3029" t="s">
        <v>4596</v>
      </c>
      <c r="J32" s="3030">
        <v>47.775300000000001</v>
      </c>
      <c r="K32" s="3029" t="s">
        <v>4634</v>
      </c>
      <c r="L32" s="3030">
        <v>46.564799999999998</v>
      </c>
      <c r="M32" s="3029" t="s">
        <v>4673</v>
      </c>
      <c r="N32" s="3030">
        <v>46.564799999999998</v>
      </c>
      <c r="O32" s="3029" t="s">
        <v>4712</v>
      </c>
      <c r="P32" s="3030">
        <v>46.564799999999998</v>
      </c>
      <c r="Q32" s="3029" t="s">
        <v>4751</v>
      </c>
      <c r="R32" s="3030">
        <v>46.564799999999998</v>
      </c>
      <c r="S32" s="3029" t="s">
        <v>4790</v>
      </c>
      <c r="T32" s="3030">
        <v>46.564799999999998</v>
      </c>
      <c r="U32" s="3029" t="s">
        <v>4829</v>
      </c>
      <c r="V32" s="3030">
        <v>40.950600000000001</v>
      </c>
    </row>
    <row r="33" spans="1:22">
      <c r="A33" s="3028">
        <v>32</v>
      </c>
      <c r="B33" s="3029" t="s">
        <v>3230</v>
      </c>
      <c r="C33" s="3029" t="s">
        <v>3262</v>
      </c>
      <c r="D33" s="3030">
        <v>40.950600000000001</v>
      </c>
      <c r="E33" s="3029" t="s">
        <v>1377</v>
      </c>
      <c r="F33" s="3029"/>
      <c r="G33" s="3029"/>
      <c r="I33" s="3029" t="s">
        <v>4597</v>
      </c>
      <c r="J33" s="3030">
        <v>47.775300000000001</v>
      </c>
      <c r="K33" s="3029" t="s">
        <v>4635</v>
      </c>
      <c r="L33" s="3030">
        <v>46.564799999999998</v>
      </c>
      <c r="M33" s="3029" t="s">
        <v>4674</v>
      </c>
      <c r="N33" s="3030">
        <v>46.564799999999998</v>
      </c>
      <c r="O33" s="3029" t="s">
        <v>4713</v>
      </c>
      <c r="P33" s="3030">
        <v>46.564799999999998</v>
      </c>
      <c r="Q33" s="3029" t="s">
        <v>4752</v>
      </c>
      <c r="R33" s="3030">
        <v>46.564799999999998</v>
      </c>
      <c r="S33" s="3029" t="s">
        <v>4791</v>
      </c>
      <c r="T33" s="3030">
        <v>46.564799999999998</v>
      </c>
      <c r="U33" s="3029" t="s">
        <v>4830</v>
      </c>
      <c r="V33" s="3030">
        <v>40.950600000000001</v>
      </c>
    </row>
    <row r="34" spans="1:22">
      <c r="A34" s="3028">
        <v>33</v>
      </c>
      <c r="B34" s="3029" t="s">
        <v>3230</v>
      </c>
      <c r="C34" s="3029" t="s">
        <v>3263</v>
      </c>
      <c r="D34" s="3030">
        <v>40.950600000000001</v>
      </c>
      <c r="E34" s="3029" t="s">
        <v>1377</v>
      </c>
      <c r="F34" s="3029"/>
      <c r="G34" s="3029"/>
      <c r="I34" s="3029" t="s">
        <v>4598</v>
      </c>
      <c r="J34" s="3030">
        <v>47.495100000000001</v>
      </c>
      <c r="K34" s="3029" t="s">
        <v>4636</v>
      </c>
      <c r="L34" s="3030">
        <v>46.564799999999998</v>
      </c>
      <c r="M34" s="3029" t="s">
        <v>4675</v>
      </c>
      <c r="N34" s="3030">
        <v>46.564799999999998</v>
      </c>
      <c r="O34" s="3029" t="s">
        <v>4714</v>
      </c>
      <c r="P34" s="3030">
        <v>46.564799999999998</v>
      </c>
      <c r="Q34" s="3029" t="s">
        <v>4753</v>
      </c>
      <c r="R34" s="3030">
        <v>46.564799999999998</v>
      </c>
      <c r="S34" s="3029" t="s">
        <v>4792</v>
      </c>
      <c r="T34" s="3030">
        <v>46.564799999999998</v>
      </c>
      <c r="U34" s="3029" t="s">
        <v>4831</v>
      </c>
      <c r="V34" s="3030">
        <v>40.950600000000001</v>
      </c>
    </row>
    <row r="35" spans="1:22">
      <c r="A35" s="3028">
        <v>34</v>
      </c>
      <c r="B35" s="3029" t="s">
        <v>3230</v>
      </c>
      <c r="C35" s="3029" t="s">
        <v>3264</v>
      </c>
      <c r="D35" s="3030">
        <v>46.853400000000001</v>
      </c>
      <c r="E35" s="3029" t="s">
        <v>1377</v>
      </c>
      <c r="F35" s="3029"/>
      <c r="G35" s="3029"/>
      <c r="I35" s="3029" t="s">
        <v>4599</v>
      </c>
      <c r="J35" s="3030">
        <v>47.495100000000001</v>
      </c>
      <c r="K35" s="3029" t="s">
        <v>4637</v>
      </c>
      <c r="L35" s="3030">
        <v>46.291699999999999</v>
      </c>
      <c r="M35" s="3029" t="s">
        <v>4676</v>
      </c>
      <c r="N35" s="3030">
        <v>46.291699999999999</v>
      </c>
      <c r="O35" s="3029" t="s">
        <v>4715</v>
      </c>
      <c r="P35" s="3030">
        <v>46.291699999999999</v>
      </c>
      <c r="Q35" s="3029" t="s">
        <v>4754</v>
      </c>
      <c r="R35" s="3030">
        <v>46.291699999999999</v>
      </c>
      <c r="S35" s="3029" t="s">
        <v>4793</v>
      </c>
      <c r="T35" s="3030">
        <v>46.291699999999999</v>
      </c>
      <c r="U35" s="3029" t="s">
        <v>4832</v>
      </c>
      <c r="V35" s="3030">
        <v>46.853400000000001</v>
      </c>
    </row>
    <row r="36" spans="1:22">
      <c r="A36" s="3028">
        <v>35</v>
      </c>
      <c r="B36" s="3029" t="s">
        <v>3230</v>
      </c>
      <c r="C36" s="3029" t="s">
        <v>3265</v>
      </c>
      <c r="D36" s="3030">
        <v>90.433899999999994</v>
      </c>
      <c r="E36" s="3029" t="s">
        <v>1377</v>
      </c>
      <c r="F36" s="3029"/>
      <c r="G36" s="3029"/>
      <c r="I36" s="3029" t="s">
        <v>4600</v>
      </c>
      <c r="J36" s="3030">
        <v>53.131999999999998</v>
      </c>
      <c r="K36" s="3029" t="s">
        <v>4638</v>
      </c>
      <c r="L36" s="3030">
        <v>46.291699999999999</v>
      </c>
      <c r="M36" s="3029" t="s">
        <v>4677</v>
      </c>
      <c r="N36" s="3030">
        <v>46.291699999999999</v>
      </c>
      <c r="O36" s="3029" t="s">
        <v>4716</v>
      </c>
      <c r="P36" s="3030">
        <v>46.291699999999999</v>
      </c>
      <c r="Q36" s="3029" t="s">
        <v>4755</v>
      </c>
      <c r="R36" s="3030">
        <v>46.291699999999999</v>
      </c>
      <c r="S36" s="3029" t="s">
        <v>4794</v>
      </c>
      <c r="T36" s="3030">
        <v>46.291699999999999</v>
      </c>
      <c r="U36" s="3029" t="s">
        <v>4833</v>
      </c>
      <c r="V36" s="3030">
        <v>90.433899999999994</v>
      </c>
    </row>
    <row r="37" spans="1:22">
      <c r="A37" s="3028">
        <v>36</v>
      </c>
      <c r="B37" s="3029" t="s">
        <v>3230</v>
      </c>
      <c r="C37" s="3029" t="s">
        <v>3266</v>
      </c>
      <c r="D37" s="3030">
        <v>54.082000000000001</v>
      </c>
      <c r="E37" s="3029" t="s">
        <v>1377</v>
      </c>
      <c r="F37" s="3029"/>
      <c r="G37" s="3029"/>
      <c r="I37" s="3029" t="s">
        <v>4601</v>
      </c>
      <c r="J37" s="3030">
        <v>53.131999999999998</v>
      </c>
      <c r="K37" s="3029" t="s">
        <v>4639</v>
      </c>
      <c r="L37" s="3030">
        <v>51.785699999999999</v>
      </c>
      <c r="M37" s="3029" t="s">
        <v>4678</v>
      </c>
      <c r="N37" s="3030">
        <v>51.785699999999999</v>
      </c>
      <c r="O37" s="3029" t="s">
        <v>4717</v>
      </c>
      <c r="P37" s="3030">
        <v>51.785699999999999</v>
      </c>
      <c r="Q37" s="3029" t="s">
        <v>4756</v>
      </c>
      <c r="R37" s="3030">
        <v>51.785699999999999</v>
      </c>
      <c r="S37" s="3029" t="s">
        <v>4795</v>
      </c>
      <c r="T37" s="3030">
        <v>51.785699999999999</v>
      </c>
      <c r="U37" s="3029" t="s">
        <v>4834</v>
      </c>
      <c r="V37" s="3030">
        <v>54.082000000000001</v>
      </c>
    </row>
    <row r="38" spans="1:22">
      <c r="A38" s="3028">
        <v>37</v>
      </c>
      <c r="B38" s="3029" t="s">
        <v>3230</v>
      </c>
      <c r="C38" s="3029" t="s">
        <v>3267</v>
      </c>
      <c r="D38" s="3030">
        <v>100.20650000000001</v>
      </c>
      <c r="E38" s="3029" t="s">
        <v>1377</v>
      </c>
      <c r="F38" s="3029"/>
      <c r="G38" s="3029"/>
      <c r="I38" s="3029" t="s">
        <v>4602</v>
      </c>
      <c r="J38" s="3030">
        <v>53.131999999999998</v>
      </c>
      <c r="K38" s="3029" t="s">
        <v>4640</v>
      </c>
      <c r="L38" s="3030">
        <v>51.785699999999999</v>
      </c>
      <c r="M38" s="3029" t="s">
        <v>4679</v>
      </c>
      <c r="N38" s="3030">
        <v>51.785699999999999</v>
      </c>
      <c r="O38" s="3029" t="s">
        <v>4718</v>
      </c>
      <c r="P38" s="3030">
        <v>51.785699999999999</v>
      </c>
      <c r="Q38" s="3029" t="s">
        <v>4757</v>
      </c>
      <c r="R38" s="3030">
        <v>51.785699999999999</v>
      </c>
      <c r="S38" s="3029" t="s">
        <v>4796</v>
      </c>
      <c r="T38" s="3030">
        <v>51.785699999999999</v>
      </c>
      <c r="U38" s="3029" t="s">
        <v>4835</v>
      </c>
      <c r="V38" s="3030">
        <v>100.20650000000001</v>
      </c>
    </row>
    <row r="39" spans="1:22">
      <c r="A39" s="3028">
        <v>38</v>
      </c>
      <c r="B39" s="3029" t="s">
        <v>3230</v>
      </c>
      <c r="C39" s="3029" t="s">
        <v>3268</v>
      </c>
      <c r="D39" s="3030">
        <v>97.259299999999996</v>
      </c>
      <c r="E39" s="3029" t="s">
        <v>1377</v>
      </c>
      <c r="F39" s="3029"/>
      <c r="G39" s="3029"/>
      <c r="I39" s="3029" t="s">
        <v>4603</v>
      </c>
      <c r="J39" s="3030">
        <v>51.829000000000001</v>
      </c>
      <c r="K39" s="3029" t="s">
        <v>4641</v>
      </c>
      <c r="L39" s="3030">
        <v>51.785699999999999</v>
      </c>
      <c r="M39" s="3029" t="s">
        <v>4680</v>
      </c>
      <c r="N39" s="3030">
        <v>51.785699999999999</v>
      </c>
      <c r="O39" s="3029" t="s">
        <v>4719</v>
      </c>
      <c r="P39" s="3030">
        <v>51.785699999999999</v>
      </c>
      <c r="Q39" s="3029" t="s">
        <v>4758</v>
      </c>
      <c r="R39" s="3030">
        <v>51.785699999999999</v>
      </c>
      <c r="S39" s="3029" t="s">
        <v>4797</v>
      </c>
      <c r="T39" s="3030">
        <v>51.785699999999999</v>
      </c>
      <c r="U39" s="3029" t="s">
        <v>4836</v>
      </c>
      <c r="V39" s="3030">
        <v>97.259299999999996</v>
      </c>
    </row>
    <row r="40" spans="1:22">
      <c r="A40" s="3028">
        <v>39</v>
      </c>
      <c r="B40" s="3029" t="s">
        <v>3230</v>
      </c>
      <c r="C40" s="3029" t="s">
        <v>3269</v>
      </c>
      <c r="D40" s="3030">
        <v>98.285200000000003</v>
      </c>
      <c r="E40" s="3029" t="s">
        <v>1377</v>
      </c>
      <c r="F40" s="3029"/>
      <c r="G40" s="3029"/>
      <c r="K40" s="3029" t="s">
        <v>4642</v>
      </c>
      <c r="L40" s="3030">
        <v>50.515799999999999</v>
      </c>
      <c r="M40" s="3029" t="s">
        <v>4681</v>
      </c>
      <c r="N40" s="3030">
        <v>50.515799999999999</v>
      </c>
      <c r="O40" s="3029" t="s">
        <v>4720</v>
      </c>
      <c r="P40" s="3030">
        <v>50.515799999999999</v>
      </c>
      <c r="Q40" s="3029" t="s">
        <v>4759</v>
      </c>
      <c r="R40" s="3030">
        <v>50.515799999999999</v>
      </c>
      <c r="S40" s="3029" t="s">
        <v>4798</v>
      </c>
      <c r="T40" s="3030">
        <v>50.515799999999999</v>
      </c>
      <c r="U40" s="3029" t="s">
        <v>4837</v>
      </c>
      <c r="V40" s="3030">
        <v>98.285200000000003</v>
      </c>
    </row>
    <row r="41" spans="1:22">
      <c r="A41" s="3028">
        <v>40</v>
      </c>
      <c r="B41" s="3029" t="s">
        <v>3230</v>
      </c>
      <c r="C41" s="3029" t="s">
        <v>3270</v>
      </c>
      <c r="D41" s="3030">
        <v>268.17599999999999</v>
      </c>
      <c r="E41" s="3029" t="s">
        <v>1377</v>
      </c>
      <c r="F41" s="3029"/>
      <c r="G41" s="3029"/>
      <c r="H41" s="3028" t="s">
        <v>4471</v>
      </c>
      <c r="J41" s="3028">
        <f>SUM(J2:J39)</f>
        <v>1838.0816000000009</v>
      </c>
      <c r="L41" s="3028">
        <f>SUM(L2:L40)</f>
        <v>1838.0740000000003</v>
      </c>
      <c r="N41" s="3028">
        <f>SUM(N2:N40)</f>
        <v>1838.0740000000003</v>
      </c>
      <c r="P41" s="3028">
        <f>SUM(P2:P40)</f>
        <v>1838.0740000000003</v>
      </c>
      <c r="R41" s="3028">
        <f>SUM(R2:R40)</f>
        <v>1838.0740000000003</v>
      </c>
      <c r="T41" s="3028">
        <f>SUM(T2:T40)</f>
        <v>1838.0740000000003</v>
      </c>
      <c r="U41" s="3029" t="s">
        <v>4838</v>
      </c>
      <c r="V41" s="3030">
        <v>268.17599999999999</v>
      </c>
    </row>
    <row r="42" spans="1:22">
      <c r="A42" s="3028">
        <v>41</v>
      </c>
      <c r="B42" s="3029" t="s">
        <v>3230</v>
      </c>
      <c r="C42" s="3029" t="s">
        <v>3271</v>
      </c>
      <c r="D42" s="3030">
        <v>86.199100000000001</v>
      </c>
      <c r="E42" s="3029" t="s">
        <v>1377</v>
      </c>
      <c r="F42" s="3029"/>
      <c r="G42" s="3029"/>
      <c r="H42" s="3028" t="s">
        <v>4474</v>
      </c>
      <c r="I42" s="3028">
        <f>J41+L41+N41+P41+R41+T41</f>
        <v>11028.451600000002</v>
      </c>
      <c r="U42" s="3029" t="s">
        <v>4839</v>
      </c>
      <c r="V42" s="3030">
        <v>86.199100000000001</v>
      </c>
    </row>
    <row r="43" spans="1:22">
      <c r="A43" s="3028">
        <v>42</v>
      </c>
      <c r="B43" s="3029" t="s">
        <v>3230</v>
      </c>
      <c r="C43" s="3029" t="s">
        <v>3272</v>
      </c>
      <c r="D43" s="3030">
        <v>175.8526</v>
      </c>
      <c r="E43" s="3029" t="s">
        <v>1377</v>
      </c>
      <c r="F43" s="3029"/>
      <c r="G43" s="3029"/>
      <c r="U43" s="3029" t="s">
        <v>4840</v>
      </c>
      <c r="V43" s="3030">
        <v>175.8526</v>
      </c>
    </row>
    <row r="44" spans="1:22">
      <c r="A44" s="3028">
        <v>43</v>
      </c>
      <c r="B44" s="3029" t="s">
        <v>3230</v>
      </c>
      <c r="C44" s="3029" t="s">
        <v>3273</v>
      </c>
      <c r="D44" s="3030">
        <v>99.350899999999996</v>
      </c>
      <c r="E44" s="3029" t="s">
        <v>1377</v>
      </c>
      <c r="F44" s="3029"/>
      <c r="G44" s="3029"/>
      <c r="U44" s="3029" t="s">
        <v>4841</v>
      </c>
      <c r="V44" s="3030">
        <v>99.350899999999996</v>
      </c>
    </row>
    <row r="45" spans="1:22">
      <c r="A45" s="3028">
        <v>44</v>
      </c>
      <c r="B45" s="3029" t="s">
        <v>3230</v>
      </c>
      <c r="C45" s="3029" t="s">
        <v>3274</v>
      </c>
      <c r="D45" s="3030">
        <v>267.49459999999999</v>
      </c>
      <c r="E45" s="3029" t="s">
        <v>1377</v>
      </c>
      <c r="F45" s="3029"/>
      <c r="G45" s="3029"/>
      <c r="U45" s="3029" t="s">
        <v>4842</v>
      </c>
      <c r="V45" s="3030">
        <v>267.49459999999999</v>
      </c>
    </row>
    <row r="46" spans="1:22">
      <c r="A46" s="3028">
        <v>45</v>
      </c>
      <c r="B46" s="3029" t="s">
        <v>3230</v>
      </c>
      <c r="C46" s="3029" t="s">
        <v>3275</v>
      </c>
      <c r="D46" s="3030">
        <v>99.350899999999996</v>
      </c>
      <c r="E46" s="3029" t="s">
        <v>1377</v>
      </c>
      <c r="F46" s="3029"/>
      <c r="G46" s="3029"/>
      <c r="U46" s="3029" t="s">
        <v>4843</v>
      </c>
      <c r="V46" s="3030">
        <v>99.350899999999996</v>
      </c>
    </row>
    <row r="47" spans="1:22">
      <c r="A47" s="3028">
        <v>46</v>
      </c>
      <c r="B47" s="3029" t="s">
        <v>3230</v>
      </c>
      <c r="C47" s="3029" t="s">
        <v>3276</v>
      </c>
      <c r="D47" s="3030">
        <v>99.350899999999996</v>
      </c>
      <c r="E47" s="3029" t="s">
        <v>1377</v>
      </c>
      <c r="F47" s="3029"/>
      <c r="G47" s="3029"/>
      <c r="U47" s="3029" t="s">
        <v>4844</v>
      </c>
      <c r="V47" s="3030">
        <v>99.350899999999996</v>
      </c>
    </row>
    <row r="48" spans="1:22">
      <c r="A48" s="3028">
        <v>47</v>
      </c>
      <c r="B48" s="3029" t="s">
        <v>3230</v>
      </c>
      <c r="C48" s="3029" t="s">
        <v>3277</v>
      </c>
      <c r="D48" s="3030">
        <v>99.350899999999996</v>
      </c>
      <c r="E48" s="3029" t="s">
        <v>1377</v>
      </c>
      <c r="F48" s="3029"/>
      <c r="G48" s="3029"/>
      <c r="U48" s="3029" t="s">
        <v>4845</v>
      </c>
      <c r="V48" s="3030">
        <v>99.350899999999996</v>
      </c>
    </row>
    <row r="49" spans="1:22">
      <c r="A49" s="3028">
        <v>48</v>
      </c>
      <c r="B49" s="3029" t="s">
        <v>3230</v>
      </c>
      <c r="C49" s="3029" t="s">
        <v>3278</v>
      </c>
      <c r="D49" s="3030">
        <v>99.350899999999996</v>
      </c>
      <c r="E49" s="3029" t="s">
        <v>1377</v>
      </c>
      <c r="F49" s="3029"/>
      <c r="G49" s="3029"/>
      <c r="U49" s="3029" t="s">
        <v>4846</v>
      </c>
      <c r="V49" s="3030">
        <v>99.350899999999996</v>
      </c>
    </row>
    <row r="50" spans="1:22">
      <c r="A50" s="3028">
        <v>49</v>
      </c>
      <c r="B50" s="3029" t="s">
        <v>3230</v>
      </c>
      <c r="C50" s="3029" t="s">
        <v>3279</v>
      </c>
      <c r="D50" s="3030">
        <v>99.350899999999996</v>
      </c>
      <c r="E50" s="3029" t="s">
        <v>1377</v>
      </c>
      <c r="F50" s="3029"/>
      <c r="G50" s="3029"/>
      <c r="U50" s="3029" t="s">
        <v>4847</v>
      </c>
      <c r="V50" s="3030">
        <v>99.350899999999996</v>
      </c>
    </row>
    <row r="51" spans="1:22">
      <c r="A51" s="3028">
        <v>50</v>
      </c>
      <c r="B51" s="3029" t="s">
        <v>3230</v>
      </c>
      <c r="C51" s="3029" t="s">
        <v>3280</v>
      </c>
      <c r="D51" s="3030">
        <v>110.4902</v>
      </c>
      <c r="E51" s="3029" t="s">
        <v>1377</v>
      </c>
      <c r="F51" s="3029"/>
      <c r="G51" s="3029"/>
      <c r="U51" s="3029" t="s">
        <v>4848</v>
      </c>
      <c r="V51" s="3030">
        <v>110.4902</v>
      </c>
    </row>
    <row r="52" spans="1:22">
      <c r="A52" s="3028">
        <v>51</v>
      </c>
      <c r="B52" s="3029" t="s">
        <v>3230</v>
      </c>
      <c r="C52" s="3029" t="s">
        <v>3281</v>
      </c>
      <c r="D52" s="3030">
        <v>109.1354</v>
      </c>
      <c r="E52" s="3029" t="s">
        <v>1377</v>
      </c>
      <c r="F52" s="3029"/>
      <c r="G52" s="3029"/>
      <c r="U52" s="3029" t="s">
        <v>4849</v>
      </c>
      <c r="V52" s="3030">
        <v>109.1354</v>
      </c>
    </row>
    <row r="53" spans="1:22">
      <c r="A53" s="3028">
        <v>52</v>
      </c>
      <c r="B53" s="3029" t="s">
        <v>3230</v>
      </c>
      <c r="C53" s="3029" t="s">
        <v>3282</v>
      </c>
      <c r="D53" s="3030">
        <v>53.131999999999998</v>
      </c>
      <c r="E53" s="3029" t="s">
        <v>1377</v>
      </c>
      <c r="F53" s="3029"/>
      <c r="G53" s="3029"/>
      <c r="V53" s="3028">
        <f>SUM(V2:V52)</f>
        <v>3394.4036000000001</v>
      </c>
    </row>
    <row r="54" spans="1:22">
      <c r="A54" s="3028">
        <v>53</v>
      </c>
      <c r="B54" s="3029" t="s">
        <v>3230</v>
      </c>
      <c r="C54" s="3029" t="s">
        <v>3283</v>
      </c>
      <c r="D54" s="3030">
        <v>47.775300000000001</v>
      </c>
      <c r="E54" s="3029" t="s">
        <v>1377</v>
      </c>
      <c r="F54" s="3029"/>
      <c r="G54" s="3029"/>
    </row>
    <row r="55" spans="1:22">
      <c r="A55" s="3028">
        <v>54</v>
      </c>
      <c r="B55" s="3029" t="s">
        <v>3230</v>
      </c>
      <c r="C55" s="3029" t="s">
        <v>3284</v>
      </c>
      <c r="D55" s="3030">
        <v>47.775300000000001</v>
      </c>
      <c r="E55" s="3029" t="s">
        <v>1377</v>
      </c>
      <c r="F55" s="3029"/>
      <c r="G55" s="3029"/>
    </row>
    <row r="56" spans="1:22" ht="57">
      <c r="A56" s="3028">
        <v>55</v>
      </c>
      <c r="B56" s="3029" t="s">
        <v>3230</v>
      </c>
      <c r="C56" s="3029" t="s">
        <v>3285</v>
      </c>
      <c r="D56" s="3030">
        <v>47.775300000000001</v>
      </c>
      <c r="E56" s="3029" t="s">
        <v>1377</v>
      </c>
      <c r="F56" s="3029"/>
      <c r="G56" s="3029"/>
      <c r="H56" s="3045" t="s">
        <v>4850</v>
      </c>
      <c r="I56" s="3046">
        <f>V53+'自编B-2栋'!H42+'自编B-3栋'!V46</f>
        <v>10500.043799999999</v>
      </c>
    </row>
    <row r="57" spans="1:22" ht="28.5">
      <c r="A57" s="3028">
        <v>56</v>
      </c>
      <c r="B57" s="3029" t="s">
        <v>3230</v>
      </c>
      <c r="C57" s="3029" t="s">
        <v>3286</v>
      </c>
      <c r="D57" s="3030">
        <v>47.775300000000001</v>
      </c>
      <c r="E57" s="3029" t="s">
        <v>1377</v>
      </c>
      <c r="F57" s="3029"/>
      <c r="G57" s="3029"/>
      <c r="H57" s="3047" t="s">
        <v>4851</v>
      </c>
      <c r="I57" s="3028">
        <f>I42+'自编B-3栋'!I31</f>
        <v>13722.475700000003</v>
      </c>
    </row>
    <row r="58" spans="1:22" ht="28.5">
      <c r="A58" s="3028">
        <v>57</v>
      </c>
      <c r="B58" s="3029" t="s">
        <v>3230</v>
      </c>
      <c r="C58" s="3029" t="s">
        <v>3287</v>
      </c>
      <c r="D58" s="3030">
        <v>47.775300000000001</v>
      </c>
      <c r="E58" s="3029" t="s">
        <v>1377</v>
      </c>
      <c r="F58" s="3029"/>
      <c r="G58" s="3029"/>
      <c r="H58" s="3047" t="s">
        <v>4852</v>
      </c>
      <c r="I58" s="3048">
        <f>D559-I42-V53+'自编B-3栋'!D206-'自编B-3栋'!I31-'自编B-3栋'!V46</f>
        <v>19639.786000000113</v>
      </c>
    </row>
    <row r="59" spans="1:22">
      <c r="A59" s="3028">
        <v>58</v>
      </c>
      <c r="B59" s="3029" t="s">
        <v>3230</v>
      </c>
      <c r="C59" s="3029" t="s">
        <v>3288</v>
      </c>
      <c r="D59" s="3030">
        <v>47.775300000000001</v>
      </c>
      <c r="E59" s="3029" t="s">
        <v>1377</v>
      </c>
      <c r="F59" s="3029"/>
      <c r="G59" s="3029"/>
      <c r="H59" s="3043"/>
    </row>
    <row r="60" spans="1:22">
      <c r="A60" s="3028">
        <v>59</v>
      </c>
      <c r="B60" s="3029" t="s">
        <v>3230</v>
      </c>
      <c r="C60" s="3029" t="s">
        <v>3289</v>
      </c>
      <c r="D60" s="3030">
        <v>48.783299999999997</v>
      </c>
      <c r="E60" s="3029" t="s">
        <v>1377</v>
      </c>
      <c r="F60" s="3029"/>
      <c r="G60" s="3029"/>
    </row>
    <row r="61" spans="1:22">
      <c r="A61" s="3028">
        <v>60</v>
      </c>
      <c r="B61" s="3029" t="s">
        <v>3230</v>
      </c>
      <c r="C61" s="3029" t="s">
        <v>3290</v>
      </c>
      <c r="D61" s="3030">
        <v>47.456200000000003</v>
      </c>
      <c r="E61" s="3029" t="s">
        <v>1377</v>
      </c>
      <c r="F61" s="3029"/>
      <c r="G61" s="3029"/>
    </row>
    <row r="62" spans="1:22">
      <c r="A62" s="3028">
        <v>61</v>
      </c>
      <c r="B62" s="3029" t="s">
        <v>3230</v>
      </c>
      <c r="C62" s="3029" t="s">
        <v>3291</v>
      </c>
      <c r="D62" s="3030">
        <v>47.775300000000001</v>
      </c>
      <c r="E62" s="3029" t="s">
        <v>1377</v>
      </c>
      <c r="F62" s="3029"/>
      <c r="G62" s="3029"/>
    </row>
    <row r="63" spans="1:22">
      <c r="A63" s="3028">
        <v>62</v>
      </c>
      <c r="B63" s="3029" t="s">
        <v>3230</v>
      </c>
      <c r="C63" s="3029" t="s">
        <v>3292</v>
      </c>
      <c r="D63" s="3030">
        <v>47.775300000000001</v>
      </c>
      <c r="E63" s="3029" t="s">
        <v>1377</v>
      </c>
      <c r="F63" s="3029"/>
      <c r="G63" s="3029"/>
    </row>
    <row r="64" spans="1:22">
      <c r="A64" s="3028">
        <v>63</v>
      </c>
      <c r="B64" s="3029" t="s">
        <v>3230</v>
      </c>
      <c r="C64" s="3029" t="s">
        <v>3293</v>
      </c>
      <c r="D64" s="3030">
        <v>47.775300000000001</v>
      </c>
      <c r="E64" s="3029" t="s">
        <v>1377</v>
      </c>
      <c r="F64" s="3029"/>
      <c r="G64" s="3029"/>
    </row>
    <row r="65" spans="1:7">
      <c r="A65" s="3028">
        <v>64</v>
      </c>
      <c r="B65" s="3029" t="s">
        <v>3230</v>
      </c>
      <c r="C65" s="3029" t="s">
        <v>3294</v>
      </c>
      <c r="D65" s="3030">
        <v>47.775300000000001</v>
      </c>
      <c r="E65" s="3029" t="s">
        <v>1377</v>
      </c>
      <c r="F65" s="3029"/>
      <c r="G65" s="3029"/>
    </row>
    <row r="66" spans="1:7">
      <c r="A66" s="3028">
        <v>65</v>
      </c>
      <c r="B66" s="3029" t="s">
        <v>3230</v>
      </c>
      <c r="C66" s="3029" t="s">
        <v>3295</v>
      </c>
      <c r="D66" s="3030">
        <v>47.401699999999998</v>
      </c>
      <c r="E66" s="3029" t="s">
        <v>1377</v>
      </c>
      <c r="F66" s="3029"/>
      <c r="G66" s="3029"/>
    </row>
    <row r="67" spans="1:7">
      <c r="A67" s="3028">
        <v>66</v>
      </c>
      <c r="B67" s="3029" t="s">
        <v>3230</v>
      </c>
      <c r="C67" s="3029" t="s">
        <v>3296</v>
      </c>
      <c r="D67" s="3030">
        <v>47.401699999999998</v>
      </c>
      <c r="E67" s="3029" t="s">
        <v>1377</v>
      </c>
      <c r="F67" s="3029"/>
      <c r="G67" s="3029"/>
    </row>
    <row r="68" spans="1:7">
      <c r="A68" s="3028">
        <v>67</v>
      </c>
      <c r="B68" s="3029" t="s">
        <v>3230</v>
      </c>
      <c r="C68" s="3029" t="s">
        <v>3297</v>
      </c>
      <c r="D68" s="3030">
        <v>47.775300000000001</v>
      </c>
      <c r="E68" s="3029" t="s">
        <v>1377</v>
      </c>
      <c r="F68" s="3029"/>
      <c r="G68" s="3029"/>
    </row>
    <row r="69" spans="1:7">
      <c r="A69" s="3028">
        <v>68</v>
      </c>
      <c r="B69" s="3029" t="s">
        <v>3230</v>
      </c>
      <c r="C69" s="3029" t="s">
        <v>3298</v>
      </c>
      <c r="D69" s="3030">
        <v>47.495100000000001</v>
      </c>
      <c r="E69" s="3029" t="s">
        <v>1377</v>
      </c>
      <c r="F69" s="3029"/>
      <c r="G69" s="3029"/>
    </row>
    <row r="70" spans="1:7">
      <c r="A70" s="3028">
        <v>69</v>
      </c>
      <c r="B70" s="3029" t="s">
        <v>3230</v>
      </c>
      <c r="C70" s="3029" t="s">
        <v>3299</v>
      </c>
      <c r="D70" s="3030">
        <v>47.495100000000001</v>
      </c>
      <c r="E70" s="3029" t="s">
        <v>1377</v>
      </c>
      <c r="F70" s="3029"/>
      <c r="G70" s="3029"/>
    </row>
    <row r="71" spans="1:7">
      <c r="A71" s="3028">
        <v>70</v>
      </c>
      <c r="B71" s="3029" t="s">
        <v>3230</v>
      </c>
      <c r="C71" s="3029" t="s">
        <v>3300</v>
      </c>
      <c r="D71" s="3030">
        <v>47.495100000000001</v>
      </c>
      <c r="E71" s="3029" t="s">
        <v>1377</v>
      </c>
      <c r="F71" s="3029"/>
      <c r="G71" s="3029"/>
    </row>
    <row r="72" spans="1:7">
      <c r="A72" s="3028">
        <v>71</v>
      </c>
      <c r="B72" s="3029" t="s">
        <v>3230</v>
      </c>
      <c r="C72" s="3029" t="s">
        <v>3301</v>
      </c>
      <c r="D72" s="3030">
        <v>47.495100000000001</v>
      </c>
      <c r="E72" s="3029" t="s">
        <v>1377</v>
      </c>
      <c r="F72" s="3029"/>
      <c r="G72" s="3029"/>
    </row>
    <row r="73" spans="1:7">
      <c r="A73" s="3028">
        <v>72</v>
      </c>
      <c r="B73" s="3029" t="s">
        <v>3230</v>
      </c>
      <c r="C73" s="3029" t="s">
        <v>3302</v>
      </c>
      <c r="D73" s="3030">
        <v>47.775300000000001</v>
      </c>
      <c r="E73" s="3029" t="s">
        <v>1377</v>
      </c>
      <c r="F73" s="3029"/>
      <c r="G73" s="3029"/>
    </row>
    <row r="74" spans="1:7">
      <c r="A74" s="3028">
        <v>73</v>
      </c>
      <c r="B74" s="3029" t="s">
        <v>3230</v>
      </c>
      <c r="C74" s="3029" t="s">
        <v>3303</v>
      </c>
      <c r="D74" s="3030">
        <v>47.775300000000001</v>
      </c>
      <c r="E74" s="3029" t="s">
        <v>1377</v>
      </c>
      <c r="F74" s="3029"/>
      <c r="G74" s="3029"/>
    </row>
    <row r="75" spans="1:7">
      <c r="A75" s="3028">
        <v>74</v>
      </c>
      <c r="B75" s="3029" t="s">
        <v>3230</v>
      </c>
      <c r="C75" s="3029" t="s">
        <v>3304</v>
      </c>
      <c r="D75" s="3030">
        <v>47.495100000000001</v>
      </c>
      <c r="E75" s="3029" t="s">
        <v>1377</v>
      </c>
      <c r="F75" s="3029"/>
      <c r="G75" s="3029"/>
    </row>
    <row r="76" spans="1:7">
      <c r="A76" s="3028">
        <v>75</v>
      </c>
      <c r="B76" s="3029" t="s">
        <v>3230</v>
      </c>
      <c r="C76" s="3029" t="s">
        <v>3305</v>
      </c>
      <c r="D76" s="3030">
        <v>47.495100000000001</v>
      </c>
      <c r="E76" s="3029" t="s">
        <v>1377</v>
      </c>
      <c r="F76" s="3029"/>
      <c r="G76" s="3029"/>
    </row>
    <row r="77" spans="1:7">
      <c r="A77" s="3028">
        <v>76</v>
      </c>
      <c r="B77" s="3029" t="s">
        <v>3230</v>
      </c>
      <c r="C77" s="3029" t="s">
        <v>3306</v>
      </c>
      <c r="D77" s="3030">
        <v>47.775300000000001</v>
      </c>
      <c r="E77" s="3029" t="s">
        <v>1377</v>
      </c>
      <c r="F77" s="3029"/>
      <c r="G77" s="3029"/>
    </row>
    <row r="78" spans="1:7">
      <c r="A78" s="3028">
        <v>77</v>
      </c>
      <c r="B78" s="3029" t="s">
        <v>3230</v>
      </c>
      <c r="C78" s="3029" t="s">
        <v>3307</v>
      </c>
      <c r="D78" s="3030">
        <v>47.775300000000001</v>
      </c>
      <c r="E78" s="3029" t="s">
        <v>1377</v>
      </c>
      <c r="F78" s="3029"/>
      <c r="G78" s="3029"/>
    </row>
    <row r="79" spans="1:7">
      <c r="A79" s="3028">
        <v>78</v>
      </c>
      <c r="B79" s="3029" t="s">
        <v>3230</v>
      </c>
      <c r="C79" s="3029" t="s">
        <v>3308</v>
      </c>
      <c r="D79" s="3030">
        <v>47.495100000000001</v>
      </c>
      <c r="E79" s="3029" t="s">
        <v>1377</v>
      </c>
      <c r="F79" s="3029"/>
      <c r="G79" s="3029"/>
    </row>
    <row r="80" spans="1:7">
      <c r="A80" s="3028">
        <v>79</v>
      </c>
      <c r="B80" s="3029" t="s">
        <v>3230</v>
      </c>
      <c r="C80" s="3029" t="s">
        <v>3309</v>
      </c>
      <c r="D80" s="3030">
        <v>47.495100000000001</v>
      </c>
      <c r="E80" s="3029" t="s">
        <v>1377</v>
      </c>
      <c r="F80" s="3029"/>
      <c r="G80" s="3029"/>
    </row>
    <row r="81" spans="1:7">
      <c r="A81" s="3028">
        <v>80</v>
      </c>
      <c r="B81" s="3029" t="s">
        <v>3230</v>
      </c>
      <c r="C81" s="3029" t="s">
        <v>3310</v>
      </c>
      <c r="D81" s="3030">
        <v>47.775300000000001</v>
      </c>
      <c r="E81" s="3029" t="s">
        <v>1377</v>
      </c>
      <c r="F81" s="3029"/>
      <c r="G81" s="3029"/>
    </row>
    <row r="82" spans="1:7">
      <c r="A82" s="3028">
        <v>81</v>
      </c>
      <c r="B82" s="3029" t="s">
        <v>3230</v>
      </c>
      <c r="C82" s="3029" t="s">
        <v>3311</v>
      </c>
      <c r="D82" s="3030">
        <v>47.775300000000001</v>
      </c>
      <c r="E82" s="3029" t="s">
        <v>1377</v>
      </c>
      <c r="F82" s="3029"/>
      <c r="G82" s="3029"/>
    </row>
    <row r="83" spans="1:7">
      <c r="A83" s="3028">
        <v>82</v>
      </c>
      <c r="B83" s="3029" t="s">
        <v>3230</v>
      </c>
      <c r="C83" s="3029" t="s">
        <v>3312</v>
      </c>
      <c r="D83" s="3030">
        <v>47.775300000000001</v>
      </c>
      <c r="E83" s="3029" t="s">
        <v>1377</v>
      </c>
      <c r="F83" s="3029"/>
      <c r="G83" s="3029"/>
    </row>
    <row r="84" spans="1:7">
      <c r="A84" s="3028">
        <v>83</v>
      </c>
      <c r="B84" s="3029" t="s">
        <v>3230</v>
      </c>
      <c r="C84" s="3029" t="s">
        <v>3313</v>
      </c>
      <c r="D84" s="3030">
        <v>47.775300000000001</v>
      </c>
      <c r="E84" s="3029" t="s">
        <v>1377</v>
      </c>
      <c r="F84" s="3029"/>
      <c r="G84" s="3029"/>
    </row>
    <row r="85" spans="1:7">
      <c r="A85" s="3028">
        <v>84</v>
      </c>
      <c r="B85" s="3029" t="s">
        <v>3230</v>
      </c>
      <c r="C85" s="3029" t="s">
        <v>3314</v>
      </c>
      <c r="D85" s="3030">
        <v>47.495100000000001</v>
      </c>
      <c r="E85" s="3029" t="s">
        <v>1377</v>
      </c>
      <c r="F85" s="3029"/>
      <c r="G85" s="3029"/>
    </row>
    <row r="86" spans="1:7">
      <c r="A86" s="3028">
        <v>85</v>
      </c>
      <c r="B86" s="3029" t="s">
        <v>3230</v>
      </c>
      <c r="C86" s="3029" t="s">
        <v>3315</v>
      </c>
      <c r="D86" s="3030">
        <v>47.495100000000001</v>
      </c>
      <c r="E86" s="3029" t="s">
        <v>1377</v>
      </c>
      <c r="F86" s="3029"/>
      <c r="G86" s="3029"/>
    </row>
    <row r="87" spans="1:7">
      <c r="A87" s="3028">
        <v>86</v>
      </c>
      <c r="B87" s="3029" t="s">
        <v>3230</v>
      </c>
      <c r="C87" s="3029" t="s">
        <v>3316</v>
      </c>
      <c r="D87" s="3030">
        <v>53.131999999999998</v>
      </c>
      <c r="E87" s="3029" t="s">
        <v>1377</v>
      </c>
      <c r="F87" s="3029"/>
      <c r="G87" s="3029"/>
    </row>
    <row r="88" spans="1:7">
      <c r="A88" s="3028">
        <v>87</v>
      </c>
      <c r="B88" s="3029" t="s">
        <v>3230</v>
      </c>
      <c r="C88" s="3029" t="s">
        <v>3317</v>
      </c>
      <c r="D88" s="3030">
        <v>53.131999999999998</v>
      </c>
      <c r="E88" s="3029" t="s">
        <v>1377</v>
      </c>
      <c r="F88" s="3029"/>
      <c r="G88" s="3029"/>
    </row>
    <row r="89" spans="1:7">
      <c r="A89" s="3028">
        <v>88</v>
      </c>
      <c r="B89" s="3029" t="s">
        <v>3230</v>
      </c>
      <c r="C89" s="3029" t="s">
        <v>3318</v>
      </c>
      <c r="D89" s="3030">
        <v>53.131999999999998</v>
      </c>
      <c r="E89" s="3029" t="s">
        <v>1377</v>
      </c>
      <c r="F89" s="3029"/>
      <c r="G89" s="3029"/>
    </row>
    <row r="90" spans="1:7">
      <c r="A90" s="3028">
        <v>89</v>
      </c>
      <c r="B90" s="3029" t="s">
        <v>3230</v>
      </c>
      <c r="C90" s="3029" t="s">
        <v>3319</v>
      </c>
      <c r="D90" s="3030">
        <v>51.829000000000001</v>
      </c>
      <c r="E90" s="3029" t="s">
        <v>1377</v>
      </c>
      <c r="F90" s="3029"/>
      <c r="G90" s="3029"/>
    </row>
    <row r="91" spans="1:7">
      <c r="A91" s="3028">
        <v>90</v>
      </c>
      <c r="B91" s="3029" t="s">
        <v>3230</v>
      </c>
      <c r="C91" s="3029" t="s">
        <v>3320</v>
      </c>
      <c r="D91" s="3030">
        <v>51.785699999999999</v>
      </c>
      <c r="E91" s="3029" t="s">
        <v>1377</v>
      </c>
      <c r="F91" s="3029"/>
      <c r="G91" s="3029"/>
    </row>
    <row r="92" spans="1:7">
      <c r="A92" s="3028">
        <v>91</v>
      </c>
      <c r="B92" s="3029" t="s">
        <v>3230</v>
      </c>
      <c r="C92" s="3029" t="s">
        <v>3321</v>
      </c>
      <c r="D92" s="3030">
        <v>46.564799999999998</v>
      </c>
      <c r="E92" s="3029" t="s">
        <v>1377</v>
      </c>
      <c r="F92" s="3029"/>
      <c r="G92" s="3029"/>
    </row>
    <row r="93" spans="1:7">
      <c r="A93" s="3028">
        <v>92</v>
      </c>
      <c r="B93" s="3029" t="s">
        <v>3230</v>
      </c>
      <c r="C93" s="3029" t="s">
        <v>3322</v>
      </c>
      <c r="D93" s="3030">
        <v>46.564799999999998</v>
      </c>
      <c r="E93" s="3029" t="s">
        <v>1377</v>
      </c>
      <c r="F93" s="3029"/>
      <c r="G93" s="3029"/>
    </row>
    <row r="94" spans="1:7">
      <c r="A94" s="3028">
        <v>93</v>
      </c>
      <c r="B94" s="3029" t="s">
        <v>3230</v>
      </c>
      <c r="C94" s="3029" t="s">
        <v>3323</v>
      </c>
      <c r="D94" s="3030">
        <v>46.564799999999998</v>
      </c>
      <c r="E94" s="3029" t="s">
        <v>1377</v>
      </c>
      <c r="F94" s="3029"/>
      <c r="G94" s="3029"/>
    </row>
    <row r="95" spans="1:7">
      <c r="A95" s="3028">
        <v>94</v>
      </c>
      <c r="B95" s="3029" t="s">
        <v>3230</v>
      </c>
      <c r="C95" s="3029" t="s">
        <v>3324</v>
      </c>
      <c r="D95" s="3030">
        <v>46.564799999999998</v>
      </c>
      <c r="E95" s="3029" t="s">
        <v>1377</v>
      </c>
      <c r="F95" s="3029"/>
      <c r="G95" s="3029"/>
    </row>
    <row r="96" spans="1:7">
      <c r="A96" s="3028">
        <v>95</v>
      </c>
      <c r="B96" s="3029" t="s">
        <v>3230</v>
      </c>
      <c r="C96" s="3029" t="s">
        <v>3325</v>
      </c>
      <c r="D96" s="3030">
        <v>46.564799999999998</v>
      </c>
      <c r="E96" s="3029" t="s">
        <v>1377</v>
      </c>
      <c r="F96" s="3029"/>
      <c r="G96" s="3029"/>
    </row>
    <row r="97" spans="1:7">
      <c r="A97" s="3028">
        <v>96</v>
      </c>
      <c r="B97" s="3029" t="s">
        <v>3230</v>
      </c>
      <c r="C97" s="3029" t="s">
        <v>3326</v>
      </c>
      <c r="D97" s="3030">
        <v>46.564799999999998</v>
      </c>
      <c r="E97" s="3029" t="s">
        <v>1377</v>
      </c>
      <c r="F97" s="3029"/>
      <c r="G97" s="3029"/>
    </row>
    <row r="98" spans="1:7" s="3031" customFormat="1">
      <c r="A98" s="3031">
        <v>97</v>
      </c>
      <c r="B98" s="3032" t="s">
        <v>3230</v>
      </c>
      <c r="C98" s="3032" t="s">
        <v>3327</v>
      </c>
      <c r="D98" s="3033">
        <v>46.564799999999998</v>
      </c>
      <c r="E98" s="3032" t="s">
        <v>1377</v>
      </c>
      <c r="F98" s="3032"/>
      <c r="G98" s="3032"/>
    </row>
    <row r="99" spans="1:7" s="3031" customFormat="1">
      <c r="A99" s="3031">
        <v>98</v>
      </c>
      <c r="B99" s="3032" t="s">
        <v>3230</v>
      </c>
      <c r="C99" s="3032" t="s">
        <v>3328</v>
      </c>
      <c r="D99" s="3033">
        <v>47.547199999999997</v>
      </c>
      <c r="E99" s="3032" t="s">
        <v>1377</v>
      </c>
      <c r="F99" s="3032"/>
      <c r="G99" s="3032"/>
    </row>
    <row r="100" spans="1:7">
      <c r="A100" s="3028">
        <v>99</v>
      </c>
      <c r="B100" s="3029" t="s">
        <v>3230</v>
      </c>
      <c r="C100" s="3029" t="s">
        <v>3329</v>
      </c>
      <c r="D100" s="3030">
        <v>46.253799999999998</v>
      </c>
      <c r="E100" s="3029" t="s">
        <v>1377</v>
      </c>
      <c r="F100" s="3029"/>
      <c r="G100" s="3029"/>
    </row>
    <row r="101" spans="1:7">
      <c r="A101" s="3028">
        <v>100</v>
      </c>
      <c r="B101" s="3029" t="s">
        <v>3230</v>
      </c>
      <c r="C101" s="3029" t="s">
        <v>3330</v>
      </c>
      <c r="D101" s="3030">
        <v>46.564799999999998</v>
      </c>
      <c r="E101" s="3029" t="s">
        <v>1377</v>
      </c>
      <c r="F101" s="3029"/>
      <c r="G101" s="3029"/>
    </row>
    <row r="102" spans="1:7">
      <c r="A102" s="3028">
        <v>101</v>
      </c>
      <c r="B102" s="3029" t="s">
        <v>3230</v>
      </c>
      <c r="C102" s="3029" t="s">
        <v>3331</v>
      </c>
      <c r="D102" s="3030">
        <v>46.564799999999998</v>
      </c>
      <c r="E102" s="3029" t="s">
        <v>1377</v>
      </c>
      <c r="F102" s="3029"/>
      <c r="G102" s="3029"/>
    </row>
    <row r="103" spans="1:7">
      <c r="A103" s="3028">
        <v>102</v>
      </c>
      <c r="B103" s="3029" t="s">
        <v>3230</v>
      </c>
      <c r="C103" s="3029" t="s">
        <v>3332</v>
      </c>
      <c r="D103" s="3030">
        <v>46.564799999999998</v>
      </c>
      <c r="E103" s="3029" t="s">
        <v>1377</v>
      </c>
      <c r="F103" s="3029"/>
      <c r="G103" s="3029"/>
    </row>
    <row r="104" spans="1:7">
      <c r="A104" s="3028">
        <v>103</v>
      </c>
      <c r="B104" s="3029" t="s">
        <v>3230</v>
      </c>
      <c r="C104" s="3029" t="s">
        <v>3333</v>
      </c>
      <c r="D104" s="3030">
        <v>46.564799999999998</v>
      </c>
      <c r="E104" s="3029" t="s">
        <v>1377</v>
      </c>
      <c r="F104" s="3029"/>
      <c r="G104" s="3029"/>
    </row>
    <row r="105" spans="1:7">
      <c r="A105" s="3028">
        <v>104</v>
      </c>
      <c r="B105" s="3029" t="s">
        <v>3230</v>
      </c>
      <c r="C105" s="3029" t="s">
        <v>3334</v>
      </c>
      <c r="D105" s="3030">
        <v>46.200699999999998</v>
      </c>
      <c r="E105" s="3029" t="s">
        <v>1377</v>
      </c>
      <c r="F105" s="3029"/>
      <c r="G105" s="3029"/>
    </row>
    <row r="106" spans="1:7">
      <c r="A106" s="3028">
        <v>105</v>
      </c>
      <c r="B106" s="3029" t="s">
        <v>3230</v>
      </c>
      <c r="C106" s="3029" t="s">
        <v>3335</v>
      </c>
      <c r="D106" s="3030">
        <v>46.200699999999998</v>
      </c>
      <c r="E106" s="3029" t="s">
        <v>1377</v>
      </c>
      <c r="F106" s="3029"/>
      <c r="G106" s="3029"/>
    </row>
    <row r="107" spans="1:7">
      <c r="A107" s="3028">
        <v>106</v>
      </c>
      <c r="B107" s="3029" t="s">
        <v>3230</v>
      </c>
      <c r="C107" s="3029" t="s">
        <v>3336</v>
      </c>
      <c r="D107" s="3030">
        <v>46.564799999999998</v>
      </c>
      <c r="E107" s="3029" t="s">
        <v>1377</v>
      </c>
      <c r="F107" s="3029"/>
      <c r="G107" s="3029"/>
    </row>
    <row r="108" spans="1:7">
      <c r="A108" s="3028">
        <v>107</v>
      </c>
      <c r="B108" s="3029" t="s">
        <v>3230</v>
      </c>
      <c r="C108" s="3029" t="s">
        <v>3337</v>
      </c>
      <c r="D108" s="3030">
        <v>46.291699999999999</v>
      </c>
      <c r="E108" s="3029" t="s">
        <v>1377</v>
      </c>
      <c r="F108" s="3029"/>
      <c r="G108" s="3029"/>
    </row>
    <row r="109" spans="1:7">
      <c r="A109" s="3028">
        <v>108</v>
      </c>
      <c r="B109" s="3029" t="s">
        <v>3230</v>
      </c>
      <c r="C109" s="3029" t="s">
        <v>3338</v>
      </c>
      <c r="D109" s="3030">
        <v>46.291699999999999</v>
      </c>
      <c r="E109" s="3029" t="s">
        <v>1377</v>
      </c>
      <c r="F109" s="3029"/>
      <c r="G109" s="3029"/>
    </row>
    <row r="110" spans="1:7">
      <c r="A110" s="3028">
        <v>109</v>
      </c>
      <c r="B110" s="3029" t="s">
        <v>3230</v>
      </c>
      <c r="C110" s="3029" t="s">
        <v>3339</v>
      </c>
      <c r="D110" s="3030">
        <v>46.291699999999999</v>
      </c>
      <c r="E110" s="3029" t="s">
        <v>1377</v>
      </c>
      <c r="F110" s="3029"/>
      <c r="G110" s="3029"/>
    </row>
    <row r="111" spans="1:7">
      <c r="A111" s="3028">
        <v>110</v>
      </c>
      <c r="B111" s="3029" t="s">
        <v>3230</v>
      </c>
      <c r="C111" s="3029" t="s">
        <v>3340</v>
      </c>
      <c r="D111" s="3030">
        <v>46.291699999999999</v>
      </c>
      <c r="E111" s="3029" t="s">
        <v>1377</v>
      </c>
      <c r="F111" s="3029"/>
      <c r="G111" s="3029"/>
    </row>
    <row r="112" spans="1:7">
      <c r="A112" s="3028">
        <v>111</v>
      </c>
      <c r="B112" s="3029" t="s">
        <v>3230</v>
      </c>
      <c r="C112" s="3029" t="s">
        <v>3341</v>
      </c>
      <c r="D112" s="3030">
        <v>46.564799999999998</v>
      </c>
      <c r="E112" s="3029" t="s">
        <v>1377</v>
      </c>
      <c r="F112" s="3029"/>
      <c r="G112" s="3029"/>
    </row>
    <row r="113" spans="1:7">
      <c r="A113" s="3028">
        <v>112</v>
      </c>
      <c r="B113" s="3029" t="s">
        <v>3230</v>
      </c>
      <c r="C113" s="3029" t="s">
        <v>3342</v>
      </c>
      <c r="D113" s="3030">
        <v>46.564799999999998</v>
      </c>
      <c r="E113" s="3029" t="s">
        <v>1377</v>
      </c>
      <c r="F113" s="3029"/>
      <c r="G113" s="3029"/>
    </row>
    <row r="114" spans="1:7">
      <c r="A114" s="3028">
        <v>113</v>
      </c>
      <c r="B114" s="3029" t="s">
        <v>3230</v>
      </c>
      <c r="C114" s="3029" t="s">
        <v>3343</v>
      </c>
      <c r="D114" s="3030">
        <v>46.291699999999999</v>
      </c>
      <c r="E114" s="3029" t="s">
        <v>1377</v>
      </c>
      <c r="F114" s="3029"/>
      <c r="G114" s="3029"/>
    </row>
    <row r="115" spans="1:7">
      <c r="A115" s="3028">
        <v>114</v>
      </c>
      <c r="B115" s="3029" t="s">
        <v>3230</v>
      </c>
      <c r="C115" s="3029" t="s">
        <v>3344</v>
      </c>
      <c r="D115" s="3030">
        <v>46.291699999999999</v>
      </c>
      <c r="E115" s="3029" t="s">
        <v>1377</v>
      </c>
      <c r="F115" s="3029"/>
      <c r="G115" s="3029"/>
    </row>
    <row r="116" spans="1:7">
      <c r="A116" s="3028">
        <v>115</v>
      </c>
      <c r="B116" s="3029" t="s">
        <v>3230</v>
      </c>
      <c r="C116" s="3029" t="s">
        <v>3345</v>
      </c>
      <c r="D116" s="3030">
        <v>46.564799999999998</v>
      </c>
      <c r="E116" s="3029" t="s">
        <v>1377</v>
      </c>
      <c r="F116" s="3029"/>
      <c r="G116" s="3029"/>
    </row>
    <row r="117" spans="1:7">
      <c r="A117" s="3028">
        <v>116</v>
      </c>
      <c r="B117" s="3029" t="s">
        <v>3230</v>
      </c>
      <c r="C117" s="3029" t="s">
        <v>3346</v>
      </c>
      <c r="D117" s="3030">
        <v>46.564799999999998</v>
      </c>
      <c r="E117" s="3029" t="s">
        <v>1377</v>
      </c>
      <c r="F117" s="3029"/>
      <c r="G117" s="3029"/>
    </row>
    <row r="118" spans="1:7">
      <c r="A118" s="3028">
        <v>117</v>
      </c>
      <c r="B118" s="3029" t="s">
        <v>3230</v>
      </c>
      <c r="C118" s="3029" t="s">
        <v>3347</v>
      </c>
      <c r="D118" s="3030">
        <v>46.291699999999999</v>
      </c>
      <c r="E118" s="3029" t="s">
        <v>1377</v>
      </c>
      <c r="F118" s="3029"/>
      <c r="G118" s="3029"/>
    </row>
    <row r="119" spans="1:7">
      <c r="A119" s="3028">
        <v>118</v>
      </c>
      <c r="B119" s="3029" t="s">
        <v>3230</v>
      </c>
      <c r="C119" s="3029" t="s">
        <v>3348</v>
      </c>
      <c r="D119" s="3030">
        <v>46.291699999999999</v>
      </c>
      <c r="E119" s="3029" t="s">
        <v>1377</v>
      </c>
      <c r="F119" s="3029"/>
      <c r="G119" s="3029"/>
    </row>
    <row r="120" spans="1:7">
      <c r="A120" s="3028">
        <v>119</v>
      </c>
      <c r="B120" s="3029" t="s">
        <v>3230</v>
      </c>
      <c r="C120" s="3029" t="s">
        <v>3349</v>
      </c>
      <c r="D120" s="3030">
        <v>46.564799999999998</v>
      </c>
      <c r="E120" s="3029" t="s">
        <v>1377</v>
      </c>
      <c r="F120" s="3029"/>
      <c r="G120" s="3029"/>
    </row>
    <row r="121" spans="1:7">
      <c r="A121" s="3028">
        <v>120</v>
      </c>
      <c r="B121" s="3029" t="s">
        <v>3230</v>
      </c>
      <c r="C121" s="3029" t="s">
        <v>3350</v>
      </c>
      <c r="D121" s="3030">
        <v>46.564799999999998</v>
      </c>
      <c r="E121" s="3029" t="s">
        <v>1377</v>
      </c>
      <c r="F121" s="3029"/>
      <c r="G121" s="3029"/>
    </row>
    <row r="122" spans="1:7">
      <c r="A122" s="3028">
        <v>121</v>
      </c>
      <c r="B122" s="3029" t="s">
        <v>3230</v>
      </c>
      <c r="C122" s="3029" t="s">
        <v>3351</v>
      </c>
      <c r="D122" s="3030">
        <v>46.564799999999998</v>
      </c>
      <c r="E122" s="3029" t="s">
        <v>1377</v>
      </c>
      <c r="F122" s="3029"/>
      <c r="G122" s="3029"/>
    </row>
    <row r="123" spans="1:7">
      <c r="A123" s="3028">
        <v>122</v>
      </c>
      <c r="B123" s="3029" t="s">
        <v>3230</v>
      </c>
      <c r="C123" s="3029" t="s">
        <v>3352</v>
      </c>
      <c r="D123" s="3030">
        <v>46.564799999999998</v>
      </c>
      <c r="E123" s="3029" t="s">
        <v>1377</v>
      </c>
      <c r="F123" s="3029"/>
      <c r="G123" s="3029"/>
    </row>
    <row r="124" spans="1:7">
      <c r="A124" s="3028">
        <v>123</v>
      </c>
      <c r="B124" s="3029" t="s">
        <v>3230</v>
      </c>
      <c r="C124" s="3029" t="s">
        <v>3353</v>
      </c>
      <c r="D124" s="3030">
        <v>46.291699999999999</v>
      </c>
      <c r="E124" s="3029" t="s">
        <v>1377</v>
      </c>
      <c r="F124" s="3029"/>
      <c r="G124" s="3029"/>
    </row>
    <row r="125" spans="1:7">
      <c r="A125" s="3028">
        <v>124</v>
      </c>
      <c r="B125" s="3029" t="s">
        <v>3230</v>
      </c>
      <c r="C125" s="3029" t="s">
        <v>3354</v>
      </c>
      <c r="D125" s="3030">
        <v>46.291699999999999</v>
      </c>
      <c r="E125" s="3029" t="s">
        <v>1377</v>
      </c>
      <c r="F125" s="3029"/>
      <c r="G125" s="3029"/>
    </row>
    <row r="126" spans="1:7">
      <c r="A126" s="3028">
        <v>125</v>
      </c>
      <c r="B126" s="3029" t="s">
        <v>3230</v>
      </c>
      <c r="C126" s="3029" t="s">
        <v>3355</v>
      </c>
      <c r="D126" s="3030">
        <v>51.785699999999999</v>
      </c>
      <c r="E126" s="3029" t="s">
        <v>1377</v>
      </c>
      <c r="F126" s="3029"/>
      <c r="G126" s="3029"/>
    </row>
    <row r="127" spans="1:7">
      <c r="A127" s="3028">
        <v>126</v>
      </c>
      <c r="B127" s="3029" t="s">
        <v>3230</v>
      </c>
      <c r="C127" s="3029" t="s">
        <v>3356</v>
      </c>
      <c r="D127" s="3030">
        <v>51.785699999999999</v>
      </c>
      <c r="E127" s="3029" t="s">
        <v>1377</v>
      </c>
      <c r="F127" s="3029"/>
      <c r="G127" s="3029"/>
    </row>
    <row r="128" spans="1:7">
      <c r="A128" s="3028">
        <v>127</v>
      </c>
      <c r="B128" s="3029" t="s">
        <v>3230</v>
      </c>
      <c r="C128" s="3029" t="s">
        <v>3357</v>
      </c>
      <c r="D128" s="3030">
        <v>51.785699999999999</v>
      </c>
      <c r="E128" s="3029" t="s">
        <v>1377</v>
      </c>
      <c r="F128" s="3029"/>
      <c r="G128" s="3029"/>
    </row>
    <row r="129" spans="1:7">
      <c r="A129" s="3028">
        <v>128</v>
      </c>
      <c r="B129" s="3029" t="s">
        <v>3230</v>
      </c>
      <c r="C129" s="3029" t="s">
        <v>3358</v>
      </c>
      <c r="D129" s="3030">
        <v>50.515799999999999</v>
      </c>
      <c r="E129" s="3029" t="s">
        <v>1377</v>
      </c>
      <c r="F129" s="3029"/>
      <c r="G129" s="3029"/>
    </row>
    <row r="130" spans="1:7">
      <c r="A130" s="3028">
        <v>129</v>
      </c>
      <c r="B130" s="3029" t="s">
        <v>3230</v>
      </c>
      <c r="C130" s="3029" t="s">
        <v>3359</v>
      </c>
      <c r="D130" s="3030">
        <v>51.785699999999999</v>
      </c>
      <c r="E130" s="3029" t="s">
        <v>1377</v>
      </c>
      <c r="F130" s="3029"/>
      <c r="G130" s="3029"/>
    </row>
    <row r="131" spans="1:7">
      <c r="A131" s="3028">
        <v>130</v>
      </c>
      <c r="B131" s="3029" t="s">
        <v>3230</v>
      </c>
      <c r="C131" s="3029" t="s">
        <v>3360</v>
      </c>
      <c r="D131" s="3030">
        <v>46.564799999999998</v>
      </c>
      <c r="E131" s="3029" t="s">
        <v>1377</v>
      </c>
      <c r="F131" s="3029"/>
      <c r="G131" s="3029"/>
    </row>
    <row r="132" spans="1:7">
      <c r="A132" s="3028">
        <v>131</v>
      </c>
      <c r="B132" s="3029" t="s">
        <v>3230</v>
      </c>
      <c r="C132" s="3029" t="s">
        <v>3361</v>
      </c>
      <c r="D132" s="3030">
        <v>46.564799999999998</v>
      </c>
      <c r="E132" s="3029" t="s">
        <v>1377</v>
      </c>
      <c r="F132" s="3029"/>
      <c r="G132" s="3029"/>
    </row>
    <row r="133" spans="1:7">
      <c r="A133" s="3028">
        <v>132</v>
      </c>
      <c r="B133" s="3029" t="s">
        <v>3230</v>
      </c>
      <c r="C133" s="3029" t="s">
        <v>3362</v>
      </c>
      <c r="D133" s="3030">
        <v>46.564799999999998</v>
      </c>
      <c r="E133" s="3029" t="s">
        <v>1377</v>
      </c>
      <c r="F133" s="3029"/>
      <c r="G133" s="3029"/>
    </row>
    <row r="134" spans="1:7">
      <c r="A134" s="3028">
        <v>133</v>
      </c>
      <c r="B134" s="3029" t="s">
        <v>3230</v>
      </c>
      <c r="C134" s="3029" t="s">
        <v>3363</v>
      </c>
      <c r="D134" s="3030">
        <v>46.564799999999998</v>
      </c>
      <c r="E134" s="3029" t="s">
        <v>1377</v>
      </c>
      <c r="F134" s="3029"/>
      <c r="G134" s="3029"/>
    </row>
    <row r="135" spans="1:7">
      <c r="A135" s="3028">
        <v>134</v>
      </c>
      <c r="B135" s="3029" t="s">
        <v>3230</v>
      </c>
      <c r="C135" s="3029" t="s">
        <v>3364</v>
      </c>
      <c r="D135" s="3030">
        <v>46.564799999999998</v>
      </c>
      <c r="E135" s="3029" t="s">
        <v>1377</v>
      </c>
      <c r="F135" s="3029"/>
      <c r="G135" s="3029"/>
    </row>
    <row r="136" spans="1:7">
      <c r="A136" s="3028">
        <v>135</v>
      </c>
      <c r="B136" s="3029" t="s">
        <v>3230</v>
      </c>
      <c r="C136" s="3029" t="s">
        <v>3365</v>
      </c>
      <c r="D136" s="3030">
        <v>46.564799999999998</v>
      </c>
      <c r="E136" s="3029" t="s">
        <v>1377</v>
      </c>
      <c r="F136" s="3029"/>
      <c r="G136" s="3029"/>
    </row>
    <row r="137" spans="1:7">
      <c r="A137" s="3028">
        <v>136</v>
      </c>
      <c r="B137" s="3029" t="s">
        <v>3230</v>
      </c>
      <c r="C137" s="3029" t="s">
        <v>3366</v>
      </c>
      <c r="D137" s="3030">
        <v>46.564799999999998</v>
      </c>
      <c r="E137" s="3029" t="s">
        <v>1377</v>
      </c>
      <c r="F137" s="3029"/>
      <c r="G137" s="3029"/>
    </row>
    <row r="138" spans="1:7">
      <c r="A138" s="3028">
        <v>137</v>
      </c>
      <c r="B138" s="3029" t="s">
        <v>3230</v>
      </c>
      <c r="C138" s="3029" t="s">
        <v>3367</v>
      </c>
      <c r="D138" s="3030">
        <v>47.547199999999997</v>
      </c>
      <c r="E138" s="3029" t="s">
        <v>1377</v>
      </c>
      <c r="F138" s="3029"/>
      <c r="G138" s="3029"/>
    </row>
    <row r="139" spans="1:7">
      <c r="A139" s="3028">
        <v>138</v>
      </c>
      <c r="B139" s="3029" t="s">
        <v>3230</v>
      </c>
      <c r="C139" s="3029" t="s">
        <v>3368</v>
      </c>
      <c r="D139" s="3030">
        <v>46.253799999999998</v>
      </c>
      <c r="E139" s="3029" t="s">
        <v>1377</v>
      </c>
      <c r="F139" s="3029"/>
      <c r="G139" s="3029"/>
    </row>
    <row r="140" spans="1:7">
      <c r="A140" s="3028">
        <v>139</v>
      </c>
      <c r="B140" s="3029" t="s">
        <v>3230</v>
      </c>
      <c r="C140" s="3029" t="s">
        <v>3369</v>
      </c>
      <c r="D140" s="3030">
        <v>46.564799999999998</v>
      </c>
      <c r="E140" s="3029" t="s">
        <v>1377</v>
      </c>
      <c r="F140" s="3029"/>
      <c r="G140" s="3029"/>
    </row>
    <row r="141" spans="1:7">
      <c r="A141" s="3028">
        <v>140</v>
      </c>
      <c r="B141" s="3029" t="s">
        <v>3230</v>
      </c>
      <c r="C141" s="3029" t="s">
        <v>3370</v>
      </c>
      <c r="D141" s="3030">
        <v>46.564799999999998</v>
      </c>
      <c r="E141" s="3029" t="s">
        <v>1377</v>
      </c>
      <c r="F141" s="3029"/>
      <c r="G141" s="3029"/>
    </row>
    <row r="142" spans="1:7">
      <c r="A142" s="3028">
        <v>141</v>
      </c>
      <c r="B142" s="3029" t="s">
        <v>3230</v>
      </c>
      <c r="C142" s="3029" t="s">
        <v>3371</v>
      </c>
      <c r="D142" s="3030">
        <v>46.564799999999998</v>
      </c>
      <c r="E142" s="3029" t="s">
        <v>1377</v>
      </c>
      <c r="F142" s="3029"/>
      <c r="G142" s="3029"/>
    </row>
    <row r="143" spans="1:7">
      <c r="A143" s="3028">
        <v>142</v>
      </c>
      <c r="B143" s="3029" t="s">
        <v>3230</v>
      </c>
      <c r="C143" s="3029" t="s">
        <v>3372</v>
      </c>
      <c r="D143" s="3030">
        <v>46.564799999999998</v>
      </c>
      <c r="E143" s="3029" t="s">
        <v>1377</v>
      </c>
      <c r="F143" s="3029"/>
      <c r="G143" s="3029"/>
    </row>
    <row r="144" spans="1:7">
      <c r="A144" s="3028">
        <v>143</v>
      </c>
      <c r="B144" s="3029" t="s">
        <v>3230</v>
      </c>
      <c r="C144" s="3029" t="s">
        <v>3373</v>
      </c>
      <c r="D144" s="3030">
        <v>46.200699999999998</v>
      </c>
      <c r="E144" s="3029" t="s">
        <v>1377</v>
      </c>
      <c r="F144" s="3029"/>
      <c r="G144" s="3029"/>
    </row>
    <row r="145" spans="1:7">
      <c r="A145" s="3028">
        <v>144</v>
      </c>
      <c r="B145" s="3029" t="s">
        <v>3230</v>
      </c>
      <c r="C145" s="3029" t="s">
        <v>3374</v>
      </c>
      <c r="D145" s="3030">
        <v>46.200699999999998</v>
      </c>
      <c r="E145" s="3029" t="s">
        <v>1377</v>
      </c>
      <c r="F145" s="3029"/>
      <c r="G145" s="3029"/>
    </row>
    <row r="146" spans="1:7">
      <c r="A146" s="3028">
        <v>145</v>
      </c>
      <c r="B146" s="3029" t="s">
        <v>3230</v>
      </c>
      <c r="C146" s="3029" t="s">
        <v>3375</v>
      </c>
      <c r="D146" s="3030">
        <v>46.564799999999998</v>
      </c>
      <c r="E146" s="3029" t="s">
        <v>1377</v>
      </c>
      <c r="F146" s="3029"/>
      <c r="G146" s="3029"/>
    </row>
    <row r="147" spans="1:7">
      <c r="A147" s="3028">
        <v>146</v>
      </c>
      <c r="B147" s="3029" t="s">
        <v>3230</v>
      </c>
      <c r="C147" s="3029" t="s">
        <v>3376</v>
      </c>
      <c r="D147" s="3030">
        <v>46.291699999999999</v>
      </c>
      <c r="E147" s="3029" t="s">
        <v>1377</v>
      </c>
      <c r="F147" s="3029"/>
      <c r="G147" s="3029"/>
    </row>
    <row r="148" spans="1:7">
      <c r="A148" s="3028">
        <v>147</v>
      </c>
      <c r="B148" s="3029" t="s">
        <v>3230</v>
      </c>
      <c r="C148" s="3029" t="s">
        <v>3377</v>
      </c>
      <c r="D148" s="3030">
        <v>46.291699999999999</v>
      </c>
      <c r="E148" s="3029" t="s">
        <v>1377</v>
      </c>
      <c r="F148" s="3029"/>
      <c r="G148" s="3029"/>
    </row>
    <row r="149" spans="1:7">
      <c r="A149" s="3028">
        <v>148</v>
      </c>
      <c r="B149" s="3029" t="s">
        <v>3230</v>
      </c>
      <c r="C149" s="3029" t="s">
        <v>3378</v>
      </c>
      <c r="D149" s="3030">
        <v>46.291699999999999</v>
      </c>
      <c r="E149" s="3029" t="s">
        <v>1377</v>
      </c>
      <c r="F149" s="3029"/>
      <c r="G149" s="3029"/>
    </row>
    <row r="150" spans="1:7">
      <c r="A150" s="3028">
        <v>149</v>
      </c>
      <c r="B150" s="3029" t="s">
        <v>3230</v>
      </c>
      <c r="C150" s="3029" t="s">
        <v>3379</v>
      </c>
      <c r="D150" s="3030">
        <v>46.291699999999999</v>
      </c>
      <c r="E150" s="3029" t="s">
        <v>1377</v>
      </c>
      <c r="F150" s="3029"/>
      <c r="G150" s="3029"/>
    </row>
    <row r="151" spans="1:7">
      <c r="A151" s="3028">
        <v>150</v>
      </c>
      <c r="B151" s="3029" t="s">
        <v>3230</v>
      </c>
      <c r="C151" s="3029" t="s">
        <v>3380</v>
      </c>
      <c r="D151" s="3030">
        <v>46.564799999999998</v>
      </c>
      <c r="E151" s="3029" t="s">
        <v>1377</v>
      </c>
      <c r="F151" s="3029"/>
      <c r="G151" s="3029"/>
    </row>
    <row r="152" spans="1:7">
      <c r="A152" s="3028">
        <v>151</v>
      </c>
      <c r="B152" s="3029" t="s">
        <v>3230</v>
      </c>
      <c r="C152" s="3029" t="s">
        <v>3381</v>
      </c>
      <c r="D152" s="3030">
        <v>46.564799999999998</v>
      </c>
      <c r="E152" s="3029" t="s">
        <v>1377</v>
      </c>
      <c r="F152" s="3029"/>
      <c r="G152" s="3029"/>
    </row>
    <row r="153" spans="1:7">
      <c r="A153" s="3028">
        <v>152</v>
      </c>
      <c r="B153" s="3029" t="s">
        <v>3230</v>
      </c>
      <c r="C153" s="3029" t="s">
        <v>3382</v>
      </c>
      <c r="D153" s="3030">
        <v>46.291699999999999</v>
      </c>
      <c r="E153" s="3029" t="s">
        <v>1377</v>
      </c>
      <c r="F153" s="3029"/>
      <c r="G153" s="3029"/>
    </row>
    <row r="154" spans="1:7">
      <c r="A154" s="3028">
        <v>153</v>
      </c>
      <c r="B154" s="3029" t="s">
        <v>3230</v>
      </c>
      <c r="C154" s="3029" t="s">
        <v>3383</v>
      </c>
      <c r="D154" s="3030">
        <v>46.291699999999999</v>
      </c>
      <c r="E154" s="3029" t="s">
        <v>1377</v>
      </c>
      <c r="F154" s="3029"/>
      <c r="G154" s="3029"/>
    </row>
    <row r="155" spans="1:7">
      <c r="A155" s="3028">
        <v>154</v>
      </c>
      <c r="B155" s="3029" t="s">
        <v>3230</v>
      </c>
      <c r="C155" s="3029" t="s">
        <v>3384</v>
      </c>
      <c r="D155" s="3030">
        <v>46.564799999999998</v>
      </c>
      <c r="E155" s="3029" t="s">
        <v>1377</v>
      </c>
      <c r="F155" s="3029"/>
      <c r="G155" s="3029"/>
    </row>
    <row r="156" spans="1:7">
      <c r="A156" s="3028">
        <v>155</v>
      </c>
      <c r="B156" s="3029" t="s">
        <v>3230</v>
      </c>
      <c r="C156" s="3029" t="s">
        <v>3385</v>
      </c>
      <c r="D156" s="3030">
        <v>46.564799999999998</v>
      </c>
      <c r="E156" s="3029" t="s">
        <v>1377</v>
      </c>
      <c r="F156" s="3029"/>
      <c r="G156" s="3029"/>
    </row>
    <row r="157" spans="1:7">
      <c r="A157" s="3028">
        <v>156</v>
      </c>
      <c r="B157" s="3029" t="s">
        <v>3230</v>
      </c>
      <c r="C157" s="3029" t="s">
        <v>3386</v>
      </c>
      <c r="D157" s="3030">
        <v>46.291699999999999</v>
      </c>
      <c r="E157" s="3029" t="s">
        <v>1377</v>
      </c>
      <c r="F157" s="3029"/>
      <c r="G157" s="3029"/>
    </row>
    <row r="158" spans="1:7">
      <c r="A158" s="3028">
        <v>157</v>
      </c>
      <c r="B158" s="3029" t="s">
        <v>3230</v>
      </c>
      <c r="C158" s="3029" t="s">
        <v>3387</v>
      </c>
      <c r="D158" s="3030">
        <v>46.291699999999999</v>
      </c>
      <c r="E158" s="3029" t="s">
        <v>1377</v>
      </c>
      <c r="F158" s="3029"/>
      <c r="G158" s="3029"/>
    </row>
    <row r="159" spans="1:7">
      <c r="A159" s="3028">
        <v>158</v>
      </c>
      <c r="B159" s="3029" t="s">
        <v>3230</v>
      </c>
      <c r="C159" s="3029" t="s">
        <v>3388</v>
      </c>
      <c r="D159" s="3030">
        <v>46.564799999999998</v>
      </c>
      <c r="E159" s="3029" t="s">
        <v>1377</v>
      </c>
      <c r="F159" s="3029"/>
      <c r="G159" s="3029"/>
    </row>
    <row r="160" spans="1:7">
      <c r="A160" s="3028">
        <v>159</v>
      </c>
      <c r="B160" s="3029" t="s">
        <v>3230</v>
      </c>
      <c r="C160" s="3029" t="s">
        <v>3389</v>
      </c>
      <c r="D160" s="3030">
        <v>46.564799999999998</v>
      </c>
      <c r="E160" s="3029" t="s">
        <v>1377</v>
      </c>
      <c r="F160" s="3029"/>
      <c r="G160" s="3029"/>
    </row>
    <row r="161" spans="1:7">
      <c r="A161" s="3028">
        <v>160</v>
      </c>
      <c r="B161" s="3029" t="s">
        <v>3230</v>
      </c>
      <c r="C161" s="3029" t="s">
        <v>3390</v>
      </c>
      <c r="D161" s="3030">
        <v>46.564799999999998</v>
      </c>
      <c r="E161" s="3029" t="s">
        <v>1377</v>
      </c>
      <c r="F161" s="3029"/>
      <c r="G161" s="3029"/>
    </row>
    <row r="162" spans="1:7">
      <c r="A162" s="3028">
        <v>161</v>
      </c>
      <c r="B162" s="3029" t="s">
        <v>3230</v>
      </c>
      <c r="C162" s="3029" t="s">
        <v>3391</v>
      </c>
      <c r="D162" s="3030">
        <v>46.564799999999998</v>
      </c>
      <c r="E162" s="3029" t="s">
        <v>1377</v>
      </c>
      <c r="F162" s="3029"/>
      <c r="G162" s="3029"/>
    </row>
    <row r="163" spans="1:7">
      <c r="A163" s="3028">
        <v>162</v>
      </c>
      <c r="B163" s="3029" t="s">
        <v>3230</v>
      </c>
      <c r="C163" s="3029" t="s">
        <v>3392</v>
      </c>
      <c r="D163" s="3030">
        <v>46.291699999999999</v>
      </c>
      <c r="E163" s="3029" t="s">
        <v>1377</v>
      </c>
      <c r="F163" s="3029"/>
      <c r="G163" s="3029"/>
    </row>
    <row r="164" spans="1:7">
      <c r="A164" s="3028">
        <v>163</v>
      </c>
      <c r="B164" s="3029" t="s">
        <v>3230</v>
      </c>
      <c r="C164" s="3029" t="s">
        <v>3393</v>
      </c>
      <c r="D164" s="3030">
        <v>46.291699999999999</v>
      </c>
      <c r="E164" s="3029" t="s">
        <v>1377</v>
      </c>
      <c r="F164" s="3029"/>
      <c r="G164" s="3029"/>
    </row>
    <row r="165" spans="1:7">
      <c r="A165" s="3028">
        <v>164</v>
      </c>
      <c r="B165" s="3029" t="s">
        <v>3230</v>
      </c>
      <c r="C165" s="3029" t="s">
        <v>3394</v>
      </c>
      <c r="D165" s="3030">
        <v>51.785699999999999</v>
      </c>
      <c r="E165" s="3029" t="s">
        <v>1377</v>
      </c>
      <c r="F165" s="3029"/>
      <c r="G165" s="3029"/>
    </row>
    <row r="166" spans="1:7">
      <c r="A166" s="3028">
        <v>165</v>
      </c>
      <c r="B166" s="3029" t="s">
        <v>3230</v>
      </c>
      <c r="C166" s="3029" t="s">
        <v>3395</v>
      </c>
      <c r="D166" s="3030">
        <v>51.785699999999999</v>
      </c>
      <c r="E166" s="3029" t="s">
        <v>1377</v>
      </c>
      <c r="F166" s="3029"/>
      <c r="G166" s="3029"/>
    </row>
    <row r="167" spans="1:7">
      <c r="A167" s="3028">
        <v>166</v>
      </c>
      <c r="B167" s="3029" t="s">
        <v>3230</v>
      </c>
      <c r="C167" s="3029" t="s">
        <v>3396</v>
      </c>
      <c r="D167" s="3030">
        <v>51.785699999999999</v>
      </c>
      <c r="E167" s="3029" t="s">
        <v>1377</v>
      </c>
      <c r="F167" s="3029"/>
      <c r="G167" s="3029"/>
    </row>
    <row r="168" spans="1:7">
      <c r="A168" s="3028">
        <v>167</v>
      </c>
      <c r="B168" s="3029" t="s">
        <v>3230</v>
      </c>
      <c r="C168" s="3029" t="s">
        <v>3397</v>
      </c>
      <c r="D168" s="3030">
        <v>50.515799999999999</v>
      </c>
      <c r="E168" s="3029" t="s">
        <v>1377</v>
      </c>
      <c r="F168" s="3029"/>
      <c r="G168" s="3029"/>
    </row>
    <row r="169" spans="1:7">
      <c r="A169" s="3028">
        <v>168</v>
      </c>
      <c r="B169" s="3029" t="s">
        <v>3230</v>
      </c>
      <c r="C169" s="3029" t="s">
        <v>3398</v>
      </c>
      <c r="D169" s="3030">
        <v>51.785699999999999</v>
      </c>
      <c r="E169" s="3029" t="s">
        <v>1377</v>
      </c>
      <c r="F169" s="3029"/>
      <c r="G169" s="3029"/>
    </row>
    <row r="170" spans="1:7">
      <c r="A170" s="3028">
        <v>169</v>
      </c>
      <c r="B170" s="3029" t="s">
        <v>3230</v>
      </c>
      <c r="C170" s="3029" t="s">
        <v>3399</v>
      </c>
      <c r="D170" s="3030">
        <v>46.564799999999998</v>
      </c>
      <c r="E170" s="3029" t="s">
        <v>1377</v>
      </c>
      <c r="F170" s="3029"/>
      <c r="G170" s="3029"/>
    </row>
    <row r="171" spans="1:7">
      <c r="A171" s="3028">
        <v>170</v>
      </c>
      <c r="B171" s="3029" t="s">
        <v>3230</v>
      </c>
      <c r="C171" s="3029" t="s">
        <v>3400</v>
      </c>
      <c r="D171" s="3030">
        <v>46.564799999999998</v>
      </c>
      <c r="E171" s="3029" t="s">
        <v>1377</v>
      </c>
      <c r="F171" s="3029"/>
      <c r="G171" s="3029"/>
    </row>
    <row r="172" spans="1:7">
      <c r="A172" s="3028">
        <v>171</v>
      </c>
      <c r="B172" s="3029" t="s">
        <v>3230</v>
      </c>
      <c r="C172" s="3029" t="s">
        <v>3401</v>
      </c>
      <c r="D172" s="3030">
        <v>46.564799999999998</v>
      </c>
      <c r="E172" s="3029" t="s">
        <v>1377</v>
      </c>
      <c r="F172" s="3029"/>
      <c r="G172" s="3029"/>
    </row>
    <row r="173" spans="1:7">
      <c r="A173" s="3028">
        <v>172</v>
      </c>
      <c r="B173" s="3029" t="s">
        <v>3230</v>
      </c>
      <c r="C173" s="3029" t="s">
        <v>3402</v>
      </c>
      <c r="D173" s="3030">
        <v>46.564799999999998</v>
      </c>
      <c r="E173" s="3029" t="s">
        <v>1377</v>
      </c>
      <c r="F173" s="3029"/>
      <c r="G173" s="3029"/>
    </row>
    <row r="174" spans="1:7">
      <c r="A174" s="3028">
        <v>173</v>
      </c>
      <c r="B174" s="3029" t="s">
        <v>3230</v>
      </c>
      <c r="C174" s="3029" t="s">
        <v>3403</v>
      </c>
      <c r="D174" s="3030">
        <v>46.564799999999998</v>
      </c>
      <c r="E174" s="3029" t="s">
        <v>1377</v>
      </c>
      <c r="F174" s="3029"/>
      <c r="G174" s="3029"/>
    </row>
    <row r="175" spans="1:7">
      <c r="A175" s="3028">
        <v>174</v>
      </c>
      <c r="B175" s="3029" t="s">
        <v>3230</v>
      </c>
      <c r="C175" s="3029" t="s">
        <v>3404</v>
      </c>
      <c r="D175" s="3030">
        <v>46.564799999999998</v>
      </c>
      <c r="E175" s="3029" t="s">
        <v>1377</v>
      </c>
      <c r="F175" s="3029"/>
      <c r="G175" s="3029"/>
    </row>
    <row r="176" spans="1:7">
      <c r="A176" s="3028">
        <v>175</v>
      </c>
      <c r="B176" s="3029" t="s">
        <v>3230</v>
      </c>
      <c r="C176" s="3029" t="s">
        <v>3405</v>
      </c>
      <c r="D176" s="3030">
        <v>46.564799999999998</v>
      </c>
      <c r="E176" s="3029" t="s">
        <v>1377</v>
      </c>
      <c r="F176" s="3029"/>
      <c r="G176" s="3029"/>
    </row>
    <row r="177" spans="1:7">
      <c r="A177" s="3028">
        <v>176</v>
      </c>
      <c r="B177" s="3029" t="s">
        <v>3230</v>
      </c>
      <c r="C177" s="3029" t="s">
        <v>3406</v>
      </c>
      <c r="D177" s="3030">
        <v>47.547199999999997</v>
      </c>
      <c r="E177" s="3029" t="s">
        <v>1377</v>
      </c>
      <c r="F177" s="3029"/>
      <c r="G177" s="3029"/>
    </row>
    <row r="178" spans="1:7">
      <c r="A178" s="3028">
        <v>177</v>
      </c>
      <c r="B178" s="3029" t="s">
        <v>3230</v>
      </c>
      <c r="C178" s="3029" t="s">
        <v>3407</v>
      </c>
      <c r="D178" s="3030">
        <v>46.253799999999998</v>
      </c>
      <c r="E178" s="3029" t="s">
        <v>1377</v>
      </c>
      <c r="F178" s="3029"/>
      <c r="G178" s="3029"/>
    </row>
    <row r="179" spans="1:7">
      <c r="A179" s="3028">
        <v>178</v>
      </c>
      <c r="B179" s="3029" t="s">
        <v>3230</v>
      </c>
      <c r="C179" s="3029" t="s">
        <v>3408</v>
      </c>
      <c r="D179" s="3030">
        <v>46.564799999999998</v>
      </c>
      <c r="E179" s="3029" t="s">
        <v>1377</v>
      </c>
      <c r="F179" s="3029"/>
      <c r="G179" s="3029"/>
    </row>
    <row r="180" spans="1:7">
      <c r="A180" s="3028">
        <v>179</v>
      </c>
      <c r="B180" s="3029" t="s">
        <v>3230</v>
      </c>
      <c r="C180" s="3029" t="s">
        <v>3409</v>
      </c>
      <c r="D180" s="3030">
        <v>46.564799999999998</v>
      </c>
      <c r="E180" s="3029" t="s">
        <v>1377</v>
      </c>
      <c r="F180" s="3029"/>
      <c r="G180" s="3029"/>
    </row>
    <row r="181" spans="1:7">
      <c r="A181" s="3028">
        <v>180</v>
      </c>
      <c r="B181" s="3029" t="s">
        <v>3230</v>
      </c>
      <c r="C181" s="3029" t="s">
        <v>3410</v>
      </c>
      <c r="D181" s="3030">
        <v>46.564799999999998</v>
      </c>
      <c r="E181" s="3029" t="s">
        <v>1377</v>
      </c>
      <c r="F181" s="3029"/>
      <c r="G181" s="3029"/>
    </row>
    <row r="182" spans="1:7">
      <c r="A182" s="3028">
        <v>181</v>
      </c>
      <c r="B182" s="3029" t="s">
        <v>3230</v>
      </c>
      <c r="C182" s="3029" t="s">
        <v>3411</v>
      </c>
      <c r="D182" s="3030">
        <v>46.564799999999998</v>
      </c>
      <c r="E182" s="3029" t="s">
        <v>1377</v>
      </c>
      <c r="F182" s="3029"/>
      <c r="G182" s="3029"/>
    </row>
    <row r="183" spans="1:7">
      <c r="A183" s="3028">
        <v>182</v>
      </c>
      <c r="B183" s="3029" t="s">
        <v>3230</v>
      </c>
      <c r="C183" s="3029" t="s">
        <v>3412</v>
      </c>
      <c r="D183" s="3030">
        <v>46.200699999999998</v>
      </c>
      <c r="E183" s="3029" t="s">
        <v>1377</v>
      </c>
      <c r="F183" s="3029"/>
      <c r="G183" s="3029"/>
    </row>
    <row r="184" spans="1:7">
      <c r="A184" s="3028">
        <v>183</v>
      </c>
      <c r="B184" s="3029" t="s">
        <v>3230</v>
      </c>
      <c r="C184" s="3029" t="s">
        <v>3413</v>
      </c>
      <c r="D184" s="3030">
        <v>46.200699999999998</v>
      </c>
      <c r="E184" s="3029" t="s">
        <v>1377</v>
      </c>
      <c r="F184" s="3029"/>
      <c r="G184" s="3029"/>
    </row>
    <row r="185" spans="1:7">
      <c r="A185" s="3028">
        <v>184</v>
      </c>
      <c r="B185" s="3029" t="s">
        <v>3230</v>
      </c>
      <c r="C185" s="3029" t="s">
        <v>3414</v>
      </c>
      <c r="D185" s="3030">
        <v>46.564799999999998</v>
      </c>
      <c r="E185" s="3029" t="s">
        <v>1377</v>
      </c>
      <c r="F185" s="3029"/>
      <c r="G185" s="3029"/>
    </row>
    <row r="186" spans="1:7">
      <c r="A186" s="3028">
        <v>185</v>
      </c>
      <c r="B186" s="3029" t="s">
        <v>3230</v>
      </c>
      <c r="C186" s="3029" t="s">
        <v>3415</v>
      </c>
      <c r="D186" s="3030">
        <v>46.291699999999999</v>
      </c>
      <c r="E186" s="3029" t="s">
        <v>1377</v>
      </c>
      <c r="F186" s="3029"/>
      <c r="G186" s="3029"/>
    </row>
    <row r="187" spans="1:7">
      <c r="A187" s="3028">
        <v>186</v>
      </c>
      <c r="B187" s="3029" t="s">
        <v>3230</v>
      </c>
      <c r="C187" s="3029" t="s">
        <v>3416</v>
      </c>
      <c r="D187" s="3030">
        <v>46.291699999999999</v>
      </c>
      <c r="E187" s="3029" t="s">
        <v>1377</v>
      </c>
      <c r="F187" s="3029"/>
      <c r="G187" s="3029"/>
    </row>
    <row r="188" spans="1:7">
      <c r="A188" s="3028">
        <v>187</v>
      </c>
      <c r="B188" s="3029" t="s">
        <v>3230</v>
      </c>
      <c r="C188" s="3029" t="s">
        <v>3417</v>
      </c>
      <c r="D188" s="3030">
        <v>46.291699999999999</v>
      </c>
      <c r="E188" s="3029" t="s">
        <v>1377</v>
      </c>
      <c r="F188" s="3029"/>
      <c r="G188" s="3029"/>
    </row>
    <row r="189" spans="1:7">
      <c r="A189" s="3028">
        <v>188</v>
      </c>
      <c r="B189" s="3029" t="s">
        <v>3230</v>
      </c>
      <c r="C189" s="3029" t="s">
        <v>3418</v>
      </c>
      <c r="D189" s="3030">
        <v>46.291699999999999</v>
      </c>
      <c r="E189" s="3029" t="s">
        <v>1377</v>
      </c>
      <c r="F189" s="3029"/>
      <c r="G189" s="3029"/>
    </row>
    <row r="190" spans="1:7">
      <c r="A190" s="3028">
        <v>189</v>
      </c>
      <c r="B190" s="3029" t="s">
        <v>3230</v>
      </c>
      <c r="C190" s="3029" t="s">
        <v>3419</v>
      </c>
      <c r="D190" s="3030">
        <v>46.564799999999998</v>
      </c>
      <c r="E190" s="3029" t="s">
        <v>1377</v>
      </c>
      <c r="F190" s="3029"/>
      <c r="G190" s="3029"/>
    </row>
    <row r="191" spans="1:7">
      <c r="A191" s="3028">
        <v>190</v>
      </c>
      <c r="B191" s="3029" t="s">
        <v>3230</v>
      </c>
      <c r="C191" s="3029" t="s">
        <v>3420</v>
      </c>
      <c r="D191" s="3030">
        <v>46.564799999999998</v>
      </c>
      <c r="E191" s="3029" t="s">
        <v>1377</v>
      </c>
      <c r="F191" s="3029"/>
      <c r="G191" s="3029"/>
    </row>
    <row r="192" spans="1:7">
      <c r="A192" s="3028">
        <v>191</v>
      </c>
      <c r="B192" s="3029" t="s">
        <v>3230</v>
      </c>
      <c r="C192" s="3029" t="s">
        <v>3421</v>
      </c>
      <c r="D192" s="3030">
        <v>46.291699999999999</v>
      </c>
      <c r="E192" s="3029" t="s">
        <v>1377</v>
      </c>
      <c r="F192" s="3029"/>
      <c r="G192" s="3029"/>
    </row>
    <row r="193" spans="1:7">
      <c r="A193" s="3028">
        <v>192</v>
      </c>
      <c r="B193" s="3029" t="s">
        <v>3230</v>
      </c>
      <c r="C193" s="3029" t="s">
        <v>3422</v>
      </c>
      <c r="D193" s="3030">
        <v>46.291699999999999</v>
      </c>
      <c r="E193" s="3029" t="s">
        <v>1377</v>
      </c>
      <c r="F193" s="3029"/>
      <c r="G193" s="3029"/>
    </row>
    <row r="194" spans="1:7">
      <c r="A194" s="3028">
        <v>193</v>
      </c>
      <c r="B194" s="3029" t="s">
        <v>3230</v>
      </c>
      <c r="C194" s="3029" t="s">
        <v>3423</v>
      </c>
      <c r="D194" s="3030">
        <v>46.564799999999998</v>
      </c>
      <c r="E194" s="3029" t="s">
        <v>1377</v>
      </c>
      <c r="F194" s="3029"/>
      <c r="G194" s="3029"/>
    </row>
    <row r="195" spans="1:7">
      <c r="A195" s="3028">
        <v>194</v>
      </c>
      <c r="B195" s="3029" t="s">
        <v>3230</v>
      </c>
      <c r="C195" s="3029" t="s">
        <v>3424</v>
      </c>
      <c r="D195" s="3030">
        <v>46.564799999999998</v>
      </c>
      <c r="E195" s="3029" t="s">
        <v>1377</v>
      </c>
      <c r="F195" s="3029"/>
      <c r="G195" s="3029"/>
    </row>
    <row r="196" spans="1:7">
      <c r="A196" s="3028">
        <v>195</v>
      </c>
      <c r="B196" s="3029" t="s">
        <v>3230</v>
      </c>
      <c r="C196" s="3029" t="s">
        <v>3425</v>
      </c>
      <c r="D196" s="3030">
        <v>46.291699999999999</v>
      </c>
      <c r="E196" s="3029" t="s">
        <v>1377</v>
      </c>
      <c r="F196" s="3029"/>
      <c r="G196" s="3029"/>
    </row>
    <row r="197" spans="1:7">
      <c r="A197" s="3028">
        <v>196</v>
      </c>
      <c r="B197" s="3029" t="s">
        <v>3230</v>
      </c>
      <c r="C197" s="3029" t="s">
        <v>3426</v>
      </c>
      <c r="D197" s="3030">
        <v>46.291699999999999</v>
      </c>
      <c r="E197" s="3029" t="s">
        <v>1377</v>
      </c>
      <c r="F197" s="3029"/>
      <c r="G197" s="3029"/>
    </row>
    <row r="198" spans="1:7">
      <c r="A198" s="3028">
        <v>197</v>
      </c>
      <c r="B198" s="3029" t="s">
        <v>3230</v>
      </c>
      <c r="C198" s="3029" t="s">
        <v>3427</v>
      </c>
      <c r="D198" s="3030">
        <v>46.564799999999998</v>
      </c>
      <c r="E198" s="3029" t="s">
        <v>1377</v>
      </c>
      <c r="F198" s="3029"/>
      <c r="G198" s="3029"/>
    </row>
    <row r="199" spans="1:7">
      <c r="A199" s="3028">
        <v>198</v>
      </c>
      <c r="B199" s="3029" t="s">
        <v>3230</v>
      </c>
      <c r="C199" s="3029" t="s">
        <v>3428</v>
      </c>
      <c r="D199" s="3030">
        <v>46.564799999999998</v>
      </c>
      <c r="E199" s="3029" t="s">
        <v>1377</v>
      </c>
      <c r="F199" s="3029"/>
      <c r="G199" s="3029"/>
    </row>
    <row r="200" spans="1:7">
      <c r="A200" s="3028">
        <v>199</v>
      </c>
      <c r="B200" s="3029" t="s">
        <v>3230</v>
      </c>
      <c r="C200" s="3029" t="s">
        <v>3429</v>
      </c>
      <c r="D200" s="3030">
        <v>46.564799999999998</v>
      </c>
      <c r="E200" s="3029" t="s">
        <v>1377</v>
      </c>
      <c r="F200" s="3029"/>
      <c r="G200" s="3029"/>
    </row>
    <row r="201" spans="1:7">
      <c r="A201" s="3028">
        <v>200</v>
      </c>
      <c r="B201" s="3029" t="s">
        <v>3230</v>
      </c>
      <c r="C201" s="3029" t="s">
        <v>3430</v>
      </c>
      <c r="D201" s="3030">
        <v>46.564799999999998</v>
      </c>
      <c r="E201" s="3029" t="s">
        <v>1377</v>
      </c>
      <c r="F201" s="3029"/>
      <c r="G201" s="3029"/>
    </row>
    <row r="202" spans="1:7">
      <c r="A202" s="3028">
        <v>201</v>
      </c>
      <c r="B202" s="3029" t="s">
        <v>3230</v>
      </c>
      <c r="C202" s="3029" t="s">
        <v>3431</v>
      </c>
      <c r="D202" s="3030">
        <v>46.291699999999999</v>
      </c>
      <c r="E202" s="3029" t="s">
        <v>1377</v>
      </c>
      <c r="F202" s="3029"/>
      <c r="G202" s="3029"/>
    </row>
    <row r="203" spans="1:7">
      <c r="A203" s="3028">
        <v>202</v>
      </c>
      <c r="B203" s="3029" t="s">
        <v>3230</v>
      </c>
      <c r="C203" s="3029" t="s">
        <v>3432</v>
      </c>
      <c r="D203" s="3030">
        <v>46.291699999999999</v>
      </c>
      <c r="E203" s="3029" t="s">
        <v>1377</v>
      </c>
      <c r="F203" s="3029"/>
      <c r="G203" s="3029"/>
    </row>
    <row r="204" spans="1:7">
      <c r="A204" s="3028">
        <v>203</v>
      </c>
      <c r="B204" s="3029" t="s">
        <v>3230</v>
      </c>
      <c r="C204" s="3029" t="s">
        <v>3433</v>
      </c>
      <c r="D204" s="3030">
        <v>51.785699999999999</v>
      </c>
      <c r="E204" s="3029" t="s">
        <v>1377</v>
      </c>
      <c r="F204" s="3029"/>
      <c r="G204" s="3029"/>
    </row>
    <row r="205" spans="1:7">
      <c r="A205" s="3028">
        <v>204</v>
      </c>
      <c r="B205" s="3029" t="s">
        <v>3230</v>
      </c>
      <c r="C205" s="3029" t="s">
        <v>3434</v>
      </c>
      <c r="D205" s="3030">
        <v>51.785699999999999</v>
      </c>
      <c r="E205" s="3029" t="s">
        <v>1377</v>
      </c>
      <c r="F205" s="3029"/>
      <c r="G205" s="3029"/>
    </row>
    <row r="206" spans="1:7">
      <c r="A206" s="3028">
        <v>205</v>
      </c>
      <c r="B206" s="3029" t="s">
        <v>3230</v>
      </c>
      <c r="C206" s="3029" t="s">
        <v>3435</v>
      </c>
      <c r="D206" s="3030">
        <v>51.785699999999999</v>
      </c>
      <c r="E206" s="3029" t="s">
        <v>1377</v>
      </c>
      <c r="F206" s="3029"/>
      <c r="G206" s="3029"/>
    </row>
    <row r="207" spans="1:7">
      <c r="A207" s="3028">
        <v>206</v>
      </c>
      <c r="B207" s="3029" t="s">
        <v>3230</v>
      </c>
      <c r="C207" s="3029" t="s">
        <v>3436</v>
      </c>
      <c r="D207" s="3030">
        <v>50.515799999999999</v>
      </c>
      <c r="E207" s="3029" t="s">
        <v>1377</v>
      </c>
      <c r="F207" s="3029"/>
      <c r="G207" s="3029"/>
    </row>
    <row r="208" spans="1:7">
      <c r="A208" s="3028">
        <v>207</v>
      </c>
      <c r="B208" s="3029" t="s">
        <v>3230</v>
      </c>
      <c r="C208" s="3029" t="s">
        <v>3437</v>
      </c>
      <c r="D208" s="3030">
        <v>51.785699999999999</v>
      </c>
      <c r="E208" s="3029" t="s">
        <v>1377</v>
      </c>
      <c r="F208" s="3029"/>
      <c r="G208" s="3029"/>
    </row>
    <row r="209" spans="1:7">
      <c r="A209" s="3028">
        <v>208</v>
      </c>
      <c r="B209" s="3029" t="s">
        <v>3230</v>
      </c>
      <c r="C209" s="3029" t="s">
        <v>3438</v>
      </c>
      <c r="D209" s="3030">
        <v>46.564799999999998</v>
      </c>
      <c r="E209" s="3029" t="s">
        <v>1377</v>
      </c>
      <c r="F209" s="3029"/>
      <c r="G209" s="3029"/>
    </row>
    <row r="210" spans="1:7">
      <c r="A210" s="3028">
        <v>209</v>
      </c>
      <c r="B210" s="3029" t="s">
        <v>3230</v>
      </c>
      <c r="C210" s="3029" t="s">
        <v>3439</v>
      </c>
      <c r="D210" s="3030">
        <v>46.564799999999998</v>
      </c>
      <c r="E210" s="3029" t="s">
        <v>1377</v>
      </c>
      <c r="F210" s="3029"/>
      <c r="G210" s="3029"/>
    </row>
    <row r="211" spans="1:7">
      <c r="A211" s="3028">
        <v>210</v>
      </c>
      <c r="B211" s="3029" t="s">
        <v>3230</v>
      </c>
      <c r="C211" s="3029" t="s">
        <v>3440</v>
      </c>
      <c r="D211" s="3030">
        <v>46.564799999999998</v>
      </c>
      <c r="E211" s="3029" t="s">
        <v>1377</v>
      </c>
      <c r="F211" s="3029"/>
      <c r="G211" s="3029"/>
    </row>
    <row r="212" spans="1:7">
      <c r="A212" s="3028">
        <v>211</v>
      </c>
      <c r="B212" s="3029" t="s">
        <v>3230</v>
      </c>
      <c r="C212" s="3029" t="s">
        <v>3441</v>
      </c>
      <c r="D212" s="3030">
        <v>46.564799999999998</v>
      </c>
      <c r="E212" s="3029" t="s">
        <v>1377</v>
      </c>
      <c r="F212" s="3029"/>
      <c r="G212" s="3029"/>
    </row>
    <row r="213" spans="1:7">
      <c r="A213" s="3028">
        <v>212</v>
      </c>
      <c r="B213" s="3029" t="s">
        <v>3230</v>
      </c>
      <c r="C213" s="3029" t="s">
        <v>3442</v>
      </c>
      <c r="D213" s="3030">
        <v>46.564799999999998</v>
      </c>
      <c r="E213" s="3029" t="s">
        <v>1377</v>
      </c>
      <c r="F213" s="3029"/>
      <c r="G213" s="3029"/>
    </row>
    <row r="214" spans="1:7">
      <c r="A214" s="3028">
        <v>213</v>
      </c>
      <c r="B214" s="3029" t="s">
        <v>3230</v>
      </c>
      <c r="C214" s="3029" t="s">
        <v>3443</v>
      </c>
      <c r="D214" s="3030">
        <v>46.564799999999998</v>
      </c>
      <c r="E214" s="3029" t="s">
        <v>1377</v>
      </c>
      <c r="F214" s="3029"/>
      <c r="G214" s="3029"/>
    </row>
    <row r="215" spans="1:7">
      <c r="A215" s="3028">
        <v>214</v>
      </c>
      <c r="B215" s="3029" t="s">
        <v>3230</v>
      </c>
      <c r="C215" s="3029" t="s">
        <v>3444</v>
      </c>
      <c r="D215" s="3030">
        <v>46.564799999999998</v>
      </c>
      <c r="E215" s="3029" t="s">
        <v>1377</v>
      </c>
      <c r="F215" s="3029"/>
      <c r="G215" s="3029"/>
    </row>
    <row r="216" spans="1:7">
      <c r="A216" s="3028">
        <v>215</v>
      </c>
      <c r="B216" s="3029" t="s">
        <v>3230</v>
      </c>
      <c r="C216" s="3029" t="s">
        <v>3445</v>
      </c>
      <c r="D216" s="3030">
        <v>47.547199999999997</v>
      </c>
      <c r="E216" s="3029" t="s">
        <v>1377</v>
      </c>
      <c r="F216" s="3029"/>
      <c r="G216" s="3029"/>
    </row>
    <row r="217" spans="1:7">
      <c r="A217" s="3028">
        <v>216</v>
      </c>
      <c r="B217" s="3029" t="s">
        <v>3230</v>
      </c>
      <c r="C217" s="3029" t="s">
        <v>3446</v>
      </c>
      <c r="D217" s="3030">
        <v>46.253799999999998</v>
      </c>
      <c r="E217" s="3029" t="s">
        <v>1377</v>
      </c>
      <c r="F217" s="3029"/>
      <c r="G217" s="3029"/>
    </row>
    <row r="218" spans="1:7">
      <c r="A218" s="3028">
        <v>217</v>
      </c>
      <c r="B218" s="3029" t="s">
        <v>3230</v>
      </c>
      <c r="C218" s="3029" t="s">
        <v>3447</v>
      </c>
      <c r="D218" s="3030">
        <v>46.564799999999998</v>
      </c>
      <c r="E218" s="3029" t="s">
        <v>1377</v>
      </c>
      <c r="F218" s="3029"/>
      <c r="G218" s="3029"/>
    </row>
    <row r="219" spans="1:7">
      <c r="A219" s="3028">
        <v>218</v>
      </c>
      <c r="B219" s="3029" t="s">
        <v>3230</v>
      </c>
      <c r="C219" s="3029" t="s">
        <v>3448</v>
      </c>
      <c r="D219" s="3030">
        <v>46.564799999999998</v>
      </c>
      <c r="E219" s="3029" t="s">
        <v>1377</v>
      </c>
      <c r="F219" s="3029"/>
      <c r="G219" s="3029"/>
    </row>
    <row r="220" spans="1:7">
      <c r="A220" s="3028">
        <v>219</v>
      </c>
      <c r="B220" s="3029" t="s">
        <v>3230</v>
      </c>
      <c r="C220" s="3029" t="s">
        <v>3449</v>
      </c>
      <c r="D220" s="3030">
        <v>46.564799999999998</v>
      </c>
      <c r="E220" s="3029" t="s">
        <v>1377</v>
      </c>
      <c r="F220" s="3029"/>
      <c r="G220" s="3029"/>
    </row>
    <row r="221" spans="1:7">
      <c r="A221" s="3028">
        <v>220</v>
      </c>
      <c r="B221" s="3029" t="s">
        <v>3230</v>
      </c>
      <c r="C221" s="3029" t="s">
        <v>3450</v>
      </c>
      <c r="D221" s="3030">
        <v>46.564799999999998</v>
      </c>
      <c r="E221" s="3029" t="s">
        <v>1377</v>
      </c>
      <c r="F221" s="3029"/>
      <c r="G221" s="3029"/>
    </row>
    <row r="222" spans="1:7">
      <c r="A222" s="3028">
        <v>221</v>
      </c>
      <c r="B222" s="3029" t="s">
        <v>3230</v>
      </c>
      <c r="C222" s="3029" t="s">
        <v>3451</v>
      </c>
      <c r="D222" s="3030">
        <v>46.200699999999998</v>
      </c>
      <c r="E222" s="3029" t="s">
        <v>1377</v>
      </c>
      <c r="F222" s="3029"/>
      <c r="G222" s="3029"/>
    </row>
    <row r="223" spans="1:7">
      <c r="A223" s="3028">
        <v>222</v>
      </c>
      <c r="B223" s="3029" t="s">
        <v>3230</v>
      </c>
      <c r="C223" s="3029" t="s">
        <v>3452</v>
      </c>
      <c r="D223" s="3030">
        <v>46.200699999999998</v>
      </c>
      <c r="E223" s="3029" t="s">
        <v>1377</v>
      </c>
      <c r="F223" s="3029"/>
      <c r="G223" s="3029"/>
    </row>
    <row r="224" spans="1:7">
      <c r="A224" s="3028">
        <v>223</v>
      </c>
      <c r="B224" s="3029" t="s">
        <v>3230</v>
      </c>
      <c r="C224" s="3029" t="s">
        <v>3453</v>
      </c>
      <c r="D224" s="3030">
        <v>46.564799999999998</v>
      </c>
      <c r="E224" s="3029" t="s">
        <v>1377</v>
      </c>
      <c r="F224" s="3029"/>
      <c r="G224" s="3029"/>
    </row>
    <row r="225" spans="1:7">
      <c r="A225" s="3028">
        <v>224</v>
      </c>
      <c r="B225" s="3029" t="s">
        <v>3230</v>
      </c>
      <c r="C225" s="3029" t="s">
        <v>3454</v>
      </c>
      <c r="D225" s="3030">
        <v>46.291699999999999</v>
      </c>
      <c r="E225" s="3029" t="s">
        <v>1377</v>
      </c>
      <c r="F225" s="3029"/>
      <c r="G225" s="3029"/>
    </row>
    <row r="226" spans="1:7">
      <c r="A226" s="3028">
        <v>225</v>
      </c>
      <c r="B226" s="3029" t="s">
        <v>3230</v>
      </c>
      <c r="C226" s="3029" t="s">
        <v>3455</v>
      </c>
      <c r="D226" s="3030">
        <v>46.291699999999999</v>
      </c>
      <c r="E226" s="3029" t="s">
        <v>1377</v>
      </c>
      <c r="F226" s="3029"/>
      <c r="G226" s="3029"/>
    </row>
    <row r="227" spans="1:7">
      <c r="A227" s="3028">
        <v>226</v>
      </c>
      <c r="B227" s="3029" t="s">
        <v>3230</v>
      </c>
      <c r="C227" s="3029" t="s">
        <v>3456</v>
      </c>
      <c r="D227" s="3030">
        <v>46.291699999999999</v>
      </c>
      <c r="E227" s="3029" t="s">
        <v>1377</v>
      </c>
      <c r="F227" s="3029"/>
      <c r="G227" s="3029"/>
    </row>
    <row r="228" spans="1:7">
      <c r="A228" s="3028">
        <v>227</v>
      </c>
      <c r="B228" s="3029" t="s">
        <v>3230</v>
      </c>
      <c r="C228" s="3029" t="s">
        <v>3457</v>
      </c>
      <c r="D228" s="3030">
        <v>46.291699999999999</v>
      </c>
      <c r="E228" s="3029" t="s">
        <v>1377</v>
      </c>
      <c r="F228" s="3029"/>
      <c r="G228" s="3029"/>
    </row>
    <row r="229" spans="1:7">
      <c r="A229" s="3028">
        <v>228</v>
      </c>
      <c r="B229" s="3029" t="s">
        <v>3230</v>
      </c>
      <c r="C229" s="3029" t="s">
        <v>3458</v>
      </c>
      <c r="D229" s="3030">
        <v>46.564799999999998</v>
      </c>
      <c r="E229" s="3029" t="s">
        <v>1377</v>
      </c>
      <c r="F229" s="3029"/>
      <c r="G229" s="3029"/>
    </row>
    <row r="230" spans="1:7">
      <c r="A230" s="3028">
        <v>229</v>
      </c>
      <c r="B230" s="3029" t="s">
        <v>3230</v>
      </c>
      <c r="C230" s="3029" t="s">
        <v>3459</v>
      </c>
      <c r="D230" s="3030">
        <v>46.564799999999998</v>
      </c>
      <c r="E230" s="3029" t="s">
        <v>1377</v>
      </c>
      <c r="F230" s="3029"/>
      <c r="G230" s="3029"/>
    </row>
    <row r="231" spans="1:7">
      <c r="A231" s="3028">
        <v>230</v>
      </c>
      <c r="B231" s="3029" t="s">
        <v>3230</v>
      </c>
      <c r="C231" s="3029" t="s">
        <v>3460</v>
      </c>
      <c r="D231" s="3030">
        <v>46.291699999999999</v>
      </c>
      <c r="E231" s="3029" t="s">
        <v>1377</v>
      </c>
      <c r="F231" s="3029"/>
      <c r="G231" s="3029"/>
    </row>
    <row r="232" spans="1:7">
      <c r="A232" s="3028">
        <v>231</v>
      </c>
      <c r="B232" s="3029" t="s">
        <v>3230</v>
      </c>
      <c r="C232" s="3029" t="s">
        <v>3461</v>
      </c>
      <c r="D232" s="3030">
        <v>46.291699999999999</v>
      </c>
      <c r="E232" s="3029" t="s">
        <v>1377</v>
      </c>
      <c r="F232" s="3029"/>
      <c r="G232" s="3029"/>
    </row>
    <row r="233" spans="1:7">
      <c r="A233" s="3028">
        <v>232</v>
      </c>
      <c r="B233" s="3029" t="s">
        <v>3230</v>
      </c>
      <c r="C233" s="3029" t="s">
        <v>3462</v>
      </c>
      <c r="D233" s="3030">
        <v>46.564799999999998</v>
      </c>
      <c r="E233" s="3029" t="s">
        <v>1377</v>
      </c>
      <c r="F233" s="3029"/>
      <c r="G233" s="3029"/>
    </row>
    <row r="234" spans="1:7">
      <c r="A234" s="3028">
        <v>233</v>
      </c>
      <c r="B234" s="3029" t="s">
        <v>3230</v>
      </c>
      <c r="C234" s="3029" t="s">
        <v>3463</v>
      </c>
      <c r="D234" s="3030">
        <v>46.564799999999998</v>
      </c>
      <c r="E234" s="3029" t="s">
        <v>1377</v>
      </c>
      <c r="F234" s="3029"/>
      <c r="G234" s="3029"/>
    </row>
    <row r="235" spans="1:7">
      <c r="A235" s="3028">
        <v>234</v>
      </c>
      <c r="B235" s="3029" t="s">
        <v>3230</v>
      </c>
      <c r="C235" s="3029" t="s">
        <v>3464</v>
      </c>
      <c r="D235" s="3030">
        <v>46.291699999999999</v>
      </c>
      <c r="E235" s="3029" t="s">
        <v>1377</v>
      </c>
      <c r="F235" s="3029"/>
      <c r="G235" s="3029"/>
    </row>
    <row r="236" spans="1:7">
      <c r="A236" s="3028">
        <v>235</v>
      </c>
      <c r="B236" s="3029" t="s">
        <v>3230</v>
      </c>
      <c r="C236" s="3029" t="s">
        <v>3465</v>
      </c>
      <c r="D236" s="3030">
        <v>46.291699999999999</v>
      </c>
      <c r="E236" s="3029" t="s">
        <v>1377</v>
      </c>
      <c r="F236" s="3029"/>
      <c r="G236" s="3029"/>
    </row>
    <row r="237" spans="1:7">
      <c r="A237" s="3028">
        <v>236</v>
      </c>
      <c r="B237" s="3029" t="s">
        <v>3230</v>
      </c>
      <c r="C237" s="3029" t="s">
        <v>3466</v>
      </c>
      <c r="D237" s="3030">
        <v>46.564799999999998</v>
      </c>
      <c r="E237" s="3029" t="s">
        <v>1377</v>
      </c>
      <c r="F237" s="3029"/>
      <c r="G237" s="3029"/>
    </row>
    <row r="238" spans="1:7">
      <c r="A238" s="3028">
        <v>237</v>
      </c>
      <c r="B238" s="3029" t="s">
        <v>3230</v>
      </c>
      <c r="C238" s="3029" t="s">
        <v>3467</v>
      </c>
      <c r="D238" s="3030">
        <v>46.564799999999998</v>
      </c>
      <c r="E238" s="3029" t="s">
        <v>1377</v>
      </c>
      <c r="F238" s="3029"/>
      <c r="G238" s="3029"/>
    </row>
    <row r="239" spans="1:7">
      <c r="A239" s="3028">
        <v>238</v>
      </c>
      <c r="B239" s="3029" t="s">
        <v>3230</v>
      </c>
      <c r="C239" s="3029" t="s">
        <v>3468</v>
      </c>
      <c r="D239" s="3030">
        <v>46.564799999999998</v>
      </c>
      <c r="E239" s="3029" t="s">
        <v>1377</v>
      </c>
      <c r="F239" s="3029"/>
      <c r="G239" s="3029"/>
    </row>
    <row r="240" spans="1:7">
      <c r="A240" s="3028">
        <v>239</v>
      </c>
      <c r="B240" s="3029" t="s">
        <v>3230</v>
      </c>
      <c r="C240" s="3029" t="s">
        <v>3469</v>
      </c>
      <c r="D240" s="3030">
        <v>46.564799999999998</v>
      </c>
      <c r="E240" s="3029" t="s">
        <v>1377</v>
      </c>
      <c r="F240" s="3029"/>
      <c r="G240" s="3029"/>
    </row>
    <row r="241" spans="1:7">
      <c r="A241" s="3028">
        <v>240</v>
      </c>
      <c r="B241" s="3029" t="s">
        <v>3230</v>
      </c>
      <c r="C241" s="3029" t="s">
        <v>3470</v>
      </c>
      <c r="D241" s="3030">
        <v>46.291699999999999</v>
      </c>
      <c r="E241" s="3029" t="s">
        <v>1377</v>
      </c>
      <c r="F241" s="3029"/>
      <c r="G241" s="3029"/>
    </row>
    <row r="242" spans="1:7">
      <c r="A242" s="3028">
        <v>241</v>
      </c>
      <c r="B242" s="3029" t="s">
        <v>3230</v>
      </c>
      <c r="C242" s="3029" t="s">
        <v>3471</v>
      </c>
      <c r="D242" s="3030">
        <v>46.291699999999999</v>
      </c>
      <c r="E242" s="3029" t="s">
        <v>1377</v>
      </c>
      <c r="F242" s="3029"/>
      <c r="G242" s="3029"/>
    </row>
    <row r="243" spans="1:7">
      <c r="A243" s="3028">
        <v>242</v>
      </c>
      <c r="B243" s="3029" t="s">
        <v>3230</v>
      </c>
      <c r="C243" s="3029" t="s">
        <v>3472</v>
      </c>
      <c r="D243" s="3030">
        <v>51.785699999999999</v>
      </c>
      <c r="E243" s="3029" t="s">
        <v>1377</v>
      </c>
      <c r="F243" s="3029"/>
      <c r="G243" s="3029"/>
    </row>
    <row r="244" spans="1:7">
      <c r="A244" s="3028">
        <v>243</v>
      </c>
      <c r="B244" s="3029" t="s">
        <v>3230</v>
      </c>
      <c r="C244" s="3029" t="s">
        <v>3473</v>
      </c>
      <c r="D244" s="3030">
        <v>51.785699999999999</v>
      </c>
      <c r="E244" s="3029" t="s">
        <v>1377</v>
      </c>
      <c r="F244" s="3029"/>
      <c r="G244" s="3029"/>
    </row>
    <row r="245" spans="1:7">
      <c r="A245" s="3028">
        <v>244</v>
      </c>
      <c r="B245" s="3029" t="s">
        <v>3230</v>
      </c>
      <c r="C245" s="3029" t="s">
        <v>3474</v>
      </c>
      <c r="D245" s="3030">
        <v>51.785699999999999</v>
      </c>
      <c r="E245" s="3029" t="s">
        <v>1377</v>
      </c>
      <c r="F245" s="3029"/>
      <c r="G245" s="3029"/>
    </row>
    <row r="246" spans="1:7">
      <c r="A246" s="3028">
        <v>245</v>
      </c>
      <c r="B246" s="3029" t="s">
        <v>3230</v>
      </c>
      <c r="C246" s="3029" t="s">
        <v>3475</v>
      </c>
      <c r="D246" s="3030">
        <v>50.515799999999999</v>
      </c>
      <c r="E246" s="3029" t="s">
        <v>1377</v>
      </c>
      <c r="F246" s="3029"/>
      <c r="G246" s="3029"/>
    </row>
    <row r="247" spans="1:7">
      <c r="A247" s="3028">
        <v>246</v>
      </c>
      <c r="B247" s="3029" t="s">
        <v>3230</v>
      </c>
      <c r="C247" s="3029" t="s">
        <v>3476</v>
      </c>
      <c r="D247" s="3030">
        <v>51.785699999999999</v>
      </c>
      <c r="E247" s="3029" t="s">
        <v>1377</v>
      </c>
      <c r="F247" s="3029"/>
      <c r="G247" s="3029"/>
    </row>
    <row r="248" spans="1:7">
      <c r="A248" s="3028">
        <v>247</v>
      </c>
      <c r="B248" s="3029" t="s">
        <v>3230</v>
      </c>
      <c r="C248" s="3029" t="s">
        <v>3477</v>
      </c>
      <c r="D248" s="3030">
        <v>46.564799999999998</v>
      </c>
      <c r="E248" s="3029" t="s">
        <v>1377</v>
      </c>
      <c r="F248" s="3029"/>
      <c r="G248" s="3029"/>
    </row>
    <row r="249" spans="1:7">
      <c r="A249" s="3028">
        <v>248</v>
      </c>
      <c r="B249" s="3029" t="s">
        <v>3230</v>
      </c>
      <c r="C249" s="3029" t="s">
        <v>3478</v>
      </c>
      <c r="D249" s="3030">
        <v>46.564799999999998</v>
      </c>
      <c r="E249" s="3029" t="s">
        <v>1377</v>
      </c>
      <c r="F249" s="3029"/>
      <c r="G249" s="3029"/>
    </row>
    <row r="250" spans="1:7">
      <c r="A250" s="3028">
        <v>249</v>
      </c>
      <c r="B250" s="3029" t="s">
        <v>3230</v>
      </c>
      <c r="C250" s="3029" t="s">
        <v>3479</v>
      </c>
      <c r="D250" s="3030">
        <v>46.564799999999998</v>
      </c>
      <c r="E250" s="3029" t="s">
        <v>1377</v>
      </c>
      <c r="F250" s="3029"/>
      <c r="G250" s="3029"/>
    </row>
    <row r="251" spans="1:7">
      <c r="A251" s="3028">
        <v>250</v>
      </c>
      <c r="B251" s="3029" t="s">
        <v>3230</v>
      </c>
      <c r="C251" s="3029" t="s">
        <v>3480</v>
      </c>
      <c r="D251" s="3030">
        <v>46.564799999999998</v>
      </c>
      <c r="E251" s="3029" t="s">
        <v>1377</v>
      </c>
      <c r="F251" s="3029"/>
      <c r="G251" s="3029"/>
    </row>
    <row r="252" spans="1:7">
      <c r="A252" s="3028">
        <v>251</v>
      </c>
      <c r="B252" s="3029" t="s">
        <v>3230</v>
      </c>
      <c r="C252" s="3029" t="s">
        <v>3481</v>
      </c>
      <c r="D252" s="3030">
        <v>46.564799999999998</v>
      </c>
      <c r="E252" s="3029" t="s">
        <v>1377</v>
      </c>
      <c r="F252" s="3029"/>
      <c r="G252" s="3029"/>
    </row>
    <row r="253" spans="1:7">
      <c r="A253" s="3028">
        <v>252</v>
      </c>
      <c r="B253" s="3029" t="s">
        <v>3230</v>
      </c>
      <c r="C253" s="3029" t="s">
        <v>3482</v>
      </c>
      <c r="D253" s="3030">
        <v>46.564799999999998</v>
      </c>
      <c r="E253" s="3029" t="s">
        <v>1377</v>
      </c>
      <c r="F253" s="3029"/>
      <c r="G253" s="3029"/>
    </row>
    <row r="254" spans="1:7">
      <c r="A254" s="3028">
        <v>253</v>
      </c>
      <c r="B254" s="3029" t="s">
        <v>3230</v>
      </c>
      <c r="C254" s="3029" t="s">
        <v>3483</v>
      </c>
      <c r="D254" s="3030">
        <v>46.564799999999998</v>
      </c>
      <c r="E254" s="3029" t="s">
        <v>1377</v>
      </c>
      <c r="F254" s="3029"/>
      <c r="G254" s="3029"/>
    </row>
    <row r="255" spans="1:7">
      <c r="A255" s="3028">
        <v>254</v>
      </c>
      <c r="B255" s="3029" t="s">
        <v>3230</v>
      </c>
      <c r="C255" s="3029" t="s">
        <v>3484</v>
      </c>
      <c r="D255" s="3030">
        <v>47.547199999999997</v>
      </c>
      <c r="E255" s="3029" t="s">
        <v>1377</v>
      </c>
      <c r="F255" s="3029"/>
      <c r="G255" s="3029"/>
    </row>
    <row r="256" spans="1:7">
      <c r="A256" s="3028">
        <v>255</v>
      </c>
      <c r="B256" s="3029" t="s">
        <v>3230</v>
      </c>
      <c r="C256" s="3029" t="s">
        <v>3485</v>
      </c>
      <c r="D256" s="3030">
        <v>46.253799999999998</v>
      </c>
      <c r="E256" s="3029" t="s">
        <v>1377</v>
      </c>
      <c r="F256" s="3029"/>
      <c r="G256" s="3029"/>
    </row>
    <row r="257" spans="1:7">
      <c r="A257" s="3028">
        <v>256</v>
      </c>
      <c r="B257" s="3029" t="s">
        <v>3230</v>
      </c>
      <c r="C257" s="3029" t="s">
        <v>3486</v>
      </c>
      <c r="D257" s="3030">
        <v>46.564799999999998</v>
      </c>
      <c r="E257" s="3029" t="s">
        <v>1377</v>
      </c>
      <c r="F257" s="3029"/>
      <c r="G257" s="3029"/>
    </row>
    <row r="258" spans="1:7">
      <c r="A258" s="3028">
        <v>257</v>
      </c>
      <c r="B258" s="3029" t="s">
        <v>3230</v>
      </c>
      <c r="C258" s="3029" t="s">
        <v>3487</v>
      </c>
      <c r="D258" s="3030">
        <v>46.564799999999998</v>
      </c>
      <c r="E258" s="3029" t="s">
        <v>1377</v>
      </c>
      <c r="F258" s="3029"/>
      <c r="G258" s="3029"/>
    </row>
    <row r="259" spans="1:7">
      <c r="A259" s="3028">
        <v>258</v>
      </c>
      <c r="B259" s="3029" t="s">
        <v>3230</v>
      </c>
      <c r="C259" s="3029" t="s">
        <v>3488</v>
      </c>
      <c r="D259" s="3030">
        <v>46.564799999999998</v>
      </c>
      <c r="E259" s="3029" t="s">
        <v>1377</v>
      </c>
      <c r="F259" s="3029"/>
      <c r="G259" s="3029"/>
    </row>
    <row r="260" spans="1:7">
      <c r="A260" s="3028">
        <v>259</v>
      </c>
      <c r="B260" s="3029" t="s">
        <v>3230</v>
      </c>
      <c r="C260" s="3029" t="s">
        <v>3489</v>
      </c>
      <c r="D260" s="3030">
        <v>46.564799999999998</v>
      </c>
      <c r="E260" s="3029" t="s">
        <v>1377</v>
      </c>
      <c r="F260" s="3029"/>
      <c r="G260" s="3029"/>
    </row>
    <row r="261" spans="1:7">
      <c r="A261" s="3028">
        <v>260</v>
      </c>
      <c r="B261" s="3029" t="s">
        <v>3230</v>
      </c>
      <c r="C261" s="3029" t="s">
        <v>3490</v>
      </c>
      <c r="D261" s="3030">
        <v>46.200699999999998</v>
      </c>
      <c r="E261" s="3029" t="s">
        <v>1377</v>
      </c>
      <c r="F261" s="3029"/>
      <c r="G261" s="3029"/>
    </row>
    <row r="262" spans="1:7">
      <c r="A262" s="3028">
        <v>261</v>
      </c>
      <c r="B262" s="3029" t="s">
        <v>3230</v>
      </c>
      <c r="C262" s="3029" t="s">
        <v>3491</v>
      </c>
      <c r="D262" s="3030">
        <v>46.200699999999998</v>
      </c>
      <c r="E262" s="3029" t="s">
        <v>1377</v>
      </c>
      <c r="F262" s="3029"/>
      <c r="G262" s="3029"/>
    </row>
    <row r="263" spans="1:7">
      <c r="A263" s="3028">
        <v>262</v>
      </c>
      <c r="B263" s="3029" t="s">
        <v>3230</v>
      </c>
      <c r="C263" s="3029" t="s">
        <v>3492</v>
      </c>
      <c r="D263" s="3030">
        <v>46.564799999999998</v>
      </c>
      <c r="E263" s="3029" t="s">
        <v>1377</v>
      </c>
      <c r="F263" s="3029"/>
      <c r="G263" s="3029"/>
    </row>
    <row r="264" spans="1:7">
      <c r="A264" s="3028">
        <v>263</v>
      </c>
      <c r="B264" s="3029" t="s">
        <v>3230</v>
      </c>
      <c r="C264" s="3029" t="s">
        <v>3493</v>
      </c>
      <c r="D264" s="3030">
        <v>46.291699999999999</v>
      </c>
      <c r="E264" s="3029" t="s">
        <v>1377</v>
      </c>
      <c r="F264" s="3029"/>
      <c r="G264" s="3029"/>
    </row>
    <row r="265" spans="1:7">
      <c r="A265" s="3028">
        <v>264</v>
      </c>
      <c r="B265" s="3029" t="s">
        <v>3230</v>
      </c>
      <c r="C265" s="3029" t="s">
        <v>3494</v>
      </c>
      <c r="D265" s="3030">
        <v>46.291699999999999</v>
      </c>
      <c r="E265" s="3029" t="s">
        <v>1377</v>
      </c>
      <c r="F265" s="3029"/>
      <c r="G265" s="3029"/>
    </row>
    <row r="266" spans="1:7">
      <c r="A266" s="3028">
        <v>265</v>
      </c>
      <c r="B266" s="3029" t="s">
        <v>3230</v>
      </c>
      <c r="C266" s="3029" t="s">
        <v>3495</v>
      </c>
      <c r="D266" s="3030">
        <v>46.291699999999999</v>
      </c>
      <c r="E266" s="3029" t="s">
        <v>1377</v>
      </c>
      <c r="F266" s="3029"/>
      <c r="G266" s="3029"/>
    </row>
    <row r="267" spans="1:7">
      <c r="A267" s="3028">
        <v>266</v>
      </c>
      <c r="B267" s="3029" t="s">
        <v>3230</v>
      </c>
      <c r="C267" s="3029" t="s">
        <v>3496</v>
      </c>
      <c r="D267" s="3030">
        <v>46.291699999999999</v>
      </c>
      <c r="E267" s="3029" t="s">
        <v>1377</v>
      </c>
      <c r="F267" s="3029"/>
      <c r="G267" s="3029"/>
    </row>
    <row r="268" spans="1:7">
      <c r="A268" s="3028">
        <v>267</v>
      </c>
      <c r="B268" s="3029" t="s">
        <v>3230</v>
      </c>
      <c r="C268" s="3029" t="s">
        <v>3497</v>
      </c>
      <c r="D268" s="3030">
        <v>46.564799999999998</v>
      </c>
      <c r="E268" s="3029" t="s">
        <v>1377</v>
      </c>
      <c r="F268" s="3029"/>
      <c r="G268" s="3029"/>
    </row>
    <row r="269" spans="1:7">
      <c r="A269" s="3028">
        <v>268</v>
      </c>
      <c r="B269" s="3029" t="s">
        <v>3230</v>
      </c>
      <c r="C269" s="3029" t="s">
        <v>3498</v>
      </c>
      <c r="D269" s="3030">
        <v>46.564799999999998</v>
      </c>
      <c r="E269" s="3029" t="s">
        <v>1377</v>
      </c>
      <c r="F269" s="3029"/>
      <c r="G269" s="3029"/>
    </row>
    <row r="270" spans="1:7">
      <c r="A270" s="3028">
        <v>269</v>
      </c>
      <c r="B270" s="3029" t="s">
        <v>3230</v>
      </c>
      <c r="C270" s="3029" t="s">
        <v>3499</v>
      </c>
      <c r="D270" s="3030">
        <v>46.291699999999999</v>
      </c>
      <c r="E270" s="3029" t="s">
        <v>1377</v>
      </c>
      <c r="F270" s="3029"/>
      <c r="G270" s="3029"/>
    </row>
    <row r="271" spans="1:7">
      <c r="A271" s="3028">
        <v>270</v>
      </c>
      <c r="B271" s="3029" t="s">
        <v>3230</v>
      </c>
      <c r="C271" s="3029" t="s">
        <v>3500</v>
      </c>
      <c r="D271" s="3030">
        <v>46.291699999999999</v>
      </c>
      <c r="E271" s="3029" t="s">
        <v>1377</v>
      </c>
      <c r="F271" s="3029"/>
      <c r="G271" s="3029"/>
    </row>
    <row r="272" spans="1:7">
      <c r="A272" s="3028">
        <v>271</v>
      </c>
      <c r="B272" s="3029" t="s">
        <v>3230</v>
      </c>
      <c r="C272" s="3029" t="s">
        <v>3501</v>
      </c>
      <c r="D272" s="3030">
        <v>46.564799999999998</v>
      </c>
      <c r="E272" s="3029" t="s">
        <v>1377</v>
      </c>
      <c r="F272" s="3029"/>
      <c r="G272" s="3029"/>
    </row>
    <row r="273" spans="1:7">
      <c r="A273" s="3028">
        <v>272</v>
      </c>
      <c r="B273" s="3029" t="s">
        <v>3230</v>
      </c>
      <c r="C273" s="3029" t="s">
        <v>3502</v>
      </c>
      <c r="D273" s="3030">
        <v>46.564799999999998</v>
      </c>
      <c r="E273" s="3029" t="s">
        <v>1377</v>
      </c>
      <c r="F273" s="3029"/>
      <c r="G273" s="3029"/>
    </row>
    <row r="274" spans="1:7">
      <c r="A274" s="3028">
        <v>273</v>
      </c>
      <c r="B274" s="3029" t="s">
        <v>3230</v>
      </c>
      <c r="C274" s="3029" t="s">
        <v>3503</v>
      </c>
      <c r="D274" s="3030">
        <v>46.291699999999999</v>
      </c>
      <c r="E274" s="3029" t="s">
        <v>1377</v>
      </c>
      <c r="F274" s="3029"/>
      <c r="G274" s="3029"/>
    </row>
    <row r="275" spans="1:7">
      <c r="A275" s="3028">
        <v>274</v>
      </c>
      <c r="B275" s="3029" t="s">
        <v>3230</v>
      </c>
      <c r="C275" s="3029" t="s">
        <v>3504</v>
      </c>
      <c r="D275" s="3030">
        <v>46.291699999999999</v>
      </c>
      <c r="E275" s="3029" t="s">
        <v>1377</v>
      </c>
      <c r="F275" s="3029"/>
      <c r="G275" s="3029"/>
    </row>
    <row r="276" spans="1:7">
      <c r="A276" s="3028">
        <v>275</v>
      </c>
      <c r="B276" s="3029" t="s">
        <v>3230</v>
      </c>
      <c r="C276" s="3029" t="s">
        <v>3505</v>
      </c>
      <c r="D276" s="3030">
        <v>46.564799999999998</v>
      </c>
      <c r="E276" s="3029" t="s">
        <v>1377</v>
      </c>
      <c r="F276" s="3029"/>
      <c r="G276" s="3029"/>
    </row>
    <row r="277" spans="1:7">
      <c r="A277" s="3028">
        <v>276</v>
      </c>
      <c r="B277" s="3029" t="s">
        <v>3230</v>
      </c>
      <c r="C277" s="3029" t="s">
        <v>3506</v>
      </c>
      <c r="D277" s="3030">
        <v>46.564799999999998</v>
      </c>
      <c r="E277" s="3029" t="s">
        <v>1377</v>
      </c>
      <c r="F277" s="3029"/>
      <c r="G277" s="3029"/>
    </row>
    <row r="278" spans="1:7">
      <c r="A278" s="3028">
        <v>277</v>
      </c>
      <c r="B278" s="3029" t="s">
        <v>3230</v>
      </c>
      <c r="C278" s="3029" t="s">
        <v>3507</v>
      </c>
      <c r="D278" s="3030">
        <v>46.564799999999998</v>
      </c>
      <c r="E278" s="3029" t="s">
        <v>1377</v>
      </c>
      <c r="F278" s="3029"/>
      <c r="G278" s="3029"/>
    </row>
    <row r="279" spans="1:7">
      <c r="A279" s="3028">
        <v>278</v>
      </c>
      <c r="B279" s="3029" t="s">
        <v>3230</v>
      </c>
      <c r="C279" s="3029" t="s">
        <v>3508</v>
      </c>
      <c r="D279" s="3030">
        <v>46.564799999999998</v>
      </c>
      <c r="E279" s="3029" t="s">
        <v>1377</v>
      </c>
      <c r="F279" s="3029"/>
      <c r="G279" s="3029"/>
    </row>
    <row r="280" spans="1:7">
      <c r="A280" s="3028">
        <v>279</v>
      </c>
      <c r="B280" s="3029" t="s">
        <v>3230</v>
      </c>
      <c r="C280" s="3029" t="s">
        <v>3509</v>
      </c>
      <c r="D280" s="3030">
        <v>46.291699999999999</v>
      </c>
      <c r="E280" s="3029" t="s">
        <v>1377</v>
      </c>
      <c r="F280" s="3029"/>
      <c r="G280" s="3029"/>
    </row>
    <row r="281" spans="1:7">
      <c r="A281" s="3028">
        <v>280</v>
      </c>
      <c r="B281" s="3029" t="s">
        <v>3230</v>
      </c>
      <c r="C281" s="3029" t="s">
        <v>3510</v>
      </c>
      <c r="D281" s="3030">
        <v>46.291699999999999</v>
      </c>
      <c r="E281" s="3029" t="s">
        <v>1377</v>
      </c>
      <c r="F281" s="3029"/>
      <c r="G281" s="3029"/>
    </row>
    <row r="282" spans="1:7">
      <c r="A282" s="3028">
        <v>281</v>
      </c>
      <c r="B282" s="3029" t="s">
        <v>3230</v>
      </c>
      <c r="C282" s="3029" t="s">
        <v>3511</v>
      </c>
      <c r="D282" s="3030">
        <v>51.785699999999999</v>
      </c>
      <c r="E282" s="3029" t="s">
        <v>1377</v>
      </c>
      <c r="F282" s="3029"/>
      <c r="G282" s="3029"/>
    </row>
    <row r="283" spans="1:7">
      <c r="A283" s="3028">
        <v>282</v>
      </c>
      <c r="B283" s="3029" t="s">
        <v>3230</v>
      </c>
      <c r="C283" s="3029" t="s">
        <v>3512</v>
      </c>
      <c r="D283" s="3030">
        <v>51.785699999999999</v>
      </c>
      <c r="E283" s="3029" t="s">
        <v>1377</v>
      </c>
      <c r="F283" s="3029"/>
      <c r="G283" s="3029"/>
    </row>
    <row r="284" spans="1:7">
      <c r="A284" s="3028">
        <v>283</v>
      </c>
      <c r="B284" s="3029" t="s">
        <v>3230</v>
      </c>
      <c r="C284" s="3029" t="s">
        <v>3513</v>
      </c>
      <c r="D284" s="3030">
        <v>51.785699999999999</v>
      </c>
      <c r="E284" s="3029" t="s">
        <v>1377</v>
      </c>
      <c r="F284" s="3029"/>
      <c r="G284" s="3029"/>
    </row>
    <row r="285" spans="1:7">
      <c r="A285" s="3028">
        <v>284</v>
      </c>
      <c r="B285" s="3029" t="s">
        <v>3230</v>
      </c>
      <c r="C285" s="3029" t="s">
        <v>3514</v>
      </c>
      <c r="D285" s="3030">
        <v>50.515799999999999</v>
      </c>
      <c r="E285" s="3029" t="s">
        <v>1377</v>
      </c>
      <c r="F285" s="3029"/>
      <c r="G285" s="3029"/>
    </row>
    <row r="286" spans="1:7">
      <c r="A286" s="3028">
        <v>285</v>
      </c>
      <c r="B286" s="3029" t="s">
        <v>3230</v>
      </c>
      <c r="C286" s="3029" t="s">
        <v>3515</v>
      </c>
      <c r="D286" s="3030">
        <v>51.785699999999999</v>
      </c>
      <c r="E286" s="3029" t="s">
        <v>1377</v>
      </c>
      <c r="F286" s="3029"/>
      <c r="G286" s="3029"/>
    </row>
    <row r="287" spans="1:7">
      <c r="A287" s="3028">
        <v>286</v>
      </c>
      <c r="B287" s="3029" t="s">
        <v>3230</v>
      </c>
      <c r="C287" s="3029" t="s">
        <v>3516</v>
      </c>
      <c r="D287" s="3030">
        <v>46.564799999999998</v>
      </c>
      <c r="E287" s="3029" t="s">
        <v>1377</v>
      </c>
      <c r="F287" s="3029"/>
      <c r="G287" s="3029"/>
    </row>
    <row r="288" spans="1:7">
      <c r="A288" s="3028">
        <v>287</v>
      </c>
      <c r="B288" s="3029" t="s">
        <v>3230</v>
      </c>
      <c r="C288" s="3029" t="s">
        <v>3517</v>
      </c>
      <c r="D288" s="3030">
        <v>46.564799999999998</v>
      </c>
      <c r="E288" s="3029" t="s">
        <v>1377</v>
      </c>
      <c r="F288" s="3029"/>
      <c r="G288" s="3029"/>
    </row>
    <row r="289" spans="1:7">
      <c r="A289" s="3028">
        <v>288</v>
      </c>
      <c r="B289" s="3029" t="s">
        <v>3230</v>
      </c>
      <c r="C289" s="3029" t="s">
        <v>3518</v>
      </c>
      <c r="D289" s="3030">
        <v>46.564799999999998</v>
      </c>
      <c r="E289" s="3029" t="s">
        <v>1377</v>
      </c>
      <c r="F289" s="3029"/>
      <c r="G289" s="3029"/>
    </row>
    <row r="290" spans="1:7">
      <c r="A290" s="3028">
        <v>289</v>
      </c>
      <c r="B290" s="3029" t="s">
        <v>3230</v>
      </c>
      <c r="C290" s="3029" t="s">
        <v>3519</v>
      </c>
      <c r="D290" s="3030">
        <v>46.564799999999998</v>
      </c>
      <c r="E290" s="3029" t="s">
        <v>1377</v>
      </c>
      <c r="F290" s="3029"/>
      <c r="G290" s="3029"/>
    </row>
    <row r="291" spans="1:7">
      <c r="A291" s="3028">
        <v>290</v>
      </c>
      <c r="B291" s="3029" t="s">
        <v>3230</v>
      </c>
      <c r="C291" s="3029" t="s">
        <v>3520</v>
      </c>
      <c r="D291" s="3030">
        <v>46.564799999999998</v>
      </c>
      <c r="E291" s="3029" t="s">
        <v>1377</v>
      </c>
      <c r="F291" s="3029"/>
      <c r="G291" s="3029"/>
    </row>
    <row r="292" spans="1:7">
      <c r="A292" s="3028">
        <v>291</v>
      </c>
      <c r="B292" s="3029" t="s">
        <v>3230</v>
      </c>
      <c r="C292" s="3029" t="s">
        <v>3521</v>
      </c>
      <c r="D292" s="3030">
        <v>46.564799999999998</v>
      </c>
      <c r="E292" s="3029" t="s">
        <v>1377</v>
      </c>
      <c r="F292" s="3029"/>
      <c r="G292" s="3029"/>
    </row>
    <row r="293" spans="1:7">
      <c r="A293" s="3028">
        <v>292</v>
      </c>
      <c r="B293" s="3029" t="s">
        <v>3230</v>
      </c>
      <c r="C293" s="3029" t="s">
        <v>3522</v>
      </c>
      <c r="D293" s="3030">
        <v>46.564799999999998</v>
      </c>
      <c r="E293" s="3029" t="s">
        <v>1377</v>
      </c>
      <c r="F293" s="3029"/>
      <c r="G293" s="3029"/>
    </row>
    <row r="294" spans="1:7">
      <c r="A294" s="3028">
        <v>293</v>
      </c>
      <c r="B294" s="3029" t="s">
        <v>3230</v>
      </c>
      <c r="C294" s="3029" t="s">
        <v>3523</v>
      </c>
      <c r="D294" s="3030">
        <v>47.547199999999997</v>
      </c>
      <c r="E294" s="3029" t="s">
        <v>1377</v>
      </c>
      <c r="F294" s="3029"/>
      <c r="G294" s="3029"/>
    </row>
    <row r="295" spans="1:7">
      <c r="A295" s="3028">
        <v>294</v>
      </c>
      <c r="B295" s="3029" t="s">
        <v>3230</v>
      </c>
      <c r="C295" s="3029" t="s">
        <v>3524</v>
      </c>
      <c r="D295" s="3030">
        <v>46.253799999999998</v>
      </c>
      <c r="E295" s="3029" t="s">
        <v>1377</v>
      </c>
      <c r="F295" s="3029"/>
      <c r="G295" s="3029"/>
    </row>
    <row r="296" spans="1:7">
      <c r="A296" s="3028">
        <v>295</v>
      </c>
      <c r="B296" s="3029" t="s">
        <v>3230</v>
      </c>
      <c r="C296" s="3029" t="s">
        <v>3525</v>
      </c>
      <c r="D296" s="3030">
        <v>46.564799999999998</v>
      </c>
      <c r="E296" s="3029" t="s">
        <v>1377</v>
      </c>
      <c r="F296" s="3029"/>
      <c r="G296" s="3029"/>
    </row>
    <row r="297" spans="1:7">
      <c r="A297" s="3028">
        <v>296</v>
      </c>
      <c r="B297" s="3029" t="s">
        <v>3230</v>
      </c>
      <c r="C297" s="3029" t="s">
        <v>3526</v>
      </c>
      <c r="D297" s="3030">
        <v>46.564799999999998</v>
      </c>
      <c r="E297" s="3029" t="s">
        <v>1377</v>
      </c>
      <c r="F297" s="3029"/>
      <c r="G297" s="3029"/>
    </row>
    <row r="298" spans="1:7">
      <c r="A298" s="3028">
        <v>297</v>
      </c>
      <c r="B298" s="3029" t="s">
        <v>3230</v>
      </c>
      <c r="C298" s="3029" t="s">
        <v>3527</v>
      </c>
      <c r="D298" s="3030">
        <v>46.564799999999998</v>
      </c>
      <c r="E298" s="3029" t="s">
        <v>1377</v>
      </c>
      <c r="F298" s="3029"/>
      <c r="G298" s="3029"/>
    </row>
    <row r="299" spans="1:7">
      <c r="A299" s="3028">
        <v>298</v>
      </c>
      <c r="B299" s="3029" t="s">
        <v>3230</v>
      </c>
      <c r="C299" s="3029" t="s">
        <v>3528</v>
      </c>
      <c r="D299" s="3030">
        <v>46.564799999999998</v>
      </c>
      <c r="E299" s="3029" t="s">
        <v>1377</v>
      </c>
      <c r="F299" s="3029"/>
      <c r="G299" s="3029"/>
    </row>
    <row r="300" spans="1:7">
      <c r="A300" s="3028">
        <v>299</v>
      </c>
      <c r="B300" s="3029" t="s">
        <v>3230</v>
      </c>
      <c r="C300" s="3029" t="s">
        <v>3529</v>
      </c>
      <c r="D300" s="3030">
        <v>46.200699999999998</v>
      </c>
      <c r="E300" s="3029" t="s">
        <v>1377</v>
      </c>
      <c r="F300" s="3029"/>
      <c r="G300" s="3029"/>
    </row>
    <row r="301" spans="1:7">
      <c r="A301" s="3028">
        <v>300</v>
      </c>
      <c r="B301" s="3029" t="s">
        <v>3230</v>
      </c>
      <c r="C301" s="3029" t="s">
        <v>3530</v>
      </c>
      <c r="D301" s="3030">
        <v>46.200699999999998</v>
      </c>
      <c r="E301" s="3029" t="s">
        <v>1377</v>
      </c>
      <c r="F301" s="3029"/>
      <c r="G301" s="3029"/>
    </row>
    <row r="302" spans="1:7">
      <c r="A302" s="3028">
        <v>301</v>
      </c>
      <c r="B302" s="3029" t="s">
        <v>3230</v>
      </c>
      <c r="C302" s="3029" t="s">
        <v>3531</v>
      </c>
      <c r="D302" s="3030">
        <v>46.564799999999998</v>
      </c>
      <c r="E302" s="3029" t="s">
        <v>1377</v>
      </c>
      <c r="F302" s="3029"/>
      <c r="G302" s="3029"/>
    </row>
    <row r="303" spans="1:7">
      <c r="A303" s="3028">
        <v>302</v>
      </c>
      <c r="B303" s="3029" t="s">
        <v>3230</v>
      </c>
      <c r="C303" s="3029" t="s">
        <v>3532</v>
      </c>
      <c r="D303" s="3030">
        <v>46.291699999999999</v>
      </c>
      <c r="E303" s="3029" t="s">
        <v>1377</v>
      </c>
      <c r="F303" s="3029"/>
      <c r="G303" s="3029"/>
    </row>
    <row r="304" spans="1:7">
      <c r="A304" s="3028">
        <v>303</v>
      </c>
      <c r="B304" s="3029" t="s">
        <v>3230</v>
      </c>
      <c r="C304" s="3029" t="s">
        <v>3533</v>
      </c>
      <c r="D304" s="3030">
        <v>46.291699999999999</v>
      </c>
      <c r="E304" s="3029" t="s">
        <v>1377</v>
      </c>
      <c r="F304" s="3029"/>
      <c r="G304" s="3029"/>
    </row>
    <row r="305" spans="1:7">
      <c r="A305" s="3028">
        <v>304</v>
      </c>
      <c r="B305" s="3029" t="s">
        <v>3230</v>
      </c>
      <c r="C305" s="3029" t="s">
        <v>3534</v>
      </c>
      <c r="D305" s="3030">
        <v>46.291699999999999</v>
      </c>
      <c r="E305" s="3029" t="s">
        <v>1377</v>
      </c>
      <c r="F305" s="3029"/>
      <c r="G305" s="3029"/>
    </row>
    <row r="306" spans="1:7">
      <c r="A306" s="3028">
        <v>305</v>
      </c>
      <c r="B306" s="3029" t="s">
        <v>3230</v>
      </c>
      <c r="C306" s="3029" t="s">
        <v>3535</v>
      </c>
      <c r="D306" s="3030">
        <v>46.291699999999999</v>
      </c>
      <c r="E306" s="3029" t="s">
        <v>1377</v>
      </c>
      <c r="F306" s="3029"/>
      <c r="G306" s="3029"/>
    </row>
    <row r="307" spans="1:7">
      <c r="A307" s="3028">
        <v>306</v>
      </c>
      <c r="B307" s="3029" t="s">
        <v>3230</v>
      </c>
      <c r="C307" s="3029" t="s">
        <v>3536</v>
      </c>
      <c r="D307" s="3030">
        <v>46.564799999999998</v>
      </c>
      <c r="E307" s="3029" t="s">
        <v>1377</v>
      </c>
      <c r="F307" s="3029"/>
      <c r="G307" s="3029"/>
    </row>
    <row r="308" spans="1:7">
      <c r="A308" s="3028">
        <v>307</v>
      </c>
      <c r="B308" s="3029" t="s">
        <v>3230</v>
      </c>
      <c r="C308" s="3029" t="s">
        <v>3537</v>
      </c>
      <c r="D308" s="3030">
        <v>46.564799999999998</v>
      </c>
      <c r="E308" s="3029" t="s">
        <v>1377</v>
      </c>
      <c r="F308" s="3029"/>
      <c r="G308" s="3029"/>
    </row>
    <row r="309" spans="1:7">
      <c r="A309" s="3028">
        <v>308</v>
      </c>
      <c r="B309" s="3029" t="s">
        <v>3230</v>
      </c>
      <c r="C309" s="3029" t="s">
        <v>3538</v>
      </c>
      <c r="D309" s="3030">
        <v>46.291699999999999</v>
      </c>
      <c r="E309" s="3029" t="s">
        <v>1377</v>
      </c>
      <c r="F309" s="3029"/>
      <c r="G309" s="3029"/>
    </row>
    <row r="310" spans="1:7">
      <c r="A310" s="3028">
        <v>309</v>
      </c>
      <c r="B310" s="3029" t="s">
        <v>3230</v>
      </c>
      <c r="C310" s="3029" t="s">
        <v>3539</v>
      </c>
      <c r="D310" s="3030">
        <v>46.291699999999999</v>
      </c>
      <c r="E310" s="3029" t="s">
        <v>1377</v>
      </c>
      <c r="F310" s="3029"/>
      <c r="G310" s="3029"/>
    </row>
    <row r="311" spans="1:7">
      <c r="A311" s="3028">
        <v>310</v>
      </c>
      <c r="B311" s="3029" t="s">
        <v>3230</v>
      </c>
      <c r="C311" s="3029" t="s">
        <v>3540</v>
      </c>
      <c r="D311" s="3030">
        <v>46.564799999999998</v>
      </c>
      <c r="E311" s="3029" t="s">
        <v>1377</v>
      </c>
      <c r="F311" s="3029"/>
      <c r="G311" s="3029"/>
    </row>
    <row r="312" spans="1:7">
      <c r="A312" s="3028">
        <v>311</v>
      </c>
      <c r="B312" s="3029" t="s">
        <v>3230</v>
      </c>
      <c r="C312" s="3029" t="s">
        <v>3541</v>
      </c>
      <c r="D312" s="3030">
        <v>46.564799999999998</v>
      </c>
      <c r="E312" s="3029" t="s">
        <v>1377</v>
      </c>
      <c r="F312" s="3029"/>
      <c r="G312" s="3029"/>
    </row>
    <row r="313" spans="1:7">
      <c r="A313" s="3028">
        <v>312</v>
      </c>
      <c r="B313" s="3029" t="s">
        <v>3230</v>
      </c>
      <c r="C313" s="3029" t="s">
        <v>3542</v>
      </c>
      <c r="D313" s="3030">
        <v>46.291699999999999</v>
      </c>
      <c r="E313" s="3029" t="s">
        <v>1377</v>
      </c>
      <c r="F313" s="3029"/>
      <c r="G313" s="3029"/>
    </row>
    <row r="314" spans="1:7">
      <c r="A314" s="3028">
        <v>313</v>
      </c>
      <c r="B314" s="3029" t="s">
        <v>3230</v>
      </c>
      <c r="C314" s="3029" t="s">
        <v>3543</v>
      </c>
      <c r="D314" s="3030">
        <v>46.291699999999999</v>
      </c>
      <c r="E314" s="3029" t="s">
        <v>1377</v>
      </c>
      <c r="F314" s="3029"/>
      <c r="G314" s="3029"/>
    </row>
    <row r="315" spans="1:7">
      <c r="A315" s="3028">
        <v>314</v>
      </c>
      <c r="B315" s="3029" t="s">
        <v>3230</v>
      </c>
      <c r="C315" s="3029" t="s">
        <v>3544</v>
      </c>
      <c r="D315" s="3030">
        <v>46.564799999999998</v>
      </c>
      <c r="E315" s="3029" t="s">
        <v>1377</v>
      </c>
      <c r="F315" s="3029"/>
      <c r="G315" s="3029"/>
    </row>
    <row r="316" spans="1:7">
      <c r="A316" s="3028">
        <v>315</v>
      </c>
      <c r="B316" s="3029" t="s">
        <v>3230</v>
      </c>
      <c r="C316" s="3029" t="s">
        <v>3545</v>
      </c>
      <c r="D316" s="3030">
        <v>46.564799999999998</v>
      </c>
      <c r="E316" s="3029" t="s">
        <v>1377</v>
      </c>
      <c r="F316" s="3029"/>
      <c r="G316" s="3029"/>
    </row>
    <row r="317" spans="1:7">
      <c r="A317" s="3028">
        <v>316</v>
      </c>
      <c r="B317" s="3029" t="s">
        <v>3230</v>
      </c>
      <c r="C317" s="3029" t="s">
        <v>3546</v>
      </c>
      <c r="D317" s="3030">
        <v>46.564799999999998</v>
      </c>
      <c r="E317" s="3029" t="s">
        <v>1377</v>
      </c>
      <c r="F317" s="3029"/>
      <c r="G317" s="3029"/>
    </row>
    <row r="318" spans="1:7">
      <c r="A318" s="3028">
        <v>317</v>
      </c>
      <c r="B318" s="3029" t="s">
        <v>3230</v>
      </c>
      <c r="C318" s="3029" t="s">
        <v>3547</v>
      </c>
      <c r="D318" s="3030">
        <v>46.564799999999998</v>
      </c>
      <c r="E318" s="3029" t="s">
        <v>1377</v>
      </c>
      <c r="F318" s="3029"/>
      <c r="G318" s="3029"/>
    </row>
    <row r="319" spans="1:7">
      <c r="A319" s="3028">
        <v>318</v>
      </c>
      <c r="B319" s="3029" t="s">
        <v>3230</v>
      </c>
      <c r="C319" s="3029" t="s">
        <v>3548</v>
      </c>
      <c r="D319" s="3030">
        <v>46.291699999999999</v>
      </c>
      <c r="E319" s="3029" t="s">
        <v>1377</v>
      </c>
      <c r="F319" s="3029"/>
      <c r="G319" s="3029"/>
    </row>
    <row r="320" spans="1:7">
      <c r="A320" s="3028">
        <v>319</v>
      </c>
      <c r="B320" s="3029" t="s">
        <v>3230</v>
      </c>
      <c r="C320" s="3029" t="s">
        <v>3549</v>
      </c>
      <c r="D320" s="3030">
        <v>46.291699999999999</v>
      </c>
      <c r="E320" s="3029" t="s">
        <v>1377</v>
      </c>
      <c r="F320" s="3029"/>
      <c r="G320" s="3029"/>
    </row>
    <row r="321" spans="1:7">
      <c r="A321" s="3028">
        <v>320</v>
      </c>
      <c r="B321" s="3029" t="s">
        <v>3230</v>
      </c>
      <c r="C321" s="3029" t="s">
        <v>3550</v>
      </c>
      <c r="D321" s="3030">
        <v>51.785699999999999</v>
      </c>
      <c r="E321" s="3029" t="s">
        <v>1377</v>
      </c>
      <c r="F321" s="3029"/>
      <c r="G321" s="3029"/>
    </row>
    <row r="322" spans="1:7">
      <c r="A322" s="3028">
        <v>321</v>
      </c>
      <c r="B322" s="3029" t="s">
        <v>3230</v>
      </c>
      <c r="C322" s="3029" t="s">
        <v>3551</v>
      </c>
      <c r="D322" s="3030">
        <v>51.785699999999999</v>
      </c>
      <c r="E322" s="3029" t="s">
        <v>1377</v>
      </c>
      <c r="F322" s="3029"/>
      <c r="G322" s="3029"/>
    </row>
    <row r="323" spans="1:7">
      <c r="A323" s="3028">
        <v>322</v>
      </c>
      <c r="B323" s="3029" t="s">
        <v>3230</v>
      </c>
      <c r="C323" s="3029" t="s">
        <v>3552</v>
      </c>
      <c r="D323" s="3030">
        <v>51.785699999999999</v>
      </c>
      <c r="E323" s="3029" t="s">
        <v>1377</v>
      </c>
      <c r="F323" s="3029"/>
      <c r="G323" s="3029"/>
    </row>
    <row r="324" spans="1:7">
      <c r="A324" s="3028">
        <v>323</v>
      </c>
      <c r="B324" s="3029" t="s">
        <v>3230</v>
      </c>
      <c r="C324" s="3029" t="s">
        <v>3553</v>
      </c>
      <c r="D324" s="3030">
        <v>50.515799999999999</v>
      </c>
      <c r="E324" s="3029" t="s">
        <v>1377</v>
      </c>
      <c r="F324" s="3029"/>
      <c r="G324" s="3029"/>
    </row>
    <row r="325" spans="1:7">
      <c r="A325" s="3028">
        <v>324</v>
      </c>
      <c r="B325" s="3029" t="s">
        <v>3230</v>
      </c>
      <c r="C325" s="3029" t="s">
        <v>3554</v>
      </c>
      <c r="D325" s="3030">
        <v>51.785699999999999</v>
      </c>
      <c r="E325" s="3029" t="s">
        <v>1377</v>
      </c>
      <c r="F325" s="3029"/>
      <c r="G325" s="3029"/>
    </row>
    <row r="326" spans="1:7">
      <c r="A326" s="3028">
        <v>325</v>
      </c>
      <c r="B326" s="3029" t="s">
        <v>3230</v>
      </c>
      <c r="C326" s="3029" t="s">
        <v>3555</v>
      </c>
      <c r="D326" s="3030">
        <v>46.564799999999998</v>
      </c>
      <c r="E326" s="3029" t="s">
        <v>1377</v>
      </c>
      <c r="F326" s="3029"/>
      <c r="G326" s="3029"/>
    </row>
    <row r="327" spans="1:7">
      <c r="A327" s="3028">
        <v>326</v>
      </c>
      <c r="B327" s="3029" t="s">
        <v>3230</v>
      </c>
      <c r="C327" s="3029" t="s">
        <v>3556</v>
      </c>
      <c r="D327" s="3030">
        <v>46.564799999999998</v>
      </c>
      <c r="E327" s="3029" t="s">
        <v>1377</v>
      </c>
      <c r="F327" s="3029"/>
      <c r="G327" s="3029"/>
    </row>
    <row r="328" spans="1:7">
      <c r="A328" s="3028">
        <v>327</v>
      </c>
      <c r="B328" s="3029" t="s">
        <v>3230</v>
      </c>
      <c r="C328" s="3029" t="s">
        <v>3557</v>
      </c>
      <c r="D328" s="3030">
        <v>46.564799999999998</v>
      </c>
      <c r="E328" s="3029" t="s">
        <v>1377</v>
      </c>
      <c r="F328" s="3029"/>
      <c r="G328" s="3029"/>
    </row>
    <row r="329" spans="1:7">
      <c r="A329" s="3028">
        <v>328</v>
      </c>
      <c r="B329" s="3029" t="s">
        <v>3230</v>
      </c>
      <c r="C329" s="3029" t="s">
        <v>3558</v>
      </c>
      <c r="D329" s="3030">
        <v>46.564799999999998</v>
      </c>
      <c r="E329" s="3029" t="s">
        <v>1377</v>
      </c>
      <c r="F329" s="3029"/>
      <c r="G329" s="3029"/>
    </row>
    <row r="330" spans="1:7">
      <c r="A330" s="3028">
        <v>329</v>
      </c>
      <c r="B330" s="3029" t="s">
        <v>3230</v>
      </c>
      <c r="C330" s="3029" t="s">
        <v>3559</v>
      </c>
      <c r="D330" s="3030">
        <v>46.564799999999998</v>
      </c>
      <c r="E330" s="3029" t="s">
        <v>1377</v>
      </c>
      <c r="F330" s="3029"/>
      <c r="G330" s="3029"/>
    </row>
    <row r="331" spans="1:7">
      <c r="A331" s="3028">
        <v>330</v>
      </c>
      <c r="B331" s="3029" t="s">
        <v>3230</v>
      </c>
      <c r="C331" s="3029" t="s">
        <v>3560</v>
      </c>
      <c r="D331" s="3030">
        <v>46.564799999999998</v>
      </c>
      <c r="E331" s="3029" t="s">
        <v>1377</v>
      </c>
      <c r="F331" s="3029"/>
      <c r="G331" s="3029"/>
    </row>
    <row r="332" spans="1:7">
      <c r="A332" s="3028">
        <v>331</v>
      </c>
      <c r="B332" s="3029" t="s">
        <v>3230</v>
      </c>
      <c r="C332" s="3029" t="s">
        <v>3561</v>
      </c>
      <c r="D332" s="3030">
        <v>46.564799999999998</v>
      </c>
      <c r="E332" s="3029" t="s">
        <v>1377</v>
      </c>
      <c r="F332" s="3029"/>
      <c r="G332" s="3029"/>
    </row>
    <row r="333" spans="1:7">
      <c r="A333" s="3028">
        <v>332</v>
      </c>
      <c r="B333" s="3029" t="s">
        <v>3230</v>
      </c>
      <c r="C333" s="3029" t="s">
        <v>3562</v>
      </c>
      <c r="D333" s="3030">
        <v>47.547199999999997</v>
      </c>
      <c r="E333" s="3029" t="s">
        <v>1377</v>
      </c>
      <c r="F333" s="3029"/>
      <c r="G333" s="3029"/>
    </row>
    <row r="334" spans="1:7">
      <c r="A334" s="3028">
        <v>333</v>
      </c>
      <c r="B334" s="3029" t="s">
        <v>3230</v>
      </c>
      <c r="C334" s="3029" t="s">
        <v>3563</v>
      </c>
      <c r="D334" s="3030">
        <v>46.253799999999998</v>
      </c>
      <c r="E334" s="3029" t="s">
        <v>1377</v>
      </c>
      <c r="F334" s="3029"/>
      <c r="G334" s="3029"/>
    </row>
    <row r="335" spans="1:7">
      <c r="A335" s="3028">
        <v>334</v>
      </c>
      <c r="B335" s="3029" t="s">
        <v>3230</v>
      </c>
      <c r="C335" s="3029" t="s">
        <v>3564</v>
      </c>
      <c r="D335" s="3030">
        <v>46.564799999999998</v>
      </c>
      <c r="E335" s="3029" t="s">
        <v>1377</v>
      </c>
      <c r="F335" s="3029"/>
      <c r="G335" s="3029"/>
    </row>
    <row r="336" spans="1:7">
      <c r="A336" s="3028">
        <v>335</v>
      </c>
      <c r="B336" s="3029" t="s">
        <v>3230</v>
      </c>
      <c r="C336" s="3029" t="s">
        <v>3565</v>
      </c>
      <c r="D336" s="3030">
        <v>46.564799999999998</v>
      </c>
      <c r="E336" s="3029" t="s">
        <v>1377</v>
      </c>
      <c r="F336" s="3029"/>
      <c r="G336" s="3029"/>
    </row>
    <row r="337" spans="1:7">
      <c r="A337" s="3028">
        <v>336</v>
      </c>
      <c r="B337" s="3029" t="s">
        <v>3230</v>
      </c>
      <c r="C337" s="3029" t="s">
        <v>3566</v>
      </c>
      <c r="D337" s="3030">
        <v>46.564799999999998</v>
      </c>
      <c r="E337" s="3029" t="s">
        <v>1377</v>
      </c>
      <c r="F337" s="3029"/>
      <c r="G337" s="3029"/>
    </row>
    <row r="338" spans="1:7">
      <c r="A338" s="3028">
        <v>337</v>
      </c>
      <c r="B338" s="3029" t="s">
        <v>3230</v>
      </c>
      <c r="C338" s="3029" t="s">
        <v>3567</v>
      </c>
      <c r="D338" s="3030">
        <v>46.564799999999998</v>
      </c>
      <c r="E338" s="3029" t="s">
        <v>1377</v>
      </c>
      <c r="F338" s="3029"/>
      <c r="G338" s="3029"/>
    </row>
    <row r="339" spans="1:7">
      <c r="A339" s="3028">
        <v>338</v>
      </c>
      <c r="B339" s="3029" t="s">
        <v>3230</v>
      </c>
      <c r="C339" s="3029" t="s">
        <v>3568</v>
      </c>
      <c r="D339" s="3030">
        <v>46.200699999999998</v>
      </c>
      <c r="E339" s="3029" t="s">
        <v>1377</v>
      </c>
      <c r="F339" s="3029"/>
      <c r="G339" s="3029"/>
    </row>
    <row r="340" spans="1:7">
      <c r="A340" s="3028">
        <v>339</v>
      </c>
      <c r="B340" s="3029" t="s">
        <v>3230</v>
      </c>
      <c r="C340" s="3029" t="s">
        <v>3569</v>
      </c>
      <c r="D340" s="3030">
        <v>46.200699999999998</v>
      </c>
      <c r="E340" s="3029" t="s">
        <v>1377</v>
      </c>
      <c r="F340" s="3029"/>
      <c r="G340" s="3029"/>
    </row>
    <row r="341" spans="1:7">
      <c r="A341" s="3028">
        <v>340</v>
      </c>
      <c r="B341" s="3029" t="s">
        <v>3230</v>
      </c>
      <c r="C341" s="3029" t="s">
        <v>3570</v>
      </c>
      <c r="D341" s="3030">
        <v>46.564799999999998</v>
      </c>
      <c r="E341" s="3029" t="s">
        <v>1377</v>
      </c>
      <c r="F341" s="3029"/>
      <c r="G341" s="3029"/>
    </row>
    <row r="342" spans="1:7">
      <c r="A342" s="3028">
        <v>341</v>
      </c>
      <c r="B342" s="3029" t="s">
        <v>3230</v>
      </c>
      <c r="C342" s="3029" t="s">
        <v>3571</v>
      </c>
      <c r="D342" s="3030">
        <v>46.291699999999999</v>
      </c>
      <c r="E342" s="3029" t="s">
        <v>1377</v>
      </c>
      <c r="F342" s="3029"/>
      <c r="G342" s="3029"/>
    </row>
    <row r="343" spans="1:7">
      <c r="A343" s="3028">
        <v>342</v>
      </c>
      <c r="B343" s="3029" t="s">
        <v>3230</v>
      </c>
      <c r="C343" s="3029" t="s">
        <v>3572</v>
      </c>
      <c r="D343" s="3030">
        <v>46.291699999999999</v>
      </c>
      <c r="E343" s="3029" t="s">
        <v>1377</v>
      </c>
      <c r="F343" s="3029"/>
      <c r="G343" s="3029"/>
    </row>
    <row r="344" spans="1:7">
      <c r="A344" s="3028">
        <v>343</v>
      </c>
      <c r="B344" s="3029" t="s">
        <v>3230</v>
      </c>
      <c r="C344" s="3029" t="s">
        <v>3573</v>
      </c>
      <c r="D344" s="3030">
        <v>46.291699999999999</v>
      </c>
      <c r="E344" s="3029" t="s">
        <v>1377</v>
      </c>
      <c r="F344" s="3029"/>
      <c r="G344" s="3029"/>
    </row>
    <row r="345" spans="1:7">
      <c r="A345" s="3028">
        <v>344</v>
      </c>
      <c r="B345" s="3029" t="s">
        <v>3230</v>
      </c>
      <c r="C345" s="3029" t="s">
        <v>3574</v>
      </c>
      <c r="D345" s="3030">
        <v>46.291699999999999</v>
      </c>
      <c r="E345" s="3029" t="s">
        <v>1377</v>
      </c>
      <c r="F345" s="3029"/>
      <c r="G345" s="3029"/>
    </row>
    <row r="346" spans="1:7">
      <c r="A346" s="3028">
        <v>345</v>
      </c>
      <c r="B346" s="3029" t="s">
        <v>3230</v>
      </c>
      <c r="C346" s="3029" t="s">
        <v>3575</v>
      </c>
      <c r="D346" s="3030">
        <v>46.564799999999998</v>
      </c>
      <c r="E346" s="3029" t="s">
        <v>1377</v>
      </c>
      <c r="F346" s="3029"/>
      <c r="G346" s="3029"/>
    </row>
    <row r="347" spans="1:7">
      <c r="A347" s="3028">
        <v>346</v>
      </c>
      <c r="B347" s="3029" t="s">
        <v>3230</v>
      </c>
      <c r="C347" s="3029" t="s">
        <v>3576</v>
      </c>
      <c r="D347" s="3030">
        <v>46.564799999999998</v>
      </c>
      <c r="E347" s="3029" t="s">
        <v>1377</v>
      </c>
      <c r="F347" s="3029"/>
      <c r="G347" s="3029"/>
    </row>
    <row r="348" spans="1:7">
      <c r="A348" s="3028">
        <v>347</v>
      </c>
      <c r="B348" s="3029" t="s">
        <v>3230</v>
      </c>
      <c r="C348" s="3029" t="s">
        <v>3577</v>
      </c>
      <c r="D348" s="3030">
        <v>46.291699999999999</v>
      </c>
      <c r="E348" s="3029" t="s">
        <v>1377</v>
      </c>
      <c r="F348" s="3029"/>
      <c r="G348" s="3029"/>
    </row>
    <row r="349" spans="1:7">
      <c r="A349" s="3028">
        <v>348</v>
      </c>
      <c r="B349" s="3029" t="s">
        <v>3230</v>
      </c>
      <c r="C349" s="3029" t="s">
        <v>3578</v>
      </c>
      <c r="D349" s="3030">
        <v>46.291699999999999</v>
      </c>
      <c r="E349" s="3029" t="s">
        <v>1377</v>
      </c>
      <c r="F349" s="3029"/>
      <c r="G349" s="3029"/>
    </row>
    <row r="350" spans="1:7">
      <c r="A350" s="3028">
        <v>349</v>
      </c>
      <c r="B350" s="3029" t="s">
        <v>3230</v>
      </c>
      <c r="C350" s="3029" t="s">
        <v>3579</v>
      </c>
      <c r="D350" s="3030">
        <v>46.564799999999998</v>
      </c>
      <c r="E350" s="3029" t="s">
        <v>1377</v>
      </c>
      <c r="F350" s="3029"/>
      <c r="G350" s="3029"/>
    </row>
    <row r="351" spans="1:7">
      <c r="A351" s="3028">
        <v>350</v>
      </c>
      <c r="B351" s="3029" t="s">
        <v>3230</v>
      </c>
      <c r="C351" s="3029" t="s">
        <v>3580</v>
      </c>
      <c r="D351" s="3030">
        <v>46.564799999999998</v>
      </c>
      <c r="E351" s="3029" t="s">
        <v>1377</v>
      </c>
      <c r="F351" s="3029"/>
      <c r="G351" s="3029"/>
    </row>
    <row r="352" spans="1:7">
      <c r="A352" s="3028">
        <v>351</v>
      </c>
      <c r="B352" s="3029" t="s">
        <v>3230</v>
      </c>
      <c r="C352" s="3029" t="s">
        <v>3581</v>
      </c>
      <c r="D352" s="3030">
        <v>46.291699999999999</v>
      </c>
      <c r="E352" s="3029" t="s">
        <v>1377</v>
      </c>
      <c r="F352" s="3029"/>
      <c r="G352" s="3029"/>
    </row>
    <row r="353" spans="1:7">
      <c r="A353" s="3028">
        <v>352</v>
      </c>
      <c r="B353" s="3029" t="s">
        <v>3230</v>
      </c>
      <c r="C353" s="3029" t="s">
        <v>3582</v>
      </c>
      <c r="D353" s="3030">
        <v>46.291699999999999</v>
      </c>
      <c r="E353" s="3029" t="s">
        <v>1377</v>
      </c>
      <c r="F353" s="3029"/>
      <c r="G353" s="3029"/>
    </row>
    <row r="354" spans="1:7">
      <c r="A354" s="3028">
        <v>353</v>
      </c>
      <c r="B354" s="3029" t="s">
        <v>3230</v>
      </c>
      <c r="C354" s="3029" t="s">
        <v>3583</v>
      </c>
      <c r="D354" s="3030">
        <v>46.564799999999998</v>
      </c>
      <c r="E354" s="3029" t="s">
        <v>1377</v>
      </c>
      <c r="F354" s="3029"/>
      <c r="G354" s="3029"/>
    </row>
    <row r="355" spans="1:7">
      <c r="A355" s="3028">
        <v>354</v>
      </c>
      <c r="B355" s="3029" t="s">
        <v>3230</v>
      </c>
      <c r="C355" s="3029" t="s">
        <v>3584</v>
      </c>
      <c r="D355" s="3030">
        <v>46.564799999999998</v>
      </c>
      <c r="E355" s="3029" t="s">
        <v>1377</v>
      </c>
      <c r="F355" s="3029"/>
      <c r="G355" s="3029"/>
    </row>
    <row r="356" spans="1:7">
      <c r="A356" s="3028">
        <v>355</v>
      </c>
      <c r="B356" s="3029" t="s">
        <v>3230</v>
      </c>
      <c r="C356" s="3029" t="s">
        <v>3585</v>
      </c>
      <c r="D356" s="3030">
        <v>46.564799999999998</v>
      </c>
      <c r="E356" s="3029" t="s">
        <v>1377</v>
      </c>
      <c r="F356" s="3029"/>
      <c r="G356" s="3029"/>
    </row>
    <row r="357" spans="1:7">
      <c r="A357" s="3028">
        <v>356</v>
      </c>
      <c r="B357" s="3029" t="s">
        <v>3230</v>
      </c>
      <c r="C357" s="3029" t="s">
        <v>3586</v>
      </c>
      <c r="D357" s="3030">
        <v>46.564799999999998</v>
      </c>
      <c r="E357" s="3029" t="s">
        <v>1377</v>
      </c>
      <c r="F357" s="3029"/>
      <c r="G357" s="3029"/>
    </row>
    <row r="358" spans="1:7">
      <c r="A358" s="3028">
        <v>357</v>
      </c>
      <c r="B358" s="3029" t="s">
        <v>3230</v>
      </c>
      <c r="C358" s="3029" t="s">
        <v>3587</v>
      </c>
      <c r="D358" s="3030">
        <v>46.291699999999999</v>
      </c>
      <c r="E358" s="3029" t="s">
        <v>1377</v>
      </c>
      <c r="F358" s="3029"/>
      <c r="G358" s="3029"/>
    </row>
    <row r="359" spans="1:7">
      <c r="A359" s="3028">
        <v>358</v>
      </c>
      <c r="B359" s="3029" t="s">
        <v>3230</v>
      </c>
      <c r="C359" s="3029" t="s">
        <v>3588</v>
      </c>
      <c r="D359" s="3030">
        <v>46.291699999999999</v>
      </c>
      <c r="E359" s="3029" t="s">
        <v>1377</v>
      </c>
      <c r="F359" s="3029"/>
      <c r="G359" s="3029"/>
    </row>
    <row r="360" spans="1:7">
      <c r="A360" s="3028">
        <v>359</v>
      </c>
      <c r="B360" s="3029" t="s">
        <v>3230</v>
      </c>
      <c r="C360" s="3029" t="s">
        <v>3589</v>
      </c>
      <c r="D360" s="3030">
        <v>51.785699999999999</v>
      </c>
      <c r="E360" s="3029" t="s">
        <v>1377</v>
      </c>
      <c r="F360" s="3029"/>
      <c r="G360" s="3029"/>
    </row>
    <row r="361" spans="1:7">
      <c r="A361" s="3028">
        <v>360</v>
      </c>
      <c r="B361" s="3029" t="s">
        <v>3230</v>
      </c>
      <c r="C361" s="3029" t="s">
        <v>3590</v>
      </c>
      <c r="D361" s="3030">
        <v>51.785699999999999</v>
      </c>
      <c r="E361" s="3029" t="s">
        <v>1377</v>
      </c>
      <c r="F361" s="3029"/>
      <c r="G361" s="3029"/>
    </row>
    <row r="362" spans="1:7">
      <c r="A362" s="3028">
        <v>361</v>
      </c>
      <c r="B362" s="3029" t="s">
        <v>3230</v>
      </c>
      <c r="C362" s="3029" t="s">
        <v>3591</v>
      </c>
      <c r="D362" s="3030">
        <v>51.785699999999999</v>
      </c>
      <c r="E362" s="3029" t="s">
        <v>1377</v>
      </c>
      <c r="F362" s="3029"/>
      <c r="G362" s="3029"/>
    </row>
    <row r="363" spans="1:7">
      <c r="A363" s="3028">
        <v>362</v>
      </c>
      <c r="B363" s="3029" t="s">
        <v>3230</v>
      </c>
      <c r="C363" s="3029" t="s">
        <v>3592</v>
      </c>
      <c r="D363" s="3030">
        <v>50.515799999999999</v>
      </c>
      <c r="E363" s="3029" t="s">
        <v>1377</v>
      </c>
      <c r="F363" s="3029"/>
      <c r="G363" s="3029"/>
    </row>
    <row r="364" spans="1:7">
      <c r="A364" s="3028">
        <v>363</v>
      </c>
      <c r="B364" s="3029" t="s">
        <v>3230</v>
      </c>
      <c r="C364" s="3029" t="s">
        <v>3593</v>
      </c>
      <c r="D364" s="3030">
        <v>51.785699999999999</v>
      </c>
      <c r="E364" s="3029" t="s">
        <v>1377</v>
      </c>
      <c r="F364" s="3029"/>
      <c r="G364" s="3029"/>
    </row>
    <row r="365" spans="1:7">
      <c r="A365" s="3028">
        <v>364</v>
      </c>
      <c r="B365" s="3029" t="s">
        <v>3230</v>
      </c>
      <c r="C365" s="3029" t="s">
        <v>3594</v>
      </c>
      <c r="D365" s="3030">
        <v>46.564799999999998</v>
      </c>
      <c r="E365" s="3029" t="s">
        <v>1377</v>
      </c>
      <c r="F365" s="3029"/>
      <c r="G365" s="3029"/>
    </row>
    <row r="366" spans="1:7">
      <c r="A366" s="3028">
        <v>365</v>
      </c>
      <c r="B366" s="3029" t="s">
        <v>3230</v>
      </c>
      <c r="C366" s="3029" t="s">
        <v>3595</v>
      </c>
      <c r="D366" s="3030">
        <v>46.564799999999998</v>
      </c>
      <c r="E366" s="3029" t="s">
        <v>1377</v>
      </c>
      <c r="F366" s="3029"/>
      <c r="G366" s="3029"/>
    </row>
    <row r="367" spans="1:7">
      <c r="A367" s="3028">
        <v>366</v>
      </c>
      <c r="B367" s="3029" t="s">
        <v>3230</v>
      </c>
      <c r="C367" s="3029" t="s">
        <v>3596</v>
      </c>
      <c r="D367" s="3030">
        <v>46.564799999999998</v>
      </c>
      <c r="E367" s="3029" t="s">
        <v>1377</v>
      </c>
      <c r="F367" s="3029"/>
      <c r="G367" s="3029"/>
    </row>
    <row r="368" spans="1:7">
      <c r="A368" s="3028">
        <v>367</v>
      </c>
      <c r="B368" s="3029" t="s">
        <v>3230</v>
      </c>
      <c r="C368" s="3029" t="s">
        <v>3597</v>
      </c>
      <c r="D368" s="3030">
        <v>46.564799999999998</v>
      </c>
      <c r="E368" s="3029" t="s">
        <v>1377</v>
      </c>
      <c r="F368" s="3029"/>
      <c r="G368" s="3029"/>
    </row>
    <row r="369" spans="1:7">
      <c r="A369" s="3028">
        <v>368</v>
      </c>
      <c r="B369" s="3029" t="s">
        <v>3230</v>
      </c>
      <c r="C369" s="3029" t="s">
        <v>3598</v>
      </c>
      <c r="D369" s="3030">
        <v>46.564799999999998</v>
      </c>
      <c r="E369" s="3029" t="s">
        <v>1377</v>
      </c>
      <c r="F369" s="3029"/>
      <c r="G369" s="3029"/>
    </row>
    <row r="370" spans="1:7">
      <c r="A370" s="3028">
        <v>369</v>
      </c>
      <c r="B370" s="3029" t="s">
        <v>3230</v>
      </c>
      <c r="C370" s="3029" t="s">
        <v>3599</v>
      </c>
      <c r="D370" s="3030">
        <v>46.564799999999998</v>
      </c>
      <c r="E370" s="3029" t="s">
        <v>1377</v>
      </c>
      <c r="F370" s="3029"/>
      <c r="G370" s="3029"/>
    </row>
    <row r="371" spans="1:7">
      <c r="A371" s="3028">
        <v>370</v>
      </c>
      <c r="B371" s="3029" t="s">
        <v>3230</v>
      </c>
      <c r="C371" s="3029" t="s">
        <v>3600</v>
      </c>
      <c r="D371" s="3030">
        <v>46.564799999999998</v>
      </c>
      <c r="E371" s="3029" t="s">
        <v>1377</v>
      </c>
      <c r="F371" s="3029"/>
      <c r="G371" s="3029"/>
    </row>
    <row r="372" spans="1:7">
      <c r="A372" s="3028">
        <v>371</v>
      </c>
      <c r="B372" s="3029" t="s">
        <v>3230</v>
      </c>
      <c r="C372" s="3029" t="s">
        <v>3601</v>
      </c>
      <c r="D372" s="3030">
        <v>47.547199999999997</v>
      </c>
      <c r="E372" s="3029" t="s">
        <v>1377</v>
      </c>
      <c r="F372" s="3029"/>
      <c r="G372" s="3029"/>
    </row>
    <row r="373" spans="1:7">
      <c r="A373" s="3028">
        <v>372</v>
      </c>
      <c r="B373" s="3029" t="s">
        <v>3230</v>
      </c>
      <c r="C373" s="3029" t="s">
        <v>3602</v>
      </c>
      <c r="D373" s="3030">
        <v>46.253799999999998</v>
      </c>
      <c r="E373" s="3029" t="s">
        <v>1377</v>
      </c>
      <c r="F373" s="3029"/>
      <c r="G373" s="3029"/>
    </row>
    <row r="374" spans="1:7">
      <c r="A374" s="3028">
        <v>373</v>
      </c>
      <c r="B374" s="3029" t="s">
        <v>3230</v>
      </c>
      <c r="C374" s="3029" t="s">
        <v>3603</v>
      </c>
      <c r="D374" s="3030">
        <v>46.564799999999998</v>
      </c>
      <c r="E374" s="3029" t="s">
        <v>1377</v>
      </c>
      <c r="F374" s="3029"/>
      <c r="G374" s="3029"/>
    </row>
    <row r="375" spans="1:7">
      <c r="A375" s="3028">
        <v>374</v>
      </c>
      <c r="B375" s="3029" t="s">
        <v>3230</v>
      </c>
      <c r="C375" s="3029" t="s">
        <v>3604</v>
      </c>
      <c r="D375" s="3030">
        <v>46.564799999999998</v>
      </c>
      <c r="E375" s="3029" t="s">
        <v>1377</v>
      </c>
      <c r="F375" s="3029"/>
      <c r="G375" s="3029"/>
    </row>
    <row r="376" spans="1:7">
      <c r="A376" s="3028">
        <v>375</v>
      </c>
      <c r="B376" s="3029" t="s">
        <v>3230</v>
      </c>
      <c r="C376" s="3029" t="s">
        <v>3605</v>
      </c>
      <c r="D376" s="3030">
        <v>46.564799999999998</v>
      </c>
      <c r="E376" s="3029" t="s">
        <v>1377</v>
      </c>
      <c r="F376" s="3029"/>
      <c r="G376" s="3029"/>
    </row>
    <row r="377" spans="1:7">
      <c r="A377" s="3028">
        <v>376</v>
      </c>
      <c r="B377" s="3029" t="s">
        <v>3230</v>
      </c>
      <c r="C377" s="3029" t="s">
        <v>3606</v>
      </c>
      <c r="D377" s="3030">
        <v>46.564799999999998</v>
      </c>
      <c r="E377" s="3029" t="s">
        <v>1377</v>
      </c>
      <c r="F377" s="3029"/>
      <c r="G377" s="3029"/>
    </row>
    <row r="378" spans="1:7">
      <c r="A378" s="3028">
        <v>377</v>
      </c>
      <c r="B378" s="3029" t="s">
        <v>3230</v>
      </c>
      <c r="C378" s="3029" t="s">
        <v>3607</v>
      </c>
      <c r="D378" s="3030">
        <v>46.200699999999998</v>
      </c>
      <c r="E378" s="3029" t="s">
        <v>1377</v>
      </c>
      <c r="F378" s="3029"/>
      <c r="G378" s="3029"/>
    </row>
    <row r="379" spans="1:7">
      <c r="A379" s="3028">
        <v>378</v>
      </c>
      <c r="B379" s="3029" t="s">
        <v>3230</v>
      </c>
      <c r="C379" s="3029" t="s">
        <v>3608</v>
      </c>
      <c r="D379" s="3030">
        <v>46.200699999999998</v>
      </c>
      <c r="E379" s="3029" t="s">
        <v>1377</v>
      </c>
      <c r="F379" s="3029"/>
      <c r="G379" s="3029"/>
    </row>
    <row r="380" spans="1:7">
      <c r="A380" s="3028">
        <v>379</v>
      </c>
      <c r="B380" s="3029" t="s">
        <v>3230</v>
      </c>
      <c r="C380" s="3029" t="s">
        <v>3609</v>
      </c>
      <c r="D380" s="3030">
        <v>46.564799999999998</v>
      </c>
      <c r="E380" s="3029" t="s">
        <v>1377</v>
      </c>
      <c r="F380" s="3029"/>
      <c r="G380" s="3029"/>
    </row>
    <row r="381" spans="1:7">
      <c r="A381" s="3028">
        <v>380</v>
      </c>
      <c r="B381" s="3029" t="s">
        <v>3230</v>
      </c>
      <c r="C381" s="3029" t="s">
        <v>3610</v>
      </c>
      <c r="D381" s="3030">
        <v>46.291699999999999</v>
      </c>
      <c r="E381" s="3029" t="s">
        <v>1377</v>
      </c>
      <c r="F381" s="3029"/>
      <c r="G381" s="3029"/>
    </row>
    <row r="382" spans="1:7">
      <c r="A382" s="3028">
        <v>381</v>
      </c>
      <c r="B382" s="3029" t="s">
        <v>3230</v>
      </c>
      <c r="C382" s="3029" t="s">
        <v>3611</v>
      </c>
      <c r="D382" s="3030">
        <v>46.291699999999999</v>
      </c>
      <c r="E382" s="3029" t="s">
        <v>1377</v>
      </c>
      <c r="F382" s="3029"/>
      <c r="G382" s="3029"/>
    </row>
    <row r="383" spans="1:7">
      <c r="A383" s="3028">
        <v>382</v>
      </c>
      <c r="B383" s="3029" t="s">
        <v>3230</v>
      </c>
      <c r="C383" s="3029" t="s">
        <v>3612</v>
      </c>
      <c r="D383" s="3030">
        <v>46.291699999999999</v>
      </c>
      <c r="E383" s="3029" t="s">
        <v>1377</v>
      </c>
      <c r="F383" s="3029"/>
      <c r="G383" s="3029"/>
    </row>
    <row r="384" spans="1:7">
      <c r="A384" s="3028">
        <v>383</v>
      </c>
      <c r="B384" s="3029" t="s">
        <v>3230</v>
      </c>
      <c r="C384" s="3029" t="s">
        <v>3613</v>
      </c>
      <c r="D384" s="3030">
        <v>46.291699999999999</v>
      </c>
      <c r="E384" s="3029" t="s">
        <v>1377</v>
      </c>
      <c r="F384" s="3029"/>
      <c r="G384" s="3029"/>
    </row>
    <row r="385" spans="1:7">
      <c r="A385" s="3028">
        <v>384</v>
      </c>
      <c r="B385" s="3029" t="s">
        <v>3230</v>
      </c>
      <c r="C385" s="3029" t="s">
        <v>3614</v>
      </c>
      <c r="D385" s="3030">
        <v>46.564799999999998</v>
      </c>
      <c r="E385" s="3029" t="s">
        <v>1377</v>
      </c>
      <c r="F385" s="3029"/>
      <c r="G385" s="3029"/>
    </row>
    <row r="386" spans="1:7">
      <c r="A386" s="3028">
        <v>385</v>
      </c>
      <c r="B386" s="3029" t="s">
        <v>3230</v>
      </c>
      <c r="C386" s="3029" t="s">
        <v>3615</v>
      </c>
      <c r="D386" s="3030">
        <v>46.564799999999998</v>
      </c>
      <c r="E386" s="3029" t="s">
        <v>1377</v>
      </c>
      <c r="F386" s="3029"/>
      <c r="G386" s="3029"/>
    </row>
    <row r="387" spans="1:7">
      <c r="A387" s="3028">
        <v>386</v>
      </c>
      <c r="B387" s="3029" t="s">
        <v>3230</v>
      </c>
      <c r="C387" s="3029" t="s">
        <v>3616</v>
      </c>
      <c r="D387" s="3030">
        <v>46.291699999999999</v>
      </c>
      <c r="E387" s="3029" t="s">
        <v>1377</v>
      </c>
      <c r="F387" s="3029"/>
      <c r="G387" s="3029"/>
    </row>
    <row r="388" spans="1:7">
      <c r="A388" s="3028">
        <v>387</v>
      </c>
      <c r="B388" s="3029" t="s">
        <v>3230</v>
      </c>
      <c r="C388" s="3029" t="s">
        <v>3617</v>
      </c>
      <c r="D388" s="3030">
        <v>46.291699999999999</v>
      </c>
      <c r="E388" s="3029" t="s">
        <v>1377</v>
      </c>
      <c r="F388" s="3029"/>
      <c r="G388" s="3029"/>
    </row>
    <row r="389" spans="1:7">
      <c r="A389" s="3028">
        <v>388</v>
      </c>
      <c r="B389" s="3029" t="s">
        <v>3230</v>
      </c>
      <c r="C389" s="3029" t="s">
        <v>3618</v>
      </c>
      <c r="D389" s="3030">
        <v>46.564799999999998</v>
      </c>
      <c r="E389" s="3029" t="s">
        <v>1377</v>
      </c>
      <c r="F389" s="3029"/>
      <c r="G389" s="3029"/>
    </row>
    <row r="390" spans="1:7">
      <c r="A390" s="3028">
        <v>389</v>
      </c>
      <c r="B390" s="3029" t="s">
        <v>3230</v>
      </c>
      <c r="C390" s="3029" t="s">
        <v>3619</v>
      </c>
      <c r="D390" s="3030">
        <v>46.564799999999998</v>
      </c>
      <c r="E390" s="3029" t="s">
        <v>1377</v>
      </c>
      <c r="F390" s="3029"/>
      <c r="G390" s="3029"/>
    </row>
    <row r="391" spans="1:7">
      <c r="A391" s="3028">
        <v>390</v>
      </c>
      <c r="B391" s="3029" t="s">
        <v>3230</v>
      </c>
      <c r="C391" s="3029" t="s">
        <v>3620</v>
      </c>
      <c r="D391" s="3030">
        <v>46.291699999999999</v>
      </c>
      <c r="E391" s="3029" t="s">
        <v>1377</v>
      </c>
      <c r="F391" s="3029"/>
      <c r="G391" s="3029"/>
    </row>
    <row r="392" spans="1:7">
      <c r="A392" s="3028">
        <v>391</v>
      </c>
      <c r="B392" s="3029" t="s">
        <v>3230</v>
      </c>
      <c r="C392" s="3029" t="s">
        <v>3621</v>
      </c>
      <c r="D392" s="3030">
        <v>46.291699999999999</v>
      </c>
      <c r="E392" s="3029" t="s">
        <v>1377</v>
      </c>
      <c r="F392" s="3029"/>
      <c r="G392" s="3029"/>
    </row>
    <row r="393" spans="1:7">
      <c r="A393" s="3028">
        <v>392</v>
      </c>
      <c r="B393" s="3029" t="s">
        <v>3230</v>
      </c>
      <c r="C393" s="3029" t="s">
        <v>3622</v>
      </c>
      <c r="D393" s="3030">
        <v>46.564799999999998</v>
      </c>
      <c r="E393" s="3029" t="s">
        <v>1377</v>
      </c>
      <c r="F393" s="3029"/>
      <c r="G393" s="3029"/>
    </row>
    <row r="394" spans="1:7">
      <c r="A394" s="3028">
        <v>393</v>
      </c>
      <c r="B394" s="3029" t="s">
        <v>3230</v>
      </c>
      <c r="C394" s="3029" t="s">
        <v>3623</v>
      </c>
      <c r="D394" s="3030">
        <v>46.564799999999998</v>
      </c>
      <c r="E394" s="3029" t="s">
        <v>1377</v>
      </c>
      <c r="F394" s="3029"/>
      <c r="G394" s="3029"/>
    </row>
    <row r="395" spans="1:7">
      <c r="A395" s="3028">
        <v>394</v>
      </c>
      <c r="B395" s="3029" t="s">
        <v>3230</v>
      </c>
      <c r="C395" s="3029" t="s">
        <v>3624</v>
      </c>
      <c r="D395" s="3030">
        <v>46.564799999999998</v>
      </c>
      <c r="E395" s="3029" t="s">
        <v>1377</v>
      </c>
      <c r="F395" s="3029"/>
      <c r="G395" s="3029"/>
    </row>
    <row r="396" spans="1:7">
      <c r="A396" s="3028">
        <v>395</v>
      </c>
      <c r="B396" s="3029" t="s">
        <v>3230</v>
      </c>
      <c r="C396" s="3029" t="s">
        <v>3625</v>
      </c>
      <c r="D396" s="3030">
        <v>46.564799999999998</v>
      </c>
      <c r="E396" s="3029" t="s">
        <v>1377</v>
      </c>
      <c r="F396" s="3029"/>
      <c r="G396" s="3029"/>
    </row>
    <row r="397" spans="1:7">
      <c r="A397" s="3028">
        <v>396</v>
      </c>
      <c r="B397" s="3029" t="s">
        <v>3230</v>
      </c>
      <c r="C397" s="3029" t="s">
        <v>3626</v>
      </c>
      <c r="D397" s="3030">
        <v>46.291699999999999</v>
      </c>
      <c r="E397" s="3029" t="s">
        <v>1377</v>
      </c>
      <c r="F397" s="3029"/>
      <c r="G397" s="3029"/>
    </row>
    <row r="398" spans="1:7">
      <c r="A398" s="3028">
        <v>397</v>
      </c>
      <c r="B398" s="3029" t="s">
        <v>3230</v>
      </c>
      <c r="C398" s="3029" t="s">
        <v>3627</v>
      </c>
      <c r="D398" s="3030">
        <v>46.291699999999999</v>
      </c>
      <c r="E398" s="3029" t="s">
        <v>1377</v>
      </c>
      <c r="F398" s="3029"/>
      <c r="G398" s="3029"/>
    </row>
    <row r="399" spans="1:7">
      <c r="A399" s="3028">
        <v>398</v>
      </c>
      <c r="B399" s="3029" t="s">
        <v>3230</v>
      </c>
      <c r="C399" s="3029" t="s">
        <v>3628</v>
      </c>
      <c r="D399" s="3030">
        <v>51.785699999999999</v>
      </c>
      <c r="E399" s="3029" t="s">
        <v>1377</v>
      </c>
      <c r="F399" s="3029"/>
      <c r="G399" s="3029"/>
    </row>
    <row r="400" spans="1:7">
      <c r="A400" s="3028">
        <v>399</v>
      </c>
      <c r="B400" s="3029" t="s">
        <v>3230</v>
      </c>
      <c r="C400" s="3029" t="s">
        <v>3629</v>
      </c>
      <c r="D400" s="3030">
        <v>51.785699999999999</v>
      </c>
      <c r="E400" s="3029" t="s">
        <v>1377</v>
      </c>
      <c r="F400" s="3029"/>
      <c r="G400" s="3029"/>
    </row>
    <row r="401" spans="1:7">
      <c r="A401" s="3028">
        <v>400</v>
      </c>
      <c r="B401" s="3029" t="s">
        <v>3230</v>
      </c>
      <c r="C401" s="3029" t="s">
        <v>3630</v>
      </c>
      <c r="D401" s="3030">
        <v>51.785699999999999</v>
      </c>
      <c r="E401" s="3029" t="s">
        <v>1377</v>
      </c>
      <c r="F401" s="3029"/>
      <c r="G401" s="3029"/>
    </row>
    <row r="402" spans="1:7">
      <c r="A402" s="3028">
        <v>401</v>
      </c>
      <c r="B402" s="3029" t="s">
        <v>3230</v>
      </c>
      <c r="C402" s="3029" t="s">
        <v>3631</v>
      </c>
      <c r="D402" s="3030">
        <v>50.515799999999999</v>
      </c>
      <c r="E402" s="3029" t="s">
        <v>1377</v>
      </c>
      <c r="F402" s="3029"/>
      <c r="G402" s="3029"/>
    </row>
    <row r="403" spans="1:7">
      <c r="A403" s="3028">
        <v>402</v>
      </c>
      <c r="B403" s="3029" t="s">
        <v>3230</v>
      </c>
      <c r="C403" s="3029" t="s">
        <v>3632</v>
      </c>
      <c r="D403" s="3030">
        <v>51.785699999999999</v>
      </c>
      <c r="E403" s="3029" t="s">
        <v>1377</v>
      </c>
      <c r="F403" s="3029"/>
      <c r="G403" s="3029"/>
    </row>
    <row r="404" spans="1:7">
      <c r="A404" s="3028">
        <v>403</v>
      </c>
      <c r="B404" s="3029" t="s">
        <v>3230</v>
      </c>
      <c r="C404" s="3029" t="s">
        <v>3633</v>
      </c>
      <c r="D404" s="3030">
        <v>46.564799999999998</v>
      </c>
      <c r="E404" s="3029" t="s">
        <v>1377</v>
      </c>
      <c r="F404" s="3029"/>
      <c r="G404" s="3029"/>
    </row>
    <row r="405" spans="1:7">
      <c r="A405" s="3028">
        <v>404</v>
      </c>
      <c r="B405" s="3029" t="s">
        <v>3230</v>
      </c>
      <c r="C405" s="3029" t="s">
        <v>3634</v>
      </c>
      <c r="D405" s="3030">
        <v>46.564799999999998</v>
      </c>
      <c r="E405" s="3029" t="s">
        <v>1377</v>
      </c>
      <c r="F405" s="3029"/>
      <c r="G405" s="3029"/>
    </row>
    <row r="406" spans="1:7">
      <c r="A406" s="3028">
        <v>405</v>
      </c>
      <c r="B406" s="3029" t="s">
        <v>3230</v>
      </c>
      <c r="C406" s="3029" t="s">
        <v>3635</v>
      </c>
      <c r="D406" s="3030">
        <v>46.564799999999998</v>
      </c>
      <c r="E406" s="3029" t="s">
        <v>1377</v>
      </c>
      <c r="F406" s="3029"/>
      <c r="G406" s="3029"/>
    </row>
    <row r="407" spans="1:7">
      <c r="A407" s="3028">
        <v>406</v>
      </c>
      <c r="B407" s="3029" t="s">
        <v>3230</v>
      </c>
      <c r="C407" s="3029" t="s">
        <v>3636</v>
      </c>
      <c r="D407" s="3030">
        <v>46.564799999999998</v>
      </c>
      <c r="E407" s="3029" t="s">
        <v>1377</v>
      </c>
      <c r="F407" s="3029"/>
      <c r="G407" s="3029"/>
    </row>
    <row r="408" spans="1:7">
      <c r="A408" s="3028">
        <v>407</v>
      </c>
      <c r="B408" s="3029" t="s">
        <v>3230</v>
      </c>
      <c r="C408" s="3029" t="s">
        <v>3637</v>
      </c>
      <c r="D408" s="3030">
        <v>46.564799999999998</v>
      </c>
      <c r="E408" s="3029" t="s">
        <v>1377</v>
      </c>
      <c r="F408" s="3029"/>
      <c r="G408" s="3029"/>
    </row>
    <row r="409" spans="1:7">
      <c r="A409" s="3028">
        <v>408</v>
      </c>
      <c r="B409" s="3029" t="s">
        <v>3230</v>
      </c>
      <c r="C409" s="3029" t="s">
        <v>3638</v>
      </c>
      <c r="D409" s="3030">
        <v>46.564799999999998</v>
      </c>
      <c r="E409" s="3029" t="s">
        <v>1377</v>
      </c>
      <c r="F409" s="3029"/>
      <c r="G409" s="3029"/>
    </row>
    <row r="410" spans="1:7">
      <c r="A410" s="3028">
        <v>409</v>
      </c>
      <c r="B410" s="3029" t="s">
        <v>3230</v>
      </c>
      <c r="C410" s="3029" t="s">
        <v>3639</v>
      </c>
      <c r="D410" s="3030">
        <v>46.564799999999998</v>
      </c>
      <c r="E410" s="3029" t="s">
        <v>1377</v>
      </c>
      <c r="F410" s="3029"/>
      <c r="G410" s="3029"/>
    </row>
    <row r="411" spans="1:7">
      <c r="A411" s="3028">
        <v>410</v>
      </c>
      <c r="B411" s="3029" t="s">
        <v>3230</v>
      </c>
      <c r="C411" s="3029" t="s">
        <v>3640</v>
      </c>
      <c r="D411" s="3030">
        <v>47.547199999999997</v>
      </c>
      <c r="E411" s="3029" t="s">
        <v>1377</v>
      </c>
      <c r="F411" s="3029"/>
      <c r="G411" s="3029"/>
    </row>
    <row r="412" spans="1:7">
      <c r="A412" s="3028">
        <v>411</v>
      </c>
      <c r="B412" s="3029" t="s">
        <v>3230</v>
      </c>
      <c r="C412" s="3029" t="s">
        <v>3641</v>
      </c>
      <c r="D412" s="3030">
        <v>46.253799999999998</v>
      </c>
      <c r="E412" s="3029" t="s">
        <v>1377</v>
      </c>
      <c r="F412" s="3029"/>
      <c r="G412" s="3029"/>
    </row>
    <row r="413" spans="1:7">
      <c r="A413" s="3028">
        <v>412</v>
      </c>
      <c r="B413" s="3029" t="s">
        <v>3230</v>
      </c>
      <c r="C413" s="3029" t="s">
        <v>3642</v>
      </c>
      <c r="D413" s="3030">
        <v>46.564799999999998</v>
      </c>
      <c r="E413" s="3029" t="s">
        <v>1377</v>
      </c>
      <c r="F413" s="3029"/>
      <c r="G413" s="3029"/>
    </row>
    <row r="414" spans="1:7">
      <c r="A414" s="3028">
        <v>413</v>
      </c>
      <c r="B414" s="3029" t="s">
        <v>3230</v>
      </c>
      <c r="C414" s="3029" t="s">
        <v>3643</v>
      </c>
      <c r="D414" s="3030">
        <v>46.564799999999998</v>
      </c>
      <c r="E414" s="3029" t="s">
        <v>1377</v>
      </c>
      <c r="F414" s="3029"/>
      <c r="G414" s="3029"/>
    </row>
    <row r="415" spans="1:7">
      <c r="A415" s="3028">
        <v>414</v>
      </c>
      <c r="B415" s="3029" t="s">
        <v>3230</v>
      </c>
      <c r="C415" s="3029" t="s">
        <v>3644</v>
      </c>
      <c r="D415" s="3030">
        <v>46.564799999999998</v>
      </c>
      <c r="E415" s="3029" t="s">
        <v>1377</v>
      </c>
      <c r="F415" s="3029"/>
      <c r="G415" s="3029"/>
    </row>
    <row r="416" spans="1:7">
      <c r="A416" s="3028">
        <v>415</v>
      </c>
      <c r="B416" s="3029" t="s">
        <v>3230</v>
      </c>
      <c r="C416" s="3029" t="s">
        <v>3645</v>
      </c>
      <c r="D416" s="3030">
        <v>46.564799999999998</v>
      </c>
      <c r="E416" s="3029" t="s">
        <v>1377</v>
      </c>
      <c r="F416" s="3029"/>
      <c r="G416" s="3029"/>
    </row>
    <row r="417" spans="1:7">
      <c r="A417" s="3028">
        <v>416</v>
      </c>
      <c r="B417" s="3029" t="s">
        <v>3230</v>
      </c>
      <c r="C417" s="3029" t="s">
        <v>3646</v>
      </c>
      <c r="D417" s="3030">
        <v>46.200699999999998</v>
      </c>
      <c r="E417" s="3029" t="s">
        <v>1377</v>
      </c>
      <c r="F417" s="3029"/>
      <c r="G417" s="3029"/>
    </row>
    <row r="418" spans="1:7">
      <c r="A418" s="3028">
        <v>417</v>
      </c>
      <c r="B418" s="3029" t="s">
        <v>3230</v>
      </c>
      <c r="C418" s="3029" t="s">
        <v>3647</v>
      </c>
      <c r="D418" s="3030">
        <v>46.200699999999998</v>
      </c>
      <c r="E418" s="3029" t="s">
        <v>1377</v>
      </c>
      <c r="F418" s="3029"/>
      <c r="G418" s="3029"/>
    </row>
    <row r="419" spans="1:7">
      <c r="A419" s="3028">
        <v>418</v>
      </c>
      <c r="B419" s="3029" t="s">
        <v>3230</v>
      </c>
      <c r="C419" s="3029" t="s">
        <v>3648</v>
      </c>
      <c r="D419" s="3030">
        <v>46.564799999999998</v>
      </c>
      <c r="E419" s="3029" t="s">
        <v>1377</v>
      </c>
      <c r="F419" s="3029"/>
      <c r="G419" s="3029"/>
    </row>
    <row r="420" spans="1:7">
      <c r="A420" s="3028">
        <v>419</v>
      </c>
      <c r="B420" s="3029" t="s">
        <v>3230</v>
      </c>
      <c r="C420" s="3029" t="s">
        <v>3649</v>
      </c>
      <c r="D420" s="3030">
        <v>46.291699999999999</v>
      </c>
      <c r="E420" s="3029" t="s">
        <v>1377</v>
      </c>
      <c r="F420" s="3029"/>
      <c r="G420" s="3029"/>
    </row>
    <row r="421" spans="1:7">
      <c r="A421" s="3028">
        <v>420</v>
      </c>
      <c r="B421" s="3029" t="s">
        <v>3230</v>
      </c>
      <c r="C421" s="3029" t="s">
        <v>3650</v>
      </c>
      <c r="D421" s="3030">
        <v>46.291699999999999</v>
      </c>
      <c r="E421" s="3029" t="s">
        <v>1377</v>
      </c>
      <c r="F421" s="3029"/>
      <c r="G421" s="3029"/>
    </row>
    <row r="422" spans="1:7">
      <c r="A422" s="3028">
        <v>421</v>
      </c>
      <c r="B422" s="3029" t="s">
        <v>3230</v>
      </c>
      <c r="C422" s="3029" t="s">
        <v>3651</v>
      </c>
      <c r="D422" s="3030">
        <v>46.291699999999999</v>
      </c>
      <c r="E422" s="3029" t="s">
        <v>1377</v>
      </c>
      <c r="F422" s="3029"/>
      <c r="G422" s="3029"/>
    </row>
    <row r="423" spans="1:7">
      <c r="A423" s="3028">
        <v>422</v>
      </c>
      <c r="B423" s="3029" t="s">
        <v>3230</v>
      </c>
      <c r="C423" s="3029" t="s">
        <v>3652</v>
      </c>
      <c r="D423" s="3030">
        <v>46.291699999999999</v>
      </c>
      <c r="E423" s="3029" t="s">
        <v>1377</v>
      </c>
      <c r="F423" s="3029"/>
      <c r="G423" s="3029"/>
    </row>
    <row r="424" spans="1:7">
      <c r="A424" s="3028">
        <v>423</v>
      </c>
      <c r="B424" s="3029" t="s">
        <v>3230</v>
      </c>
      <c r="C424" s="3029" t="s">
        <v>3653</v>
      </c>
      <c r="D424" s="3030">
        <v>46.564799999999998</v>
      </c>
      <c r="E424" s="3029" t="s">
        <v>1377</v>
      </c>
      <c r="F424" s="3029"/>
      <c r="G424" s="3029"/>
    </row>
    <row r="425" spans="1:7">
      <c r="A425" s="3028">
        <v>424</v>
      </c>
      <c r="B425" s="3029" t="s">
        <v>3230</v>
      </c>
      <c r="C425" s="3029" t="s">
        <v>3654</v>
      </c>
      <c r="D425" s="3030">
        <v>46.564799999999998</v>
      </c>
      <c r="E425" s="3029" t="s">
        <v>1377</v>
      </c>
      <c r="F425" s="3029"/>
      <c r="G425" s="3029"/>
    </row>
    <row r="426" spans="1:7">
      <c r="A426" s="3028">
        <v>425</v>
      </c>
      <c r="B426" s="3029" t="s">
        <v>3230</v>
      </c>
      <c r="C426" s="3029" t="s">
        <v>3655</v>
      </c>
      <c r="D426" s="3030">
        <v>46.291699999999999</v>
      </c>
      <c r="E426" s="3029" t="s">
        <v>1377</v>
      </c>
      <c r="F426" s="3029"/>
      <c r="G426" s="3029"/>
    </row>
    <row r="427" spans="1:7">
      <c r="A427" s="3028">
        <v>426</v>
      </c>
      <c r="B427" s="3029" t="s">
        <v>3230</v>
      </c>
      <c r="C427" s="3029" t="s">
        <v>3656</v>
      </c>
      <c r="D427" s="3030">
        <v>46.291699999999999</v>
      </c>
      <c r="E427" s="3029" t="s">
        <v>1377</v>
      </c>
      <c r="F427" s="3029"/>
      <c r="G427" s="3029"/>
    </row>
    <row r="428" spans="1:7">
      <c r="A428" s="3028">
        <v>427</v>
      </c>
      <c r="B428" s="3029" t="s">
        <v>3230</v>
      </c>
      <c r="C428" s="3029" t="s">
        <v>3657</v>
      </c>
      <c r="D428" s="3030">
        <v>46.564799999999998</v>
      </c>
      <c r="E428" s="3029" t="s">
        <v>1377</v>
      </c>
      <c r="F428" s="3029"/>
      <c r="G428" s="3029"/>
    </row>
    <row r="429" spans="1:7">
      <c r="A429" s="3028">
        <v>428</v>
      </c>
      <c r="B429" s="3029" t="s">
        <v>3230</v>
      </c>
      <c r="C429" s="3029" t="s">
        <v>3658</v>
      </c>
      <c r="D429" s="3030">
        <v>46.564799999999998</v>
      </c>
      <c r="E429" s="3029" t="s">
        <v>1377</v>
      </c>
      <c r="F429" s="3029"/>
      <c r="G429" s="3029"/>
    </row>
    <row r="430" spans="1:7">
      <c r="A430" s="3028">
        <v>429</v>
      </c>
      <c r="B430" s="3029" t="s">
        <v>3230</v>
      </c>
      <c r="C430" s="3029" t="s">
        <v>3659</v>
      </c>
      <c r="D430" s="3030">
        <v>46.291699999999999</v>
      </c>
      <c r="E430" s="3029" t="s">
        <v>1377</v>
      </c>
      <c r="F430" s="3029"/>
      <c r="G430" s="3029"/>
    </row>
    <row r="431" spans="1:7">
      <c r="A431" s="3028">
        <v>430</v>
      </c>
      <c r="B431" s="3029" t="s">
        <v>3230</v>
      </c>
      <c r="C431" s="3029" t="s">
        <v>3660</v>
      </c>
      <c r="D431" s="3030">
        <v>46.291699999999999</v>
      </c>
      <c r="E431" s="3029" t="s">
        <v>1377</v>
      </c>
      <c r="F431" s="3029"/>
      <c r="G431" s="3029"/>
    </row>
    <row r="432" spans="1:7">
      <c r="A432" s="3028">
        <v>431</v>
      </c>
      <c r="B432" s="3029" t="s">
        <v>3230</v>
      </c>
      <c r="C432" s="3029" t="s">
        <v>3661</v>
      </c>
      <c r="D432" s="3030">
        <v>46.564799999999998</v>
      </c>
      <c r="E432" s="3029" t="s">
        <v>1377</v>
      </c>
      <c r="F432" s="3029"/>
      <c r="G432" s="3029"/>
    </row>
    <row r="433" spans="1:7">
      <c r="A433" s="3028">
        <v>432</v>
      </c>
      <c r="B433" s="3029" t="s">
        <v>3230</v>
      </c>
      <c r="C433" s="3029" t="s">
        <v>3662</v>
      </c>
      <c r="D433" s="3030">
        <v>46.564799999999998</v>
      </c>
      <c r="E433" s="3029" t="s">
        <v>1377</v>
      </c>
      <c r="F433" s="3029"/>
      <c r="G433" s="3029"/>
    </row>
    <row r="434" spans="1:7">
      <c r="A434" s="3028">
        <v>433</v>
      </c>
      <c r="B434" s="3029" t="s">
        <v>3230</v>
      </c>
      <c r="C434" s="3029" t="s">
        <v>3663</v>
      </c>
      <c r="D434" s="3030">
        <v>46.564799999999998</v>
      </c>
      <c r="E434" s="3029" t="s">
        <v>1377</v>
      </c>
      <c r="F434" s="3029"/>
      <c r="G434" s="3029"/>
    </row>
    <row r="435" spans="1:7">
      <c r="A435" s="3028">
        <v>434</v>
      </c>
      <c r="B435" s="3029" t="s">
        <v>3230</v>
      </c>
      <c r="C435" s="3029" t="s">
        <v>3664</v>
      </c>
      <c r="D435" s="3030">
        <v>46.564799999999998</v>
      </c>
      <c r="E435" s="3029" t="s">
        <v>1377</v>
      </c>
      <c r="F435" s="3029"/>
      <c r="G435" s="3029"/>
    </row>
    <row r="436" spans="1:7">
      <c r="A436" s="3028">
        <v>435</v>
      </c>
      <c r="B436" s="3029" t="s">
        <v>3230</v>
      </c>
      <c r="C436" s="3029" t="s">
        <v>3665</v>
      </c>
      <c r="D436" s="3030">
        <v>46.291699999999999</v>
      </c>
      <c r="E436" s="3029" t="s">
        <v>1377</v>
      </c>
      <c r="F436" s="3029"/>
      <c r="G436" s="3029"/>
    </row>
    <row r="437" spans="1:7">
      <c r="A437" s="3028">
        <v>436</v>
      </c>
      <c r="B437" s="3029" t="s">
        <v>3230</v>
      </c>
      <c r="C437" s="3029" t="s">
        <v>3666</v>
      </c>
      <c r="D437" s="3030">
        <v>46.291699999999999</v>
      </c>
      <c r="E437" s="3029" t="s">
        <v>1377</v>
      </c>
      <c r="F437" s="3029"/>
      <c r="G437" s="3029"/>
    </row>
    <row r="438" spans="1:7">
      <c r="A438" s="3028">
        <v>437</v>
      </c>
      <c r="B438" s="3029" t="s">
        <v>3230</v>
      </c>
      <c r="C438" s="3029" t="s">
        <v>3667</v>
      </c>
      <c r="D438" s="3030">
        <v>51.785699999999999</v>
      </c>
      <c r="E438" s="3029" t="s">
        <v>1377</v>
      </c>
      <c r="F438" s="3029"/>
      <c r="G438" s="3029"/>
    </row>
    <row r="439" spans="1:7">
      <c r="A439" s="3028">
        <v>438</v>
      </c>
      <c r="B439" s="3029" t="s">
        <v>3230</v>
      </c>
      <c r="C439" s="3029" t="s">
        <v>3668</v>
      </c>
      <c r="D439" s="3030">
        <v>51.785699999999999</v>
      </c>
      <c r="E439" s="3029" t="s">
        <v>1377</v>
      </c>
      <c r="F439" s="3029"/>
      <c r="G439" s="3029"/>
    </row>
    <row r="440" spans="1:7">
      <c r="A440" s="3028">
        <v>439</v>
      </c>
      <c r="B440" s="3029" t="s">
        <v>3230</v>
      </c>
      <c r="C440" s="3029" t="s">
        <v>3669</v>
      </c>
      <c r="D440" s="3030">
        <v>51.785699999999999</v>
      </c>
      <c r="E440" s="3029" t="s">
        <v>1377</v>
      </c>
      <c r="F440" s="3029"/>
      <c r="G440" s="3029"/>
    </row>
    <row r="441" spans="1:7">
      <c r="A441" s="3028">
        <v>440</v>
      </c>
      <c r="B441" s="3029" t="s">
        <v>3230</v>
      </c>
      <c r="C441" s="3029" t="s">
        <v>3670</v>
      </c>
      <c r="D441" s="3030">
        <v>50.515799999999999</v>
      </c>
      <c r="E441" s="3029" t="s">
        <v>1377</v>
      </c>
      <c r="F441" s="3029"/>
      <c r="G441" s="3029"/>
    </row>
    <row r="442" spans="1:7">
      <c r="A442" s="3028">
        <v>441</v>
      </c>
      <c r="B442" s="3029" t="s">
        <v>3230</v>
      </c>
      <c r="C442" s="3029" t="s">
        <v>3671</v>
      </c>
      <c r="D442" s="3030">
        <v>51.785699999999999</v>
      </c>
      <c r="E442" s="3029" t="s">
        <v>1377</v>
      </c>
      <c r="F442" s="3029"/>
      <c r="G442" s="3029"/>
    </row>
    <row r="443" spans="1:7">
      <c r="A443" s="3028">
        <v>442</v>
      </c>
      <c r="B443" s="3029" t="s">
        <v>3230</v>
      </c>
      <c r="C443" s="3029" t="s">
        <v>3672</v>
      </c>
      <c r="D443" s="3030">
        <v>46.564799999999998</v>
      </c>
      <c r="E443" s="3029" t="s">
        <v>1377</v>
      </c>
      <c r="F443" s="3029"/>
      <c r="G443" s="3029"/>
    </row>
    <row r="444" spans="1:7">
      <c r="A444" s="3028">
        <v>443</v>
      </c>
      <c r="B444" s="3029" t="s">
        <v>3230</v>
      </c>
      <c r="C444" s="3029" t="s">
        <v>3673</v>
      </c>
      <c r="D444" s="3030">
        <v>46.564799999999998</v>
      </c>
      <c r="E444" s="3029" t="s">
        <v>1377</v>
      </c>
      <c r="F444" s="3029"/>
      <c r="G444" s="3029"/>
    </row>
    <row r="445" spans="1:7">
      <c r="A445" s="3028">
        <v>444</v>
      </c>
      <c r="B445" s="3029" t="s">
        <v>3230</v>
      </c>
      <c r="C445" s="3029" t="s">
        <v>3674</v>
      </c>
      <c r="D445" s="3030">
        <v>46.564799999999998</v>
      </c>
      <c r="E445" s="3029" t="s">
        <v>1377</v>
      </c>
      <c r="F445" s="3029"/>
      <c r="G445" s="3029"/>
    </row>
    <row r="446" spans="1:7">
      <c r="A446" s="3028">
        <v>445</v>
      </c>
      <c r="B446" s="3029" t="s">
        <v>3230</v>
      </c>
      <c r="C446" s="3029" t="s">
        <v>3675</v>
      </c>
      <c r="D446" s="3030">
        <v>46.564799999999998</v>
      </c>
      <c r="E446" s="3029" t="s">
        <v>1377</v>
      </c>
      <c r="F446" s="3029"/>
      <c r="G446" s="3029"/>
    </row>
    <row r="447" spans="1:7">
      <c r="A447" s="3028">
        <v>446</v>
      </c>
      <c r="B447" s="3029" t="s">
        <v>3230</v>
      </c>
      <c r="C447" s="3029" t="s">
        <v>3676</v>
      </c>
      <c r="D447" s="3030">
        <v>46.564799999999998</v>
      </c>
      <c r="E447" s="3029" t="s">
        <v>1377</v>
      </c>
      <c r="F447" s="3029"/>
      <c r="G447" s="3029"/>
    </row>
    <row r="448" spans="1:7">
      <c r="A448" s="3028">
        <v>447</v>
      </c>
      <c r="B448" s="3029" t="s">
        <v>3230</v>
      </c>
      <c r="C448" s="3029" t="s">
        <v>3677</v>
      </c>
      <c r="D448" s="3030">
        <v>46.564799999999998</v>
      </c>
      <c r="E448" s="3029" t="s">
        <v>1377</v>
      </c>
      <c r="F448" s="3029"/>
      <c r="G448" s="3029"/>
    </row>
    <row r="449" spans="1:7">
      <c r="A449" s="3028">
        <v>448</v>
      </c>
      <c r="B449" s="3029" t="s">
        <v>3230</v>
      </c>
      <c r="C449" s="3029" t="s">
        <v>3678</v>
      </c>
      <c r="D449" s="3030">
        <v>46.564799999999998</v>
      </c>
      <c r="E449" s="3029" t="s">
        <v>1377</v>
      </c>
      <c r="F449" s="3029"/>
      <c r="G449" s="3029"/>
    </row>
    <row r="450" spans="1:7">
      <c r="A450" s="3028">
        <v>449</v>
      </c>
      <c r="B450" s="3029" t="s">
        <v>3230</v>
      </c>
      <c r="C450" s="3029" t="s">
        <v>3679</v>
      </c>
      <c r="D450" s="3030">
        <v>47.547199999999997</v>
      </c>
      <c r="E450" s="3029" t="s">
        <v>1377</v>
      </c>
      <c r="F450" s="3029"/>
      <c r="G450" s="3029"/>
    </row>
    <row r="451" spans="1:7">
      <c r="A451" s="3028">
        <v>450</v>
      </c>
      <c r="B451" s="3029" t="s">
        <v>3230</v>
      </c>
      <c r="C451" s="3029" t="s">
        <v>3680</v>
      </c>
      <c r="D451" s="3030">
        <v>46.253799999999998</v>
      </c>
      <c r="E451" s="3029" t="s">
        <v>1377</v>
      </c>
      <c r="F451" s="3029"/>
      <c r="G451" s="3029"/>
    </row>
    <row r="452" spans="1:7">
      <c r="A452" s="3028">
        <v>451</v>
      </c>
      <c r="B452" s="3029" t="s">
        <v>3230</v>
      </c>
      <c r="C452" s="3029" t="s">
        <v>3681</v>
      </c>
      <c r="D452" s="3030">
        <v>46.564799999999998</v>
      </c>
      <c r="E452" s="3029" t="s">
        <v>1377</v>
      </c>
      <c r="F452" s="3029"/>
      <c r="G452" s="3029"/>
    </row>
    <row r="453" spans="1:7">
      <c r="A453" s="3028">
        <v>452</v>
      </c>
      <c r="B453" s="3029" t="s">
        <v>3230</v>
      </c>
      <c r="C453" s="3029" t="s">
        <v>3682</v>
      </c>
      <c r="D453" s="3030">
        <v>46.564799999999998</v>
      </c>
      <c r="E453" s="3029" t="s">
        <v>1377</v>
      </c>
      <c r="F453" s="3029"/>
      <c r="G453" s="3029"/>
    </row>
    <row r="454" spans="1:7">
      <c r="A454" s="3028">
        <v>453</v>
      </c>
      <c r="B454" s="3029" t="s">
        <v>3230</v>
      </c>
      <c r="C454" s="3029" t="s">
        <v>3683</v>
      </c>
      <c r="D454" s="3030">
        <v>46.564799999999998</v>
      </c>
      <c r="E454" s="3029" t="s">
        <v>1377</v>
      </c>
      <c r="F454" s="3029"/>
      <c r="G454" s="3029"/>
    </row>
    <row r="455" spans="1:7">
      <c r="A455" s="3028">
        <v>454</v>
      </c>
      <c r="B455" s="3029" t="s">
        <v>3230</v>
      </c>
      <c r="C455" s="3029" t="s">
        <v>3684</v>
      </c>
      <c r="D455" s="3030">
        <v>46.564799999999998</v>
      </c>
      <c r="E455" s="3029" t="s">
        <v>1377</v>
      </c>
      <c r="F455" s="3029"/>
      <c r="G455" s="3029"/>
    </row>
    <row r="456" spans="1:7">
      <c r="A456" s="3028">
        <v>455</v>
      </c>
      <c r="B456" s="3029" t="s">
        <v>3230</v>
      </c>
      <c r="C456" s="3029" t="s">
        <v>3685</v>
      </c>
      <c r="D456" s="3030">
        <v>46.200699999999998</v>
      </c>
      <c r="E456" s="3029" t="s">
        <v>1377</v>
      </c>
      <c r="F456" s="3029"/>
      <c r="G456" s="3029"/>
    </row>
    <row r="457" spans="1:7">
      <c r="A457" s="3028">
        <v>456</v>
      </c>
      <c r="B457" s="3029" t="s">
        <v>3230</v>
      </c>
      <c r="C457" s="3029" t="s">
        <v>3686</v>
      </c>
      <c r="D457" s="3030">
        <v>46.200699999999998</v>
      </c>
      <c r="E457" s="3029" t="s">
        <v>1377</v>
      </c>
      <c r="F457" s="3029"/>
      <c r="G457" s="3029"/>
    </row>
    <row r="458" spans="1:7">
      <c r="A458" s="3028">
        <v>457</v>
      </c>
      <c r="B458" s="3029" t="s">
        <v>3230</v>
      </c>
      <c r="C458" s="3029" t="s">
        <v>3687</v>
      </c>
      <c r="D458" s="3030">
        <v>46.564799999999998</v>
      </c>
      <c r="E458" s="3029" t="s">
        <v>1377</v>
      </c>
      <c r="F458" s="3029"/>
      <c r="G458" s="3029"/>
    </row>
    <row r="459" spans="1:7">
      <c r="A459" s="3028">
        <v>458</v>
      </c>
      <c r="B459" s="3029" t="s">
        <v>3230</v>
      </c>
      <c r="C459" s="3029" t="s">
        <v>3688</v>
      </c>
      <c r="D459" s="3030">
        <v>46.291699999999999</v>
      </c>
      <c r="E459" s="3029" t="s">
        <v>1377</v>
      </c>
      <c r="F459" s="3029"/>
      <c r="G459" s="3029"/>
    </row>
    <row r="460" spans="1:7">
      <c r="A460" s="3028">
        <v>459</v>
      </c>
      <c r="B460" s="3029" t="s">
        <v>3230</v>
      </c>
      <c r="C460" s="3029" t="s">
        <v>3689</v>
      </c>
      <c r="D460" s="3030">
        <v>46.291699999999999</v>
      </c>
      <c r="E460" s="3029" t="s">
        <v>1377</v>
      </c>
      <c r="F460" s="3029"/>
      <c r="G460" s="3029"/>
    </row>
    <row r="461" spans="1:7">
      <c r="A461" s="3028">
        <v>460</v>
      </c>
      <c r="B461" s="3029" t="s">
        <v>3230</v>
      </c>
      <c r="C461" s="3029" t="s">
        <v>3690</v>
      </c>
      <c r="D461" s="3030">
        <v>46.291699999999999</v>
      </c>
      <c r="E461" s="3029" t="s">
        <v>1377</v>
      </c>
      <c r="F461" s="3029"/>
      <c r="G461" s="3029"/>
    </row>
    <row r="462" spans="1:7">
      <c r="A462" s="3028">
        <v>461</v>
      </c>
      <c r="B462" s="3029" t="s">
        <v>3230</v>
      </c>
      <c r="C462" s="3029" t="s">
        <v>3691</v>
      </c>
      <c r="D462" s="3030">
        <v>46.291699999999999</v>
      </c>
      <c r="E462" s="3029" t="s">
        <v>1377</v>
      </c>
      <c r="F462" s="3029"/>
      <c r="G462" s="3029"/>
    </row>
    <row r="463" spans="1:7">
      <c r="A463" s="3028">
        <v>462</v>
      </c>
      <c r="B463" s="3029" t="s">
        <v>3230</v>
      </c>
      <c r="C463" s="3029" t="s">
        <v>3692</v>
      </c>
      <c r="D463" s="3030">
        <v>46.564799999999998</v>
      </c>
      <c r="E463" s="3029" t="s">
        <v>1377</v>
      </c>
      <c r="F463" s="3029"/>
      <c r="G463" s="3029"/>
    </row>
    <row r="464" spans="1:7">
      <c r="A464" s="3028">
        <v>463</v>
      </c>
      <c r="B464" s="3029" t="s">
        <v>3230</v>
      </c>
      <c r="C464" s="3029" t="s">
        <v>3693</v>
      </c>
      <c r="D464" s="3030">
        <v>46.564799999999998</v>
      </c>
      <c r="E464" s="3029" t="s">
        <v>1377</v>
      </c>
      <c r="F464" s="3029"/>
      <c r="G464" s="3029"/>
    </row>
    <row r="465" spans="1:7">
      <c r="A465" s="3028">
        <v>464</v>
      </c>
      <c r="B465" s="3029" t="s">
        <v>3230</v>
      </c>
      <c r="C465" s="3029" t="s">
        <v>3694</v>
      </c>
      <c r="D465" s="3030">
        <v>46.291699999999999</v>
      </c>
      <c r="E465" s="3029" t="s">
        <v>1377</v>
      </c>
      <c r="F465" s="3029"/>
      <c r="G465" s="3029"/>
    </row>
    <row r="466" spans="1:7">
      <c r="A466" s="3028">
        <v>465</v>
      </c>
      <c r="B466" s="3029" t="s">
        <v>3230</v>
      </c>
      <c r="C466" s="3029" t="s">
        <v>3695</v>
      </c>
      <c r="D466" s="3030">
        <v>46.291699999999999</v>
      </c>
      <c r="E466" s="3029" t="s">
        <v>1377</v>
      </c>
      <c r="F466" s="3029"/>
      <c r="G466" s="3029"/>
    </row>
    <row r="467" spans="1:7">
      <c r="A467" s="3028">
        <v>466</v>
      </c>
      <c r="B467" s="3029" t="s">
        <v>3230</v>
      </c>
      <c r="C467" s="3029" t="s">
        <v>3696</v>
      </c>
      <c r="D467" s="3030">
        <v>46.564799999999998</v>
      </c>
      <c r="E467" s="3029" t="s">
        <v>1377</v>
      </c>
      <c r="F467" s="3029"/>
      <c r="G467" s="3029"/>
    </row>
    <row r="468" spans="1:7">
      <c r="A468" s="3028">
        <v>467</v>
      </c>
      <c r="B468" s="3029" t="s">
        <v>3230</v>
      </c>
      <c r="C468" s="3029" t="s">
        <v>3697</v>
      </c>
      <c r="D468" s="3030">
        <v>46.564799999999998</v>
      </c>
      <c r="E468" s="3029" t="s">
        <v>1377</v>
      </c>
      <c r="F468" s="3029"/>
      <c r="G468" s="3029"/>
    </row>
    <row r="469" spans="1:7">
      <c r="A469" s="3028">
        <v>468</v>
      </c>
      <c r="B469" s="3029" t="s">
        <v>3230</v>
      </c>
      <c r="C469" s="3029" t="s">
        <v>3698</v>
      </c>
      <c r="D469" s="3030">
        <v>46.291699999999999</v>
      </c>
      <c r="E469" s="3029" t="s">
        <v>1377</v>
      </c>
      <c r="F469" s="3029"/>
      <c r="G469" s="3029"/>
    </row>
    <row r="470" spans="1:7">
      <c r="A470" s="3028">
        <v>469</v>
      </c>
      <c r="B470" s="3029" t="s">
        <v>3230</v>
      </c>
      <c r="C470" s="3029" t="s">
        <v>3699</v>
      </c>
      <c r="D470" s="3030">
        <v>46.291699999999999</v>
      </c>
      <c r="E470" s="3029" t="s">
        <v>1377</v>
      </c>
      <c r="F470" s="3029"/>
      <c r="G470" s="3029"/>
    </row>
    <row r="471" spans="1:7">
      <c r="A471" s="3028">
        <v>470</v>
      </c>
      <c r="B471" s="3029" t="s">
        <v>3230</v>
      </c>
      <c r="C471" s="3029" t="s">
        <v>3700</v>
      </c>
      <c r="D471" s="3030">
        <v>46.564799999999998</v>
      </c>
      <c r="E471" s="3029" t="s">
        <v>1377</v>
      </c>
      <c r="F471" s="3029"/>
      <c r="G471" s="3029"/>
    </row>
    <row r="472" spans="1:7">
      <c r="A472" s="3028">
        <v>471</v>
      </c>
      <c r="B472" s="3029" t="s">
        <v>3230</v>
      </c>
      <c r="C472" s="3029" t="s">
        <v>3701</v>
      </c>
      <c r="D472" s="3030">
        <v>46.564799999999998</v>
      </c>
      <c r="E472" s="3029" t="s">
        <v>1377</v>
      </c>
      <c r="F472" s="3029"/>
      <c r="G472" s="3029"/>
    </row>
    <row r="473" spans="1:7">
      <c r="A473" s="3028">
        <v>472</v>
      </c>
      <c r="B473" s="3029" t="s">
        <v>3230</v>
      </c>
      <c r="C473" s="3029" t="s">
        <v>3702</v>
      </c>
      <c r="D473" s="3030">
        <v>46.564799999999998</v>
      </c>
      <c r="E473" s="3029" t="s">
        <v>1377</v>
      </c>
      <c r="F473" s="3029"/>
      <c r="G473" s="3029"/>
    </row>
    <row r="474" spans="1:7">
      <c r="A474" s="3028">
        <v>473</v>
      </c>
      <c r="B474" s="3029" t="s">
        <v>3230</v>
      </c>
      <c r="C474" s="3029" t="s">
        <v>3703</v>
      </c>
      <c r="D474" s="3030">
        <v>46.564799999999998</v>
      </c>
      <c r="E474" s="3029" t="s">
        <v>1377</v>
      </c>
      <c r="F474" s="3029"/>
      <c r="G474" s="3029"/>
    </row>
    <row r="475" spans="1:7">
      <c r="A475" s="3028">
        <v>474</v>
      </c>
      <c r="B475" s="3029" t="s">
        <v>3230</v>
      </c>
      <c r="C475" s="3029" t="s">
        <v>3704</v>
      </c>
      <c r="D475" s="3030">
        <v>46.291699999999999</v>
      </c>
      <c r="E475" s="3029" t="s">
        <v>1377</v>
      </c>
      <c r="F475" s="3029"/>
      <c r="G475" s="3029"/>
    </row>
    <row r="476" spans="1:7">
      <c r="A476" s="3028">
        <v>475</v>
      </c>
      <c r="B476" s="3029" t="s">
        <v>3230</v>
      </c>
      <c r="C476" s="3029" t="s">
        <v>3705</v>
      </c>
      <c r="D476" s="3030">
        <v>46.291699999999999</v>
      </c>
      <c r="E476" s="3029" t="s">
        <v>1377</v>
      </c>
      <c r="F476" s="3029"/>
      <c r="G476" s="3029"/>
    </row>
    <row r="477" spans="1:7">
      <c r="A477" s="3028">
        <v>476</v>
      </c>
      <c r="B477" s="3029" t="s">
        <v>3230</v>
      </c>
      <c r="C477" s="3029" t="s">
        <v>3706</v>
      </c>
      <c r="D477" s="3030">
        <v>51.785699999999999</v>
      </c>
      <c r="E477" s="3029" t="s">
        <v>1377</v>
      </c>
      <c r="F477" s="3029"/>
      <c r="G477" s="3029"/>
    </row>
    <row r="478" spans="1:7">
      <c r="A478" s="3028">
        <v>477</v>
      </c>
      <c r="B478" s="3029" t="s">
        <v>3230</v>
      </c>
      <c r="C478" s="3029" t="s">
        <v>3707</v>
      </c>
      <c r="D478" s="3030">
        <v>51.785699999999999</v>
      </c>
      <c r="E478" s="3029" t="s">
        <v>1377</v>
      </c>
      <c r="F478" s="3029"/>
      <c r="G478" s="3029"/>
    </row>
    <row r="479" spans="1:7">
      <c r="A479" s="3028">
        <v>478</v>
      </c>
      <c r="B479" s="3029" t="s">
        <v>3230</v>
      </c>
      <c r="C479" s="3029" t="s">
        <v>3708</v>
      </c>
      <c r="D479" s="3030">
        <v>51.785699999999999</v>
      </c>
      <c r="E479" s="3029" t="s">
        <v>1377</v>
      </c>
      <c r="F479" s="3029"/>
      <c r="G479" s="3029"/>
    </row>
    <row r="480" spans="1:7">
      <c r="A480" s="3028">
        <v>479</v>
      </c>
      <c r="B480" s="3029" t="s">
        <v>3230</v>
      </c>
      <c r="C480" s="3029" t="s">
        <v>3709</v>
      </c>
      <c r="D480" s="3030">
        <v>50.515799999999999</v>
      </c>
      <c r="E480" s="3029" t="s">
        <v>1377</v>
      </c>
      <c r="F480" s="3029"/>
      <c r="G480" s="3029"/>
    </row>
    <row r="481" spans="1:7">
      <c r="A481" s="3028">
        <v>480</v>
      </c>
      <c r="B481" s="3029" t="s">
        <v>3230</v>
      </c>
      <c r="C481" s="3029" t="s">
        <v>3710</v>
      </c>
      <c r="D481" s="3030">
        <v>51.785699999999999</v>
      </c>
      <c r="E481" s="3029" t="s">
        <v>1377</v>
      </c>
      <c r="F481" s="3029"/>
      <c r="G481" s="3029"/>
    </row>
    <row r="482" spans="1:7">
      <c r="A482" s="3028">
        <v>481</v>
      </c>
      <c r="B482" s="3029" t="s">
        <v>3230</v>
      </c>
      <c r="C482" s="3029" t="s">
        <v>3711</v>
      </c>
      <c r="D482" s="3030">
        <v>46.564799999999998</v>
      </c>
      <c r="E482" s="3029" t="s">
        <v>1377</v>
      </c>
      <c r="F482" s="3029"/>
      <c r="G482" s="3029"/>
    </row>
    <row r="483" spans="1:7">
      <c r="A483" s="3028">
        <v>482</v>
      </c>
      <c r="B483" s="3029" t="s">
        <v>3230</v>
      </c>
      <c r="C483" s="3029" t="s">
        <v>3712</v>
      </c>
      <c r="D483" s="3030">
        <v>46.564799999999998</v>
      </c>
      <c r="E483" s="3029" t="s">
        <v>1377</v>
      </c>
      <c r="F483" s="3029"/>
      <c r="G483" s="3029"/>
    </row>
    <row r="484" spans="1:7">
      <c r="A484" s="3028">
        <v>483</v>
      </c>
      <c r="B484" s="3029" t="s">
        <v>3230</v>
      </c>
      <c r="C484" s="3029" t="s">
        <v>3713</v>
      </c>
      <c r="D484" s="3030">
        <v>46.564799999999998</v>
      </c>
      <c r="E484" s="3029" t="s">
        <v>1377</v>
      </c>
      <c r="F484" s="3029"/>
      <c r="G484" s="3029"/>
    </row>
    <row r="485" spans="1:7">
      <c r="A485" s="3028">
        <v>484</v>
      </c>
      <c r="B485" s="3029" t="s">
        <v>3230</v>
      </c>
      <c r="C485" s="3029" t="s">
        <v>3714</v>
      </c>
      <c r="D485" s="3030">
        <v>46.564799999999998</v>
      </c>
      <c r="E485" s="3029" t="s">
        <v>1377</v>
      </c>
      <c r="F485" s="3029"/>
      <c r="G485" s="3029"/>
    </row>
    <row r="486" spans="1:7">
      <c r="A486" s="3028">
        <v>485</v>
      </c>
      <c r="B486" s="3029" t="s">
        <v>3230</v>
      </c>
      <c r="C486" s="3029" t="s">
        <v>3715</v>
      </c>
      <c r="D486" s="3030">
        <v>46.564799999999998</v>
      </c>
      <c r="E486" s="3029" t="s">
        <v>1377</v>
      </c>
      <c r="F486" s="3029"/>
      <c r="G486" s="3029"/>
    </row>
    <row r="487" spans="1:7">
      <c r="A487" s="3028">
        <v>486</v>
      </c>
      <c r="B487" s="3029" t="s">
        <v>3230</v>
      </c>
      <c r="C487" s="3029" t="s">
        <v>3716</v>
      </c>
      <c r="D487" s="3030">
        <v>46.564799999999998</v>
      </c>
      <c r="E487" s="3029" t="s">
        <v>1377</v>
      </c>
      <c r="F487" s="3029"/>
      <c r="G487" s="3029"/>
    </row>
    <row r="488" spans="1:7">
      <c r="A488" s="3028">
        <v>487</v>
      </c>
      <c r="B488" s="3029" t="s">
        <v>3230</v>
      </c>
      <c r="C488" s="3029" t="s">
        <v>3717</v>
      </c>
      <c r="D488" s="3030">
        <v>46.564799999999998</v>
      </c>
      <c r="E488" s="3029" t="s">
        <v>1377</v>
      </c>
      <c r="F488" s="3029"/>
      <c r="G488" s="3029"/>
    </row>
    <row r="489" spans="1:7">
      <c r="A489" s="3028">
        <v>488</v>
      </c>
      <c r="B489" s="3029" t="s">
        <v>3230</v>
      </c>
      <c r="C489" s="3029" t="s">
        <v>3718</v>
      </c>
      <c r="D489" s="3030">
        <v>47.547199999999997</v>
      </c>
      <c r="E489" s="3029" t="s">
        <v>1377</v>
      </c>
      <c r="F489" s="3029"/>
      <c r="G489" s="3029"/>
    </row>
    <row r="490" spans="1:7">
      <c r="A490" s="3028">
        <v>489</v>
      </c>
      <c r="B490" s="3029" t="s">
        <v>3230</v>
      </c>
      <c r="C490" s="3029" t="s">
        <v>3719</v>
      </c>
      <c r="D490" s="3030">
        <v>46.253799999999998</v>
      </c>
      <c r="E490" s="3029" t="s">
        <v>1377</v>
      </c>
      <c r="F490" s="3029"/>
      <c r="G490" s="3029"/>
    </row>
    <row r="491" spans="1:7">
      <c r="A491" s="3028">
        <v>490</v>
      </c>
      <c r="B491" s="3029" t="s">
        <v>3230</v>
      </c>
      <c r="C491" s="3029" t="s">
        <v>3720</v>
      </c>
      <c r="D491" s="3030">
        <v>46.564799999999998</v>
      </c>
      <c r="E491" s="3029" t="s">
        <v>1377</v>
      </c>
      <c r="F491" s="3029"/>
      <c r="G491" s="3029"/>
    </row>
    <row r="492" spans="1:7">
      <c r="A492" s="3028">
        <v>491</v>
      </c>
      <c r="B492" s="3029" t="s">
        <v>3230</v>
      </c>
      <c r="C492" s="3029" t="s">
        <v>3721</v>
      </c>
      <c r="D492" s="3030">
        <v>46.564799999999998</v>
      </c>
      <c r="E492" s="3029" t="s">
        <v>1377</v>
      </c>
      <c r="F492" s="3029"/>
      <c r="G492" s="3029"/>
    </row>
    <row r="493" spans="1:7">
      <c r="A493" s="3028">
        <v>492</v>
      </c>
      <c r="B493" s="3029" t="s">
        <v>3230</v>
      </c>
      <c r="C493" s="3029" t="s">
        <v>3722</v>
      </c>
      <c r="D493" s="3030">
        <v>46.564799999999998</v>
      </c>
      <c r="E493" s="3029" t="s">
        <v>1377</v>
      </c>
      <c r="F493" s="3029"/>
      <c r="G493" s="3029"/>
    </row>
    <row r="494" spans="1:7">
      <c r="A494" s="3028">
        <v>493</v>
      </c>
      <c r="B494" s="3029" t="s">
        <v>3230</v>
      </c>
      <c r="C494" s="3029" t="s">
        <v>3723</v>
      </c>
      <c r="D494" s="3030">
        <v>46.564799999999998</v>
      </c>
      <c r="E494" s="3029" t="s">
        <v>1377</v>
      </c>
      <c r="F494" s="3029"/>
      <c r="G494" s="3029"/>
    </row>
    <row r="495" spans="1:7">
      <c r="A495" s="3028">
        <v>494</v>
      </c>
      <c r="B495" s="3029" t="s">
        <v>3230</v>
      </c>
      <c r="C495" s="3029" t="s">
        <v>3724</v>
      </c>
      <c r="D495" s="3030">
        <v>46.200699999999998</v>
      </c>
      <c r="E495" s="3029" t="s">
        <v>1377</v>
      </c>
      <c r="F495" s="3029"/>
      <c r="G495" s="3029"/>
    </row>
    <row r="496" spans="1:7">
      <c r="A496" s="3028">
        <v>495</v>
      </c>
      <c r="B496" s="3029" t="s">
        <v>3230</v>
      </c>
      <c r="C496" s="3029" t="s">
        <v>3725</v>
      </c>
      <c r="D496" s="3030">
        <v>46.200699999999998</v>
      </c>
      <c r="E496" s="3029" t="s">
        <v>1377</v>
      </c>
      <c r="F496" s="3029"/>
      <c r="G496" s="3029"/>
    </row>
    <row r="497" spans="1:7">
      <c r="A497" s="3028">
        <v>496</v>
      </c>
      <c r="B497" s="3029" t="s">
        <v>3230</v>
      </c>
      <c r="C497" s="3029" t="s">
        <v>3726</v>
      </c>
      <c r="D497" s="3030">
        <v>46.564799999999998</v>
      </c>
      <c r="E497" s="3029" t="s">
        <v>1377</v>
      </c>
      <c r="F497" s="3029"/>
      <c r="G497" s="3029"/>
    </row>
    <row r="498" spans="1:7">
      <c r="A498" s="3028">
        <v>497</v>
      </c>
      <c r="B498" s="3029" t="s">
        <v>3230</v>
      </c>
      <c r="C498" s="3029" t="s">
        <v>3727</v>
      </c>
      <c r="D498" s="3030">
        <v>46.291699999999999</v>
      </c>
      <c r="E498" s="3029" t="s">
        <v>1377</v>
      </c>
      <c r="F498" s="3029"/>
      <c r="G498" s="3029"/>
    </row>
    <row r="499" spans="1:7">
      <c r="A499" s="3028">
        <v>498</v>
      </c>
      <c r="B499" s="3029" t="s">
        <v>3230</v>
      </c>
      <c r="C499" s="3029" t="s">
        <v>3728</v>
      </c>
      <c r="D499" s="3030">
        <v>46.291699999999999</v>
      </c>
      <c r="E499" s="3029" t="s">
        <v>1377</v>
      </c>
      <c r="F499" s="3029"/>
      <c r="G499" s="3029"/>
    </row>
    <row r="500" spans="1:7">
      <c r="A500" s="3028">
        <v>499</v>
      </c>
      <c r="B500" s="3029" t="s">
        <v>3230</v>
      </c>
      <c r="C500" s="3029" t="s">
        <v>3729</v>
      </c>
      <c r="D500" s="3030">
        <v>46.291699999999999</v>
      </c>
      <c r="E500" s="3029" t="s">
        <v>1377</v>
      </c>
      <c r="F500" s="3029"/>
      <c r="G500" s="3029"/>
    </row>
    <row r="501" spans="1:7">
      <c r="A501" s="3028">
        <v>500</v>
      </c>
      <c r="B501" s="3029" t="s">
        <v>3230</v>
      </c>
      <c r="C501" s="3029" t="s">
        <v>3730</v>
      </c>
      <c r="D501" s="3030">
        <v>46.291699999999999</v>
      </c>
      <c r="E501" s="3029" t="s">
        <v>1377</v>
      </c>
      <c r="F501" s="3029"/>
      <c r="G501" s="3029"/>
    </row>
    <row r="502" spans="1:7">
      <c r="A502" s="3028">
        <v>501</v>
      </c>
      <c r="B502" s="3029" t="s">
        <v>3230</v>
      </c>
      <c r="C502" s="3029" t="s">
        <v>3731</v>
      </c>
      <c r="D502" s="3030">
        <v>46.564799999999998</v>
      </c>
      <c r="E502" s="3029" t="s">
        <v>1377</v>
      </c>
      <c r="F502" s="3029"/>
      <c r="G502" s="3029"/>
    </row>
    <row r="503" spans="1:7">
      <c r="A503" s="3028">
        <v>502</v>
      </c>
      <c r="B503" s="3029" t="s">
        <v>3230</v>
      </c>
      <c r="C503" s="3029" t="s">
        <v>3732</v>
      </c>
      <c r="D503" s="3030">
        <v>46.564799999999998</v>
      </c>
      <c r="E503" s="3029" t="s">
        <v>1377</v>
      </c>
      <c r="F503" s="3029"/>
      <c r="G503" s="3029"/>
    </row>
    <row r="504" spans="1:7">
      <c r="A504" s="3028">
        <v>503</v>
      </c>
      <c r="B504" s="3029" t="s">
        <v>3230</v>
      </c>
      <c r="C504" s="3029" t="s">
        <v>3733</v>
      </c>
      <c r="D504" s="3030">
        <v>46.291699999999999</v>
      </c>
      <c r="E504" s="3029" t="s">
        <v>1377</v>
      </c>
      <c r="F504" s="3029"/>
      <c r="G504" s="3029"/>
    </row>
    <row r="505" spans="1:7">
      <c r="A505" s="3028">
        <v>504</v>
      </c>
      <c r="B505" s="3029" t="s">
        <v>3230</v>
      </c>
      <c r="C505" s="3029" t="s">
        <v>3734</v>
      </c>
      <c r="D505" s="3030">
        <v>46.291699999999999</v>
      </c>
      <c r="E505" s="3029" t="s">
        <v>1377</v>
      </c>
      <c r="F505" s="3029"/>
      <c r="G505" s="3029"/>
    </row>
    <row r="506" spans="1:7">
      <c r="A506" s="3028">
        <v>505</v>
      </c>
      <c r="B506" s="3029" t="s">
        <v>3230</v>
      </c>
      <c r="C506" s="3029" t="s">
        <v>3735</v>
      </c>
      <c r="D506" s="3030">
        <v>46.564799999999998</v>
      </c>
      <c r="E506" s="3029" t="s">
        <v>1377</v>
      </c>
      <c r="F506" s="3029"/>
      <c r="G506" s="3029"/>
    </row>
    <row r="507" spans="1:7">
      <c r="A507" s="3028">
        <v>506</v>
      </c>
      <c r="B507" s="3029" t="s">
        <v>3230</v>
      </c>
      <c r="C507" s="3029" t="s">
        <v>3736</v>
      </c>
      <c r="D507" s="3030">
        <v>46.564799999999998</v>
      </c>
      <c r="E507" s="3029" t="s">
        <v>1377</v>
      </c>
      <c r="F507" s="3029"/>
      <c r="G507" s="3029"/>
    </row>
    <row r="508" spans="1:7">
      <c r="A508" s="3028">
        <v>507</v>
      </c>
      <c r="B508" s="3029" t="s">
        <v>3230</v>
      </c>
      <c r="C508" s="3029" t="s">
        <v>3737</v>
      </c>
      <c r="D508" s="3030">
        <v>46.291699999999999</v>
      </c>
      <c r="E508" s="3029" t="s">
        <v>1377</v>
      </c>
      <c r="F508" s="3029"/>
      <c r="G508" s="3029"/>
    </row>
    <row r="509" spans="1:7">
      <c r="A509" s="3028">
        <v>508</v>
      </c>
      <c r="B509" s="3029" t="s">
        <v>3230</v>
      </c>
      <c r="C509" s="3029" t="s">
        <v>3738</v>
      </c>
      <c r="D509" s="3030">
        <v>46.291699999999999</v>
      </c>
      <c r="E509" s="3029" t="s">
        <v>1377</v>
      </c>
      <c r="F509" s="3029"/>
      <c r="G509" s="3029"/>
    </row>
    <row r="510" spans="1:7">
      <c r="A510" s="3028">
        <v>509</v>
      </c>
      <c r="B510" s="3029" t="s">
        <v>3230</v>
      </c>
      <c r="C510" s="3029" t="s">
        <v>3739</v>
      </c>
      <c r="D510" s="3030">
        <v>46.564799999999998</v>
      </c>
      <c r="E510" s="3029" t="s">
        <v>1377</v>
      </c>
      <c r="F510" s="3029"/>
      <c r="G510" s="3029"/>
    </row>
    <row r="511" spans="1:7">
      <c r="A511" s="3028">
        <v>510</v>
      </c>
      <c r="B511" s="3029" t="s">
        <v>3230</v>
      </c>
      <c r="C511" s="3029" t="s">
        <v>3740</v>
      </c>
      <c r="D511" s="3030">
        <v>46.564799999999998</v>
      </c>
      <c r="E511" s="3029" t="s">
        <v>1377</v>
      </c>
      <c r="F511" s="3029"/>
      <c r="G511" s="3029"/>
    </row>
    <row r="512" spans="1:7">
      <c r="A512" s="3028">
        <v>511</v>
      </c>
      <c r="B512" s="3029" t="s">
        <v>3230</v>
      </c>
      <c r="C512" s="3029" t="s">
        <v>3741</v>
      </c>
      <c r="D512" s="3030">
        <v>46.564799999999998</v>
      </c>
      <c r="E512" s="3029" t="s">
        <v>1377</v>
      </c>
      <c r="F512" s="3029"/>
      <c r="G512" s="3029"/>
    </row>
    <row r="513" spans="1:7">
      <c r="A513" s="3028">
        <v>512</v>
      </c>
      <c r="B513" s="3029" t="s">
        <v>3230</v>
      </c>
      <c r="C513" s="3029" t="s">
        <v>3742</v>
      </c>
      <c r="D513" s="3030">
        <v>46.564799999999998</v>
      </c>
      <c r="E513" s="3029" t="s">
        <v>1377</v>
      </c>
      <c r="F513" s="3029"/>
      <c r="G513" s="3029"/>
    </row>
    <row r="514" spans="1:7">
      <c r="A514" s="3028">
        <v>513</v>
      </c>
      <c r="B514" s="3029" t="s">
        <v>3230</v>
      </c>
      <c r="C514" s="3029" t="s">
        <v>3743</v>
      </c>
      <c r="D514" s="3030">
        <v>46.291699999999999</v>
      </c>
      <c r="E514" s="3029" t="s">
        <v>1377</v>
      </c>
      <c r="F514" s="3029"/>
      <c r="G514" s="3029"/>
    </row>
    <row r="515" spans="1:7">
      <c r="A515" s="3028">
        <v>514</v>
      </c>
      <c r="B515" s="3029" t="s">
        <v>3230</v>
      </c>
      <c r="C515" s="3029" t="s">
        <v>3744</v>
      </c>
      <c r="D515" s="3030">
        <v>46.291699999999999</v>
      </c>
      <c r="E515" s="3029" t="s">
        <v>1377</v>
      </c>
      <c r="F515" s="3029"/>
      <c r="G515" s="3029"/>
    </row>
    <row r="516" spans="1:7">
      <c r="A516" s="3028">
        <v>515</v>
      </c>
      <c r="B516" s="3029" t="s">
        <v>3230</v>
      </c>
      <c r="C516" s="3029" t="s">
        <v>3745</v>
      </c>
      <c r="D516" s="3030">
        <v>51.785699999999999</v>
      </c>
      <c r="E516" s="3029" t="s">
        <v>1377</v>
      </c>
      <c r="F516" s="3029"/>
      <c r="G516" s="3029"/>
    </row>
    <row r="517" spans="1:7">
      <c r="A517" s="3028">
        <v>516</v>
      </c>
      <c r="B517" s="3029" t="s">
        <v>3230</v>
      </c>
      <c r="C517" s="3029" t="s">
        <v>3746</v>
      </c>
      <c r="D517" s="3030">
        <v>51.785699999999999</v>
      </c>
      <c r="E517" s="3029" t="s">
        <v>1377</v>
      </c>
      <c r="F517" s="3029"/>
      <c r="G517" s="3029"/>
    </row>
    <row r="518" spans="1:7">
      <c r="A518" s="3028">
        <v>517</v>
      </c>
      <c r="B518" s="3029" t="s">
        <v>3230</v>
      </c>
      <c r="C518" s="3029" t="s">
        <v>3747</v>
      </c>
      <c r="D518" s="3030">
        <v>51.785699999999999</v>
      </c>
      <c r="E518" s="3029" t="s">
        <v>1377</v>
      </c>
      <c r="F518" s="3029"/>
      <c r="G518" s="3029"/>
    </row>
    <row r="519" spans="1:7">
      <c r="A519" s="3028">
        <v>518</v>
      </c>
      <c r="B519" s="3029" t="s">
        <v>3230</v>
      </c>
      <c r="C519" s="3029" t="s">
        <v>3748</v>
      </c>
      <c r="D519" s="3030">
        <v>50.515799999999999</v>
      </c>
      <c r="E519" s="3029" t="s">
        <v>1377</v>
      </c>
      <c r="F519" s="3029"/>
      <c r="G519" s="3029"/>
    </row>
    <row r="520" spans="1:7">
      <c r="A520" s="3028">
        <v>519</v>
      </c>
      <c r="B520" s="3029" t="s">
        <v>3230</v>
      </c>
      <c r="C520" s="3029" t="s">
        <v>3749</v>
      </c>
      <c r="D520" s="3030">
        <v>51.785699999999999</v>
      </c>
      <c r="E520" s="3029" t="s">
        <v>1377</v>
      </c>
      <c r="F520" s="3029"/>
      <c r="G520" s="3029"/>
    </row>
    <row r="521" spans="1:7">
      <c r="A521" s="3028">
        <v>520</v>
      </c>
      <c r="B521" s="3029" t="s">
        <v>3230</v>
      </c>
      <c r="C521" s="3029" t="s">
        <v>3750</v>
      </c>
      <c r="D521" s="3030">
        <v>46.564799999999998</v>
      </c>
      <c r="E521" s="3029" t="s">
        <v>1377</v>
      </c>
      <c r="F521" s="3029"/>
      <c r="G521" s="3029"/>
    </row>
    <row r="522" spans="1:7">
      <c r="A522" s="3028">
        <v>521</v>
      </c>
      <c r="B522" s="3029" t="s">
        <v>3230</v>
      </c>
      <c r="C522" s="3029" t="s">
        <v>3751</v>
      </c>
      <c r="D522" s="3030">
        <v>46.564799999999998</v>
      </c>
      <c r="E522" s="3029" t="s">
        <v>1377</v>
      </c>
      <c r="F522" s="3029"/>
      <c r="G522" s="3029"/>
    </row>
    <row r="523" spans="1:7">
      <c r="A523" s="3028">
        <v>522</v>
      </c>
      <c r="B523" s="3029" t="s">
        <v>3230</v>
      </c>
      <c r="C523" s="3029" t="s">
        <v>3752</v>
      </c>
      <c r="D523" s="3030">
        <v>46.564799999999998</v>
      </c>
      <c r="E523" s="3029" t="s">
        <v>1377</v>
      </c>
      <c r="F523" s="3029"/>
      <c r="G523" s="3029"/>
    </row>
    <row r="524" spans="1:7">
      <c r="A524" s="3028">
        <v>523</v>
      </c>
      <c r="B524" s="3029" t="s">
        <v>3230</v>
      </c>
      <c r="C524" s="3029" t="s">
        <v>3753</v>
      </c>
      <c r="D524" s="3030">
        <v>46.564799999999998</v>
      </c>
      <c r="E524" s="3029" t="s">
        <v>1377</v>
      </c>
      <c r="F524" s="3029"/>
      <c r="G524" s="3029"/>
    </row>
    <row r="525" spans="1:7">
      <c r="A525" s="3028">
        <v>524</v>
      </c>
      <c r="B525" s="3029" t="s">
        <v>3230</v>
      </c>
      <c r="C525" s="3029" t="s">
        <v>3754</v>
      </c>
      <c r="D525" s="3030">
        <v>46.564799999999998</v>
      </c>
      <c r="E525" s="3029" t="s">
        <v>1377</v>
      </c>
      <c r="F525" s="3029"/>
      <c r="G525" s="3029"/>
    </row>
    <row r="526" spans="1:7">
      <c r="A526" s="3028">
        <v>525</v>
      </c>
      <c r="B526" s="3029" t="s">
        <v>3230</v>
      </c>
      <c r="C526" s="3029" t="s">
        <v>3755</v>
      </c>
      <c r="D526" s="3030">
        <v>46.564799999999998</v>
      </c>
      <c r="E526" s="3029" t="s">
        <v>1377</v>
      </c>
      <c r="F526" s="3029"/>
      <c r="G526" s="3029"/>
    </row>
    <row r="527" spans="1:7">
      <c r="A527" s="3028">
        <v>526</v>
      </c>
      <c r="B527" s="3029" t="s">
        <v>3230</v>
      </c>
      <c r="C527" s="3029" t="s">
        <v>3756</v>
      </c>
      <c r="D527" s="3030">
        <v>46.564799999999998</v>
      </c>
      <c r="E527" s="3029" t="s">
        <v>1377</v>
      </c>
      <c r="F527" s="3029"/>
      <c r="G527" s="3029"/>
    </row>
    <row r="528" spans="1:7">
      <c r="A528" s="3028">
        <v>527</v>
      </c>
      <c r="B528" s="3029" t="s">
        <v>3230</v>
      </c>
      <c r="C528" s="3029" t="s">
        <v>3757</v>
      </c>
      <c r="D528" s="3030">
        <v>47.547199999999997</v>
      </c>
      <c r="E528" s="3029" t="s">
        <v>1377</v>
      </c>
      <c r="F528" s="3029"/>
      <c r="G528" s="3029"/>
    </row>
    <row r="529" spans="1:7">
      <c r="A529" s="3028">
        <v>528</v>
      </c>
      <c r="B529" s="3029" t="s">
        <v>3230</v>
      </c>
      <c r="C529" s="3029" t="s">
        <v>3758</v>
      </c>
      <c r="D529" s="3030">
        <v>46.253799999999998</v>
      </c>
      <c r="E529" s="3029" t="s">
        <v>1377</v>
      </c>
      <c r="F529" s="3029"/>
      <c r="G529" s="3029"/>
    </row>
    <row r="530" spans="1:7">
      <c r="A530" s="3028">
        <v>529</v>
      </c>
      <c r="B530" s="3029" t="s">
        <v>3230</v>
      </c>
      <c r="C530" s="3029" t="s">
        <v>3759</v>
      </c>
      <c r="D530" s="3030">
        <v>46.564799999999998</v>
      </c>
      <c r="E530" s="3029" t="s">
        <v>1377</v>
      </c>
      <c r="F530" s="3029"/>
      <c r="G530" s="3029"/>
    </row>
    <row r="531" spans="1:7">
      <c r="A531" s="3028">
        <v>530</v>
      </c>
      <c r="B531" s="3029" t="s">
        <v>3230</v>
      </c>
      <c r="C531" s="3029" t="s">
        <v>3760</v>
      </c>
      <c r="D531" s="3030">
        <v>46.564799999999998</v>
      </c>
      <c r="E531" s="3029" t="s">
        <v>1377</v>
      </c>
      <c r="F531" s="3029"/>
      <c r="G531" s="3029"/>
    </row>
    <row r="532" spans="1:7">
      <c r="A532" s="3028">
        <v>531</v>
      </c>
      <c r="B532" s="3029" t="s">
        <v>3230</v>
      </c>
      <c r="C532" s="3029" t="s">
        <v>3761</v>
      </c>
      <c r="D532" s="3030">
        <v>46.564799999999998</v>
      </c>
      <c r="E532" s="3029" t="s">
        <v>1377</v>
      </c>
      <c r="F532" s="3029"/>
      <c r="G532" s="3029"/>
    </row>
    <row r="533" spans="1:7">
      <c r="A533" s="3028">
        <v>532</v>
      </c>
      <c r="B533" s="3029" t="s">
        <v>3230</v>
      </c>
      <c r="C533" s="3029" t="s">
        <v>3762</v>
      </c>
      <c r="D533" s="3030">
        <v>46.564799999999998</v>
      </c>
      <c r="E533" s="3029" t="s">
        <v>1377</v>
      </c>
      <c r="F533" s="3029"/>
      <c r="G533" s="3029"/>
    </row>
    <row r="534" spans="1:7">
      <c r="A534" s="3028">
        <v>533</v>
      </c>
      <c r="B534" s="3029" t="s">
        <v>3230</v>
      </c>
      <c r="C534" s="3029" t="s">
        <v>3763</v>
      </c>
      <c r="D534" s="3030">
        <v>46.200699999999998</v>
      </c>
      <c r="E534" s="3029" t="s">
        <v>1377</v>
      </c>
      <c r="F534" s="3029"/>
      <c r="G534" s="3029"/>
    </row>
    <row r="535" spans="1:7">
      <c r="A535" s="3028">
        <v>534</v>
      </c>
      <c r="B535" s="3029" t="s">
        <v>3230</v>
      </c>
      <c r="C535" s="3029" t="s">
        <v>3764</v>
      </c>
      <c r="D535" s="3030">
        <v>46.200699999999998</v>
      </c>
      <c r="E535" s="3029" t="s">
        <v>1377</v>
      </c>
      <c r="F535" s="3029"/>
      <c r="G535" s="3029"/>
    </row>
    <row r="536" spans="1:7">
      <c r="A536" s="3028">
        <v>535</v>
      </c>
      <c r="B536" s="3029" t="s">
        <v>3230</v>
      </c>
      <c r="C536" s="3029" t="s">
        <v>3765</v>
      </c>
      <c r="D536" s="3030">
        <v>46.564799999999998</v>
      </c>
      <c r="E536" s="3029" t="s">
        <v>1377</v>
      </c>
      <c r="F536" s="3029"/>
      <c r="G536" s="3029"/>
    </row>
    <row r="537" spans="1:7">
      <c r="A537" s="3028">
        <v>536</v>
      </c>
      <c r="B537" s="3029" t="s">
        <v>3230</v>
      </c>
      <c r="C537" s="3029" t="s">
        <v>3766</v>
      </c>
      <c r="D537" s="3030">
        <v>46.291699999999999</v>
      </c>
      <c r="E537" s="3029" t="s">
        <v>1377</v>
      </c>
      <c r="F537" s="3029"/>
      <c r="G537" s="3029"/>
    </row>
    <row r="538" spans="1:7">
      <c r="A538" s="3028">
        <v>537</v>
      </c>
      <c r="B538" s="3029" t="s">
        <v>3230</v>
      </c>
      <c r="C538" s="3029" t="s">
        <v>3767</v>
      </c>
      <c r="D538" s="3030">
        <v>46.291699999999999</v>
      </c>
      <c r="E538" s="3029" t="s">
        <v>1377</v>
      </c>
      <c r="F538" s="3029"/>
      <c r="G538" s="3029"/>
    </row>
    <row r="539" spans="1:7">
      <c r="A539" s="3028">
        <v>538</v>
      </c>
      <c r="B539" s="3029" t="s">
        <v>3230</v>
      </c>
      <c r="C539" s="3029" t="s">
        <v>3768</v>
      </c>
      <c r="D539" s="3030">
        <v>46.291699999999999</v>
      </c>
      <c r="E539" s="3029" t="s">
        <v>1377</v>
      </c>
      <c r="F539" s="3029"/>
      <c r="G539" s="3029"/>
    </row>
    <row r="540" spans="1:7">
      <c r="A540" s="3028">
        <v>539</v>
      </c>
      <c r="B540" s="3029" t="s">
        <v>3230</v>
      </c>
      <c r="C540" s="3029" t="s">
        <v>3769</v>
      </c>
      <c r="D540" s="3030">
        <v>46.291699999999999</v>
      </c>
      <c r="E540" s="3029" t="s">
        <v>1377</v>
      </c>
      <c r="F540" s="3029"/>
      <c r="G540" s="3029"/>
    </row>
    <row r="541" spans="1:7">
      <c r="A541" s="3028">
        <v>540</v>
      </c>
      <c r="B541" s="3029" t="s">
        <v>3230</v>
      </c>
      <c r="C541" s="3029" t="s">
        <v>3770</v>
      </c>
      <c r="D541" s="3030">
        <v>46.564799999999998</v>
      </c>
      <c r="E541" s="3029" t="s">
        <v>1377</v>
      </c>
      <c r="F541" s="3029"/>
      <c r="G541" s="3029"/>
    </row>
    <row r="542" spans="1:7">
      <c r="A542" s="3028">
        <v>541</v>
      </c>
      <c r="B542" s="3029" t="s">
        <v>3230</v>
      </c>
      <c r="C542" s="3029" t="s">
        <v>3771</v>
      </c>
      <c r="D542" s="3030">
        <v>46.564799999999998</v>
      </c>
      <c r="E542" s="3029" t="s">
        <v>1377</v>
      </c>
      <c r="F542" s="3029"/>
      <c r="G542" s="3029"/>
    </row>
    <row r="543" spans="1:7">
      <c r="A543" s="3028">
        <v>542</v>
      </c>
      <c r="B543" s="3029" t="s">
        <v>3230</v>
      </c>
      <c r="C543" s="3029" t="s">
        <v>3772</v>
      </c>
      <c r="D543" s="3030">
        <v>46.291699999999999</v>
      </c>
      <c r="E543" s="3029" t="s">
        <v>1377</v>
      </c>
      <c r="F543" s="3029"/>
      <c r="G543" s="3029"/>
    </row>
    <row r="544" spans="1:7">
      <c r="A544" s="3028">
        <v>543</v>
      </c>
      <c r="B544" s="3029" t="s">
        <v>3230</v>
      </c>
      <c r="C544" s="3029" t="s">
        <v>3773</v>
      </c>
      <c r="D544" s="3030">
        <v>46.291699999999999</v>
      </c>
      <c r="E544" s="3029" t="s">
        <v>1377</v>
      </c>
      <c r="F544" s="3029"/>
      <c r="G544" s="3029"/>
    </row>
    <row r="545" spans="1:7">
      <c r="A545" s="3028">
        <v>544</v>
      </c>
      <c r="B545" s="3029" t="s">
        <v>3230</v>
      </c>
      <c r="C545" s="3029" t="s">
        <v>3774</v>
      </c>
      <c r="D545" s="3030">
        <v>46.564799999999998</v>
      </c>
      <c r="E545" s="3029" t="s">
        <v>1377</v>
      </c>
      <c r="F545" s="3029"/>
      <c r="G545" s="3029"/>
    </row>
    <row r="546" spans="1:7">
      <c r="A546" s="3028">
        <v>545</v>
      </c>
      <c r="B546" s="3029" t="s">
        <v>3230</v>
      </c>
      <c r="C546" s="3029" t="s">
        <v>3775</v>
      </c>
      <c r="D546" s="3030">
        <v>46.564799999999998</v>
      </c>
      <c r="E546" s="3029" t="s">
        <v>1377</v>
      </c>
      <c r="F546" s="3029"/>
      <c r="G546" s="3029"/>
    </row>
    <row r="547" spans="1:7">
      <c r="A547" s="3028">
        <v>546</v>
      </c>
      <c r="B547" s="3029" t="s">
        <v>3230</v>
      </c>
      <c r="C547" s="3029" t="s">
        <v>3776</v>
      </c>
      <c r="D547" s="3030">
        <v>46.291699999999999</v>
      </c>
      <c r="E547" s="3029" t="s">
        <v>1377</v>
      </c>
      <c r="F547" s="3029"/>
      <c r="G547" s="3029"/>
    </row>
    <row r="548" spans="1:7">
      <c r="A548" s="3028">
        <v>547</v>
      </c>
      <c r="B548" s="3029" t="s">
        <v>3230</v>
      </c>
      <c r="C548" s="3029" t="s">
        <v>3777</v>
      </c>
      <c r="D548" s="3030">
        <v>46.291699999999999</v>
      </c>
      <c r="E548" s="3029" t="s">
        <v>1377</v>
      </c>
      <c r="F548" s="3029"/>
      <c r="G548" s="3029"/>
    </row>
    <row r="549" spans="1:7">
      <c r="A549" s="3028">
        <v>548</v>
      </c>
      <c r="B549" s="3029" t="s">
        <v>3230</v>
      </c>
      <c r="C549" s="3029" t="s">
        <v>3778</v>
      </c>
      <c r="D549" s="3030">
        <v>46.564799999999998</v>
      </c>
      <c r="E549" s="3029" t="s">
        <v>1377</v>
      </c>
      <c r="F549" s="3029"/>
      <c r="G549" s="3029"/>
    </row>
    <row r="550" spans="1:7">
      <c r="A550" s="3028">
        <v>549</v>
      </c>
      <c r="B550" s="3029" t="s">
        <v>3230</v>
      </c>
      <c r="C550" s="3029" t="s">
        <v>3779</v>
      </c>
      <c r="D550" s="3030">
        <v>46.564799999999998</v>
      </c>
      <c r="E550" s="3029" t="s">
        <v>1377</v>
      </c>
      <c r="F550" s="3029"/>
      <c r="G550" s="3029"/>
    </row>
    <row r="551" spans="1:7">
      <c r="A551" s="3028">
        <v>550</v>
      </c>
      <c r="B551" s="3029" t="s">
        <v>3230</v>
      </c>
      <c r="C551" s="3029" t="s">
        <v>3780</v>
      </c>
      <c r="D551" s="3030">
        <v>46.564799999999998</v>
      </c>
      <c r="E551" s="3029" t="s">
        <v>1377</v>
      </c>
      <c r="F551" s="3029"/>
      <c r="G551" s="3029"/>
    </row>
    <row r="552" spans="1:7">
      <c r="A552" s="3028">
        <v>551</v>
      </c>
      <c r="B552" s="3029" t="s">
        <v>3230</v>
      </c>
      <c r="C552" s="3029" t="s">
        <v>3781</v>
      </c>
      <c r="D552" s="3030">
        <v>46.564799999999998</v>
      </c>
      <c r="E552" s="3029" t="s">
        <v>1377</v>
      </c>
      <c r="F552" s="3029"/>
      <c r="G552" s="3029"/>
    </row>
    <row r="553" spans="1:7">
      <c r="A553" s="3028">
        <v>552</v>
      </c>
      <c r="B553" s="3029" t="s">
        <v>3230</v>
      </c>
      <c r="C553" s="3029" t="s">
        <v>3782</v>
      </c>
      <c r="D553" s="3030">
        <v>46.291699999999999</v>
      </c>
      <c r="E553" s="3029" t="s">
        <v>1377</v>
      </c>
      <c r="F553" s="3029"/>
      <c r="G553" s="3029"/>
    </row>
    <row r="554" spans="1:7">
      <c r="A554" s="3028">
        <v>553</v>
      </c>
      <c r="B554" s="3029" t="s">
        <v>3230</v>
      </c>
      <c r="C554" s="3029" t="s">
        <v>3783</v>
      </c>
      <c r="D554" s="3030">
        <v>46.291699999999999</v>
      </c>
      <c r="E554" s="3029" t="s">
        <v>1377</v>
      </c>
      <c r="F554" s="3029"/>
      <c r="G554" s="3029"/>
    </row>
    <row r="555" spans="1:7">
      <c r="A555" s="3028">
        <v>554</v>
      </c>
      <c r="B555" s="3029" t="s">
        <v>3230</v>
      </c>
      <c r="C555" s="3029" t="s">
        <v>3784</v>
      </c>
      <c r="D555" s="3030">
        <v>51.785699999999999</v>
      </c>
      <c r="E555" s="3029" t="s">
        <v>1377</v>
      </c>
      <c r="F555" s="3029"/>
      <c r="G555" s="3029"/>
    </row>
    <row r="556" spans="1:7">
      <c r="A556" s="3028">
        <v>555</v>
      </c>
      <c r="B556" s="3029" t="s">
        <v>3230</v>
      </c>
      <c r="C556" s="3029" t="s">
        <v>3785</v>
      </c>
      <c r="D556" s="3030">
        <v>51.785699999999999</v>
      </c>
      <c r="E556" s="3029" t="s">
        <v>1377</v>
      </c>
      <c r="F556" s="3029"/>
      <c r="G556" s="3029"/>
    </row>
    <row r="557" spans="1:7">
      <c r="A557" s="3028">
        <v>556</v>
      </c>
      <c r="B557" s="3029" t="s">
        <v>3230</v>
      </c>
      <c r="C557" s="3029" t="s">
        <v>3786</v>
      </c>
      <c r="D557" s="3030">
        <v>51.785699999999999</v>
      </c>
      <c r="E557" s="3029" t="s">
        <v>1377</v>
      </c>
      <c r="F557" s="3029"/>
      <c r="G557" s="3029"/>
    </row>
    <row r="558" spans="1:7">
      <c r="A558" s="3028">
        <v>557</v>
      </c>
      <c r="B558" s="3029" t="s">
        <v>3230</v>
      </c>
      <c r="C558" s="3029" t="s">
        <v>3787</v>
      </c>
      <c r="D558" s="3030">
        <v>50.515799999999999</v>
      </c>
      <c r="E558" s="3029" t="s">
        <v>1377</v>
      </c>
      <c r="F558" s="3029"/>
      <c r="G558" s="3029"/>
    </row>
    <row r="559" spans="1:7">
      <c r="D559" s="3034">
        <f>SUM(D2:D558)</f>
        <v>27289.37320000014</v>
      </c>
    </row>
  </sheetData>
  <autoFilter ref="A1:E558"/>
  <phoneticPr fontId="144" type="noConversion"/>
  <pageMargins left="0.75" right="0.75" top="1" bottom="1" header="0.51180555555555551" footer="0.51180555555555551"/>
  <pageSetup paperSize="9" firstPageNumber="4294963191" orientation="portrait" horizontalDpi="0"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7" t="str">
        <f>项目基本情况!B1</f>
        <v>广东省广州市天河区元岗路粤隆客车厂地块1、地块2出让国有建设用地使用权及在建建筑物房地产抵押价值预评估</v>
      </c>
      <c r="C37" s="3057"/>
      <c r="D37" s="3057"/>
      <c r="E37" s="3057"/>
      <c r="F37" s="3057"/>
      <c r="G37" s="3057"/>
      <c r="H37" s="3057"/>
      <c r="I37" s="3057"/>
    </row>
    <row r="38" spans="1:9">
      <c r="A38" s="1015"/>
      <c r="B38" s="1015"/>
    </row>
    <row r="39" spans="1:9">
      <c r="A39" s="1013" t="s">
        <v>818</v>
      </c>
      <c r="B39" s="1013" t="s">
        <v>820</v>
      </c>
    </row>
    <row r="40" spans="1:9">
      <c r="A40" s="1013"/>
      <c r="B40" s="1941" t="str">
        <f>项目基本情况!B5</f>
        <v>广东粤财信托有限公司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王鹏（注册号：1120050019)、郑燚（注册号：1120070131)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1"/>
  <sheetViews>
    <sheetView zoomScaleSheetLayoutView="100" workbookViewId="0">
      <pane xSplit="1" ySplit="1" topLeftCell="B230" activePane="bottomRight" state="frozen"/>
      <selection activeCell="I15" sqref="I15"/>
      <selection pane="topRight" activeCell="I15" sqref="I15"/>
      <selection pane="bottomLeft" activeCell="I15" sqref="I15"/>
      <selection pane="bottomRight" activeCell="F45" sqref="F45:H45"/>
    </sheetView>
  </sheetViews>
  <sheetFormatPr defaultRowHeight="12"/>
  <cols>
    <col min="1" max="2" width="9" style="3035"/>
    <col min="3" max="3" width="30.875" style="3035" customWidth="1"/>
    <col min="4" max="4" width="12.25" style="3035" customWidth="1"/>
    <col min="5" max="5" width="10.875" style="3035" customWidth="1"/>
    <col min="6" max="258" width="9" style="3035"/>
    <col min="259" max="259" width="30.875" style="3035" customWidth="1"/>
    <col min="260" max="260" width="12.25" style="3035" customWidth="1"/>
    <col min="261" max="261" width="10.875" style="3035" customWidth="1"/>
    <col min="262" max="514" width="9" style="3035"/>
    <col min="515" max="515" width="30.875" style="3035" customWidth="1"/>
    <col min="516" max="516" width="12.25" style="3035" customWidth="1"/>
    <col min="517" max="517" width="10.875" style="3035" customWidth="1"/>
    <col min="518" max="770" width="9" style="3035"/>
    <col min="771" max="771" width="30.875" style="3035" customWidth="1"/>
    <col min="772" max="772" width="12.25" style="3035" customWidth="1"/>
    <col min="773" max="773" width="10.875" style="3035" customWidth="1"/>
    <col min="774" max="1026" width="9" style="3035"/>
    <col min="1027" max="1027" width="30.875" style="3035" customWidth="1"/>
    <col min="1028" max="1028" width="12.25" style="3035" customWidth="1"/>
    <col min="1029" max="1029" width="10.875" style="3035" customWidth="1"/>
    <col min="1030" max="1282" width="9" style="3035"/>
    <col min="1283" max="1283" width="30.875" style="3035" customWidth="1"/>
    <col min="1284" max="1284" width="12.25" style="3035" customWidth="1"/>
    <col min="1285" max="1285" width="10.875" style="3035" customWidth="1"/>
    <col min="1286" max="1538" width="9" style="3035"/>
    <col min="1539" max="1539" width="30.875" style="3035" customWidth="1"/>
    <col min="1540" max="1540" width="12.25" style="3035" customWidth="1"/>
    <col min="1541" max="1541" width="10.875" style="3035" customWidth="1"/>
    <col min="1542" max="1794" width="9" style="3035"/>
    <col min="1795" max="1795" width="30.875" style="3035" customWidth="1"/>
    <col min="1796" max="1796" width="12.25" style="3035" customWidth="1"/>
    <col min="1797" max="1797" width="10.875" style="3035" customWidth="1"/>
    <col min="1798" max="2050" width="9" style="3035"/>
    <col min="2051" max="2051" width="30.875" style="3035" customWidth="1"/>
    <col min="2052" max="2052" width="12.25" style="3035" customWidth="1"/>
    <col min="2053" max="2053" width="10.875" style="3035" customWidth="1"/>
    <col min="2054" max="2306" width="9" style="3035"/>
    <col min="2307" max="2307" width="30.875" style="3035" customWidth="1"/>
    <col min="2308" max="2308" width="12.25" style="3035" customWidth="1"/>
    <col min="2309" max="2309" width="10.875" style="3035" customWidth="1"/>
    <col min="2310" max="2562" width="9" style="3035"/>
    <col min="2563" max="2563" width="30.875" style="3035" customWidth="1"/>
    <col min="2564" max="2564" width="12.25" style="3035" customWidth="1"/>
    <col min="2565" max="2565" width="10.875" style="3035" customWidth="1"/>
    <col min="2566" max="2818" width="9" style="3035"/>
    <col min="2819" max="2819" width="30.875" style="3035" customWidth="1"/>
    <col min="2820" max="2820" width="12.25" style="3035" customWidth="1"/>
    <col min="2821" max="2821" width="10.875" style="3035" customWidth="1"/>
    <col min="2822" max="3074" width="9" style="3035"/>
    <col min="3075" max="3075" width="30.875" style="3035" customWidth="1"/>
    <col min="3076" max="3076" width="12.25" style="3035" customWidth="1"/>
    <col min="3077" max="3077" width="10.875" style="3035" customWidth="1"/>
    <col min="3078" max="3330" width="9" style="3035"/>
    <col min="3331" max="3331" width="30.875" style="3035" customWidth="1"/>
    <col min="3332" max="3332" width="12.25" style="3035" customWidth="1"/>
    <col min="3333" max="3333" width="10.875" style="3035" customWidth="1"/>
    <col min="3334" max="3586" width="9" style="3035"/>
    <col min="3587" max="3587" width="30.875" style="3035" customWidth="1"/>
    <col min="3588" max="3588" width="12.25" style="3035" customWidth="1"/>
    <col min="3589" max="3589" width="10.875" style="3035" customWidth="1"/>
    <col min="3590" max="3842" width="9" style="3035"/>
    <col min="3843" max="3843" width="30.875" style="3035" customWidth="1"/>
    <col min="3844" max="3844" width="12.25" style="3035" customWidth="1"/>
    <col min="3845" max="3845" width="10.875" style="3035" customWidth="1"/>
    <col min="3846" max="4098" width="9" style="3035"/>
    <col min="4099" max="4099" width="30.875" style="3035" customWidth="1"/>
    <col min="4100" max="4100" width="12.25" style="3035" customWidth="1"/>
    <col min="4101" max="4101" width="10.875" style="3035" customWidth="1"/>
    <col min="4102" max="4354" width="9" style="3035"/>
    <col min="4355" max="4355" width="30.875" style="3035" customWidth="1"/>
    <col min="4356" max="4356" width="12.25" style="3035" customWidth="1"/>
    <col min="4357" max="4357" width="10.875" style="3035" customWidth="1"/>
    <col min="4358" max="4610" width="9" style="3035"/>
    <col min="4611" max="4611" width="30.875" style="3035" customWidth="1"/>
    <col min="4612" max="4612" width="12.25" style="3035" customWidth="1"/>
    <col min="4613" max="4613" width="10.875" style="3035" customWidth="1"/>
    <col min="4614" max="4866" width="9" style="3035"/>
    <col min="4867" max="4867" width="30.875" style="3035" customWidth="1"/>
    <col min="4868" max="4868" width="12.25" style="3035" customWidth="1"/>
    <col min="4869" max="4869" width="10.875" style="3035" customWidth="1"/>
    <col min="4870" max="5122" width="9" style="3035"/>
    <col min="5123" max="5123" width="30.875" style="3035" customWidth="1"/>
    <col min="5124" max="5124" width="12.25" style="3035" customWidth="1"/>
    <col min="5125" max="5125" width="10.875" style="3035" customWidth="1"/>
    <col min="5126" max="5378" width="9" style="3035"/>
    <col min="5379" max="5379" width="30.875" style="3035" customWidth="1"/>
    <col min="5380" max="5380" width="12.25" style="3035" customWidth="1"/>
    <col min="5381" max="5381" width="10.875" style="3035" customWidth="1"/>
    <col min="5382" max="5634" width="9" style="3035"/>
    <col min="5635" max="5635" width="30.875" style="3035" customWidth="1"/>
    <col min="5636" max="5636" width="12.25" style="3035" customWidth="1"/>
    <col min="5637" max="5637" width="10.875" style="3035" customWidth="1"/>
    <col min="5638" max="5890" width="9" style="3035"/>
    <col min="5891" max="5891" width="30.875" style="3035" customWidth="1"/>
    <col min="5892" max="5892" width="12.25" style="3035" customWidth="1"/>
    <col min="5893" max="5893" width="10.875" style="3035" customWidth="1"/>
    <col min="5894" max="6146" width="9" style="3035"/>
    <col min="6147" max="6147" width="30.875" style="3035" customWidth="1"/>
    <col min="6148" max="6148" width="12.25" style="3035" customWidth="1"/>
    <col min="6149" max="6149" width="10.875" style="3035" customWidth="1"/>
    <col min="6150" max="6402" width="9" style="3035"/>
    <col min="6403" max="6403" width="30.875" style="3035" customWidth="1"/>
    <col min="6404" max="6404" width="12.25" style="3035" customWidth="1"/>
    <col min="6405" max="6405" width="10.875" style="3035" customWidth="1"/>
    <col min="6406" max="6658" width="9" style="3035"/>
    <col min="6659" max="6659" width="30.875" style="3035" customWidth="1"/>
    <col min="6660" max="6660" width="12.25" style="3035" customWidth="1"/>
    <col min="6661" max="6661" width="10.875" style="3035" customWidth="1"/>
    <col min="6662" max="6914" width="9" style="3035"/>
    <col min="6915" max="6915" width="30.875" style="3035" customWidth="1"/>
    <col min="6916" max="6916" width="12.25" style="3035" customWidth="1"/>
    <col min="6917" max="6917" width="10.875" style="3035" customWidth="1"/>
    <col min="6918" max="7170" width="9" style="3035"/>
    <col min="7171" max="7171" width="30.875" style="3035" customWidth="1"/>
    <col min="7172" max="7172" width="12.25" style="3035" customWidth="1"/>
    <col min="7173" max="7173" width="10.875" style="3035" customWidth="1"/>
    <col min="7174" max="7426" width="9" style="3035"/>
    <col min="7427" max="7427" width="30.875" style="3035" customWidth="1"/>
    <col min="7428" max="7428" width="12.25" style="3035" customWidth="1"/>
    <col min="7429" max="7429" width="10.875" style="3035" customWidth="1"/>
    <col min="7430" max="7682" width="9" style="3035"/>
    <col min="7683" max="7683" width="30.875" style="3035" customWidth="1"/>
    <col min="7684" max="7684" width="12.25" style="3035" customWidth="1"/>
    <col min="7685" max="7685" width="10.875" style="3035" customWidth="1"/>
    <col min="7686" max="7938" width="9" style="3035"/>
    <col min="7939" max="7939" width="30.875" style="3035" customWidth="1"/>
    <col min="7940" max="7940" width="12.25" style="3035" customWidth="1"/>
    <col min="7941" max="7941" width="10.875" style="3035" customWidth="1"/>
    <col min="7942" max="8194" width="9" style="3035"/>
    <col min="8195" max="8195" width="30.875" style="3035" customWidth="1"/>
    <col min="8196" max="8196" width="12.25" style="3035" customWidth="1"/>
    <col min="8197" max="8197" width="10.875" style="3035" customWidth="1"/>
    <col min="8198" max="8450" width="9" style="3035"/>
    <col min="8451" max="8451" width="30.875" style="3035" customWidth="1"/>
    <col min="8452" max="8452" width="12.25" style="3035" customWidth="1"/>
    <col min="8453" max="8453" width="10.875" style="3035" customWidth="1"/>
    <col min="8454" max="8706" width="9" style="3035"/>
    <col min="8707" max="8707" width="30.875" style="3035" customWidth="1"/>
    <col min="8708" max="8708" width="12.25" style="3035" customWidth="1"/>
    <col min="8709" max="8709" width="10.875" style="3035" customWidth="1"/>
    <col min="8710" max="8962" width="9" style="3035"/>
    <col min="8963" max="8963" width="30.875" style="3035" customWidth="1"/>
    <col min="8964" max="8964" width="12.25" style="3035" customWidth="1"/>
    <col min="8965" max="8965" width="10.875" style="3035" customWidth="1"/>
    <col min="8966" max="9218" width="9" style="3035"/>
    <col min="9219" max="9219" width="30.875" style="3035" customWidth="1"/>
    <col min="9220" max="9220" width="12.25" style="3035" customWidth="1"/>
    <col min="9221" max="9221" width="10.875" style="3035" customWidth="1"/>
    <col min="9222" max="9474" width="9" style="3035"/>
    <col min="9475" max="9475" width="30.875" style="3035" customWidth="1"/>
    <col min="9476" max="9476" width="12.25" style="3035" customWidth="1"/>
    <col min="9477" max="9477" width="10.875" style="3035" customWidth="1"/>
    <col min="9478" max="9730" width="9" style="3035"/>
    <col min="9731" max="9731" width="30.875" style="3035" customWidth="1"/>
    <col min="9732" max="9732" width="12.25" style="3035" customWidth="1"/>
    <col min="9733" max="9733" width="10.875" style="3035" customWidth="1"/>
    <col min="9734" max="9986" width="9" style="3035"/>
    <col min="9987" max="9987" width="30.875" style="3035" customWidth="1"/>
    <col min="9988" max="9988" width="12.25" style="3035" customWidth="1"/>
    <col min="9989" max="9989" width="10.875" style="3035" customWidth="1"/>
    <col min="9990" max="10242" width="9" style="3035"/>
    <col min="10243" max="10243" width="30.875" style="3035" customWidth="1"/>
    <col min="10244" max="10244" width="12.25" style="3035" customWidth="1"/>
    <col min="10245" max="10245" width="10.875" style="3035" customWidth="1"/>
    <col min="10246" max="10498" width="9" style="3035"/>
    <col min="10499" max="10499" width="30.875" style="3035" customWidth="1"/>
    <col min="10500" max="10500" width="12.25" style="3035" customWidth="1"/>
    <col min="10501" max="10501" width="10.875" style="3035" customWidth="1"/>
    <col min="10502" max="10754" width="9" style="3035"/>
    <col min="10755" max="10755" width="30.875" style="3035" customWidth="1"/>
    <col min="10756" max="10756" width="12.25" style="3035" customWidth="1"/>
    <col min="10757" max="10757" width="10.875" style="3035" customWidth="1"/>
    <col min="10758" max="11010" width="9" style="3035"/>
    <col min="11011" max="11011" width="30.875" style="3035" customWidth="1"/>
    <col min="11012" max="11012" width="12.25" style="3035" customWidth="1"/>
    <col min="11013" max="11013" width="10.875" style="3035" customWidth="1"/>
    <col min="11014" max="11266" width="9" style="3035"/>
    <col min="11267" max="11267" width="30.875" style="3035" customWidth="1"/>
    <col min="11268" max="11268" width="12.25" style="3035" customWidth="1"/>
    <col min="11269" max="11269" width="10.875" style="3035" customWidth="1"/>
    <col min="11270" max="11522" width="9" style="3035"/>
    <col min="11523" max="11523" width="30.875" style="3035" customWidth="1"/>
    <col min="11524" max="11524" width="12.25" style="3035" customWidth="1"/>
    <col min="11525" max="11525" width="10.875" style="3035" customWidth="1"/>
    <col min="11526" max="11778" width="9" style="3035"/>
    <col min="11779" max="11779" width="30.875" style="3035" customWidth="1"/>
    <col min="11780" max="11780" width="12.25" style="3035" customWidth="1"/>
    <col min="11781" max="11781" width="10.875" style="3035" customWidth="1"/>
    <col min="11782" max="12034" width="9" style="3035"/>
    <col min="12035" max="12035" width="30.875" style="3035" customWidth="1"/>
    <col min="12036" max="12036" width="12.25" style="3035" customWidth="1"/>
    <col min="12037" max="12037" width="10.875" style="3035" customWidth="1"/>
    <col min="12038" max="12290" width="9" style="3035"/>
    <col min="12291" max="12291" width="30.875" style="3035" customWidth="1"/>
    <col min="12292" max="12292" width="12.25" style="3035" customWidth="1"/>
    <col min="12293" max="12293" width="10.875" style="3035" customWidth="1"/>
    <col min="12294" max="12546" width="9" style="3035"/>
    <col min="12547" max="12547" width="30.875" style="3035" customWidth="1"/>
    <col min="12548" max="12548" width="12.25" style="3035" customWidth="1"/>
    <col min="12549" max="12549" width="10.875" style="3035" customWidth="1"/>
    <col min="12550" max="12802" width="9" style="3035"/>
    <col min="12803" max="12803" width="30.875" style="3035" customWidth="1"/>
    <col min="12804" max="12804" width="12.25" style="3035" customWidth="1"/>
    <col min="12805" max="12805" width="10.875" style="3035" customWidth="1"/>
    <col min="12806" max="13058" width="9" style="3035"/>
    <col min="13059" max="13059" width="30.875" style="3035" customWidth="1"/>
    <col min="13060" max="13060" width="12.25" style="3035" customWidth="1"/>
    <col min="13061" max="13061" width="10.875" style="3035" customWidth="1"/>
    <col min="13062" max="13314" width="9" style="3035"/>
    <col min="13315" max="13315" width="30.875" style="3035" customWidth="1"/>
    <col min="13316" max="13316" width="12.25" style="3035" customWidth="1"/>
    <col min="13317" max="13317" width="10.875" style="3035" customWidth="1"/>
    <col min="13318" max="13570" width="9" style="3035"/>
    <col min="13571" max="13571" width="30.875" style="3035" customWidth="1"/>
    <col min="13572" max="13572" width="12.25" style="3035" customWidth="1"/>
    <col min="13573" max="13573" width="10.875" style="3035" customWidth="1"/>
    <col min="13574" max="13826" width="9" style="3035"/>
    <col min="13827" max="13827" width="30.875" style="3035" customWidth="1"/>
    <col min="13828" max="13828" width="12.25" style="3035" customWidth="1"/>
    <col min="13829" max="13829" width="10.875" style="3035" customWidth="1"/>
    <col min="13830" max="14082" width="9" style="3035"/>
    <col min="14083" max="14083" width="30.875" style="3035" customWidth="1"/>
    <col min="14084" max="14084" width="12.25" style="3035" customWidth="1"/>
    <col min="14085" max="14085" width="10.875" style="3035" customWidth="1"/>
    <col min="14086" max="14338" width="9" style="3035"/>
    <col min="14339" max="14339" width="30.875" style="3035" customWidth="1"/>
    <col min="14340" max="14340" width="12.25" style="3035" customWidth="1"/>
    <col min="14341" max="14341" width="10.875" style="3035" customWidth="1"/>
    <col min="14342" max="14594" width="9" style="3035"/>
    <col min="14595" max="14595" width="30.875" style="3035" customWidth="1"/>
    <col min="14596" max="14596" width="12.25" style="3035" customWidth="1"/>
    <col min="14597" max="14597" width="10.875" style="3035" customWidth="1"/>
    <col min="14598" max="14850" width="9" style="3035"/>
    <col min="14851" max="14851" width="30.875" style="3035" customWidth="1"/>
    <col min="14852" max="14852" width="12.25" style="3035" customWidth="1"/>
    <col min="14853" max="14853" width="10.875" style="3035" customWidth="1"/>
    <col min="14854" max="15106" width="9" style="3035"/>
    <col min="15107" max="15107" width="30.875" style="3035" customWidth="1"/>
    <col min="15108" max="15108" width="12.25" style="3035" customWidth="1"/>
    <col min="15109" max="15109" width="10.875" style="3035" customWidth="1"/>
    <col min="15110" max="15362" width="9" style="3035"/>
    <col min="15363" max="15363" width="30.875" style="3035" customWidth="1"/>
    <col min="15364" max="15364" width="12.25" style="3035" customWidth="1"/>
    <col min="15365" max="15365" width="10.875" style="3035" customWidth="1"/>
    <col min="15366" max="15618" width="9" style="3035"/>
    <col min="15619" max="15619" width="30.875" style="3035" customWidth="1"/>
    <col min="15620" max="15620" width="12.25" style="3035" customWidth="1"/>
    <col min="15621" max="15621" width="10.875" style="3035" customWidth="1"/>
    <col min="15622" max="15874" width="9" style="3035"/>
    <col min="15875" max="15875" width="30.875" style="3035" customWidth="1"/>
    <col min="15876" max="15876" width="12.25" style="3035" customWidth="1"/>
    <col min="15877" max="15877" width="10.875" style="3035" customWidth="1"/>
    <col min="15878" max="16130" width="9" style="3035"/>
    <col min="16131" max="16131" width="30.875" style="3035" customWidth="1"/>
    <col min="16132" max="16132" width="12.25" style="3035" customWidth="1"/>
    <col min="16133" max="16133" width="10.875" style="3035" customWidth="1"/>
    <col min="16134" max="16384" width="9" style="3035"/>
  </cols>
  <sheetData>
    <row r="1" spans="1:8" ht="22.5">
      <c r="B1" s="3036" t="s">
        <v>3226</v>
      </c>
      <c r="C1" s="3036" t="s">
        <v>3227</v>
      </c>
      <c r="D1" s="3036" t="s">
        <v>3228</v>
      </c>
      <c r="E1" s="3036" t="s">
        <v>3229</v>
      </c>
      <c r="G1" s="2954" t="s">
        <v>4475</v>
      </c>
      <c r="H1" s="2954" t="s">
        <v>3058</v>
      </c>
    </row>
    <row r="2" spans="1:8">
      <c r="A2" s="3035">
        <v>1</v>
      </c>
      <c r="B2" s="3035" t="s">
        <v>3230</v>
      </c>
      <c r="C2" s="3037" t="s">
        <v>3788</v>
      </c>
      <c r="D2" s="3038">
        <v>49.292700000000004</v>
      </c>
      <c r="E2" s="3037" t="s">
        <v>1377</v>
      </c>
      <c r="G2" s="3037" t="s">
        <v>4520</v>
      </c>
      <c r="H2" s="3038">
        <v>49.292700000000004</v>
      </c>
    </row>
    <row r="3" spans="1:8">
      <c r="A3" s="3035">
        <v>2</v>
      </c>
      <c r="B3" s="3035" t="s">
        <v>3230</v>
      </c>
      <c r="C3" s="3037" t="s">
        <v>3789</v>
      </c>
      <c r="D3" s="3038">
        <v>55.454300000000003</v>
      </c>
      <c r="E3" s="3037" t="s">
        <v>1377</v>
      </c>
      <c r="G3" s="3037" t="s">
        <v>4521</v>
      </c>
      <c r="H3" s="3038">
        <v>55.454300000000003</v>
      </c>
    </row>
    <row r="4" spans="1:8">
      <c r="A4" s="3035">
        <v>3</v>
      </c>
      <c r="B4" s="3035" t="s">
        <v>3230</v>
      </c>
      <c r="C4" s="3037" t="s">
        <v>3790</v>
      </c>
      <c r="D4" s="3038">
        <v>126.0082</v>
      </c>
      <c r="E4" s="3037" t="s">
        <v>1377</v>
      </c>
      <c r="G4" s="3037" t="s">
        <v>4522</v>
      </c>
      <c r="H4" s="3038">
        <v>126.0082</v>
      </c>
    </row>
    <row r="5" spans="1:8">
      <c r="A5" s="3035">
        <v>4</v>
      </c>
      <c r="B5" s="3035" t="s">
        <v>3230</v>
      </c>
      <c r="C5" s="3037" t="s">
        <v>3791</v>
      </c>
      <c r="D5" s="3038">
        <v>80.802099999999996</v>
      </c>
      <c r="E5" s="3037" t="s">
        <v>1377</v>
      </c>
      <c r="G5" s="3037" t="s">
        <v>4523</v>
      </c>
      <c r="H5" s="3038">
        <v>80.802099999999996</v>
      </c>
    </row>
    <row r="6" spans="1:8">
      <c r="A6" s="3035">
        <v>5</v>
      </c>
      <c r="B6" s="3035" t="s">
        <v>3230</v>
      </c>
      <c r="C6" s="3035" t="s">
        <v>3792</v>
      </c>
      <c r="D6" s="3039">
        <v>59.052399999999999</v>
      </c>
      <c r="E6" s="3035" t="s">
        <v>1377</v>
      </c>
      <c r="G6" s="3037" t="s">
        <v>4524</v>
      </c>
      <c r="H6" s="3039">
        <v>59.052399999999999</v>
      </c>
    </row>
    <row r="7" spans="1:8">
      <c r="A7" s="3035">
        <v>6</v>
      </c>
      <c r="B7" s="3035" t="s">
        <v>3230</v>
      </c>
      <c r="C7" s="3035" t="s">
        <v>3793</v>
      </c>
      <c r="D7" s="3039">
        <v>47.121400000000001</v>
      </c>
      <c r="E7" s="3035" t="s">
        <v>1377</v>
      </c>
      <c r="G7" s="3037" t="s">
        <v>4525</v>
      </c>
      <c r="H7" s="3039">
        <v>47.121400000000001</v>
      </c>
    </row>
    <row r="8" spans="1:8">
      <c r="A8" s="3035">
        <v>7</v>
      </c>
      <c r="B8" s="3035" t="s">
        <v>3230</v>
      </c>
      <c r="C8" s="3035" t="s">
        <v>3794</v>
      </c>
      <c r="D8" s="3039">
        <v>67.093699999999998</v>
      </c>
      <c r="E8" s="3035" t="s">
        <v>1377</v>
      </c>
      <c r="G8" s="3037" t="s">
        <v>4526</v>
      </c>
      <c r="H8" s="3039">
        <v>67.093699999999998</v>
      </c>
    </row>
    <row r="9" spans="1:8">
      <c r="A9" s="3035">
        <v>8</v>
      </c>
      <c r="B9" s="3035" t="s">
        <v>3230</v>
      </c>
      <c r="C9" s="3035" t="s">
        <v>3795</v>
      </c>
      <c r="D9" s="3039">
        <v>70.293800000000005</v>
      </c>
      <c r="E9" s="3035" t="s">
        <v>1377</v>
      </c>
      <c r="G9" s="3037" t="s">
        <v>4527</v>
      </c>
      <c r="H9" s="3039">
        <v>70.293800000000005</v>
      </c>
    </row>
    <row r="10" spans="1:8">
      <c r="A10" s="3035">
        <v>9</v>
      </c>
      <c r="B10" s="3035" t="s">
        <v>3230</v>
      </c>
      <c r="C10" s="3035" t="s">
        <v>3796</v>
      </c>
      <c r="D10" s="3039">
        <v>66.828800000000001</v>
      </c>
      <c r="E10" s="3035" t="s">
        <v>1377</v>
      </c>
      <c r="G10" s="3037" t="s">
        <v>4528</v>
      </c>
      <c r="H10" s="3039">
        <v>66.828800000000001</v>
      </c>
    </row>
    <row r="11" spans="1:8">
      <c r="A11" s="3035">
        <v>10</v>
      </c>
      <c r="B11" s="3035" t="s">
        <v>3230</v>
      </c>
      <c r="C11" s="3035" t="s">
        <v>3797</v>
      </c>
      <c r="D11" s="3039">
        <v>70.352400000000003</v>
      </c>
      <c r="E11" s="3035" t="s">
        <v>1377</v>
      </c>
      <c r="G11" s="3037" t="s">
        <v>4529</v>
      </c>
      <c r="H11" s="3039">
        <v>70.352400000000003</v>
      </c>
    </row>
    <row r="12" spans="1:8">
      <c r="A12" s="3035">
        <v>11</v>
      </c>
      <c r="B12" s="3035" t="s">
        <v>3230</v>
      </c>
      <c r="C12" s="3035" t="s">
        <v>3798</v>
      </c>
      <c r="D12" s="3039">
        <v>64.491</v>
      </c>
      <c r="E12" s="3035" t="s">
        <v>1377</v>
      </c>
      <c r="G12" s="3037" t="s">
        <v>4530</v>
      </c>
      <c r="H12" s="3039">
        <v>64.491</v>
      </c>
    </row>
    <row r="13" spans="1:8">
      <c r="A13" s="3035">
        <v>12</v>
      </c>
      <c r="B13" s="3035" t="s">
        <v>3230</v>
      </c>
      <c r="C13" s="3035" t="s">
        <v>3799</v>
      </c>
      <c r="D13" s="3039">
        <v>93.623599999999996</v>
      </c>
      <c r="E13" s="3035" t="s">
        <v>1377</v>
      </c>
      <c r="G13" s="3037" t="s">
        <v>4531</v>
      </c>
      <c r="H13" s="3039">
        <v>93.623599999999996</v>
      </c>
    </row>
    <row r="14" spans="1:8">
      <c r="A14" s="3035">
        <v>13</v>
      </c>
      <c r="B14" s="3035" t="s">
        <v>3230</v>
      </c>
      <c r="C14" s="3035" t="s">
        <v>3800</v>
      </c>
      <c r="D14" s="3039">
        <v>112.6541</v>
      </c>
      <c r="E14" s="3035" t="s">
        <v>1377</v>
      </c>
      <c r="G14" s="3037" t="s">
        <v>4532</v>
      </c>
      <c r="H14" s="3039">
        <v>112.6541</v>
      </c>
    </row>
    <row r="15" spans="1:8">
      <c r="A15" s="3035">
        <v>14</v>
      </c>
      <c r="B15" s="3035" t="s">
        <v>3230</v>
      </c>
      <c r="C15" s="3035" t="s">
        <v>3801</v>
      </c>
      <c r="D15" s="3039">
        <v>58.1539</v>
      </c>
      <c r="E15" s="3035" t="s">
        <v>1377</v>
      </c>
      <c r="G15" s="3037" t="s">
        <v>4533</v>
      </c>
      <c r="H15" s="3039">
        <v>58.1539</v>
      </c>
    </row>
    <row r="16" spans="1:8">
      <c r="A16" s="3035">
        <v>15</v>
      </c>
      <c r="B16" s="3035" t="s">
        <v>3230</v>
      </c>
      <c r="C16" s="3035" t="s">
        <v>3802</v>
      </c>
      <c r="D16" s="3039">
        <v>58.256100000000004</v>
      </c>
      <c r="E16" s="3035" t="s">
        <v>1377</v>
      </c>
      <c r="G16" s="3037" t="s">
        <v>4534</v>
      </c>
      <c r="H16" s="3039">
        <v>58.256100000000004</v>
      </c>
    </row>
    <row r="17" spans="1:8">
      <c r="A17" s="3035">
        <v>16</v>
      </c>
      <c r="B17" s="3035" t="s">
        <v>3230</v>
      </c>
      <c r="C17" s="3035" t="s">
        <v>3803</v>
      </c>
      <c r="D17" s="3039">
        <v>58.1539</v>
      </c>
      <c r="E17" s="3035" t="s">
        <v>1377</v>
      </c>
      <c r="G17" s="3037" t="s">
        <v>4535</v>
      </c>
      <c r="H17" s="3039">
        <v>58.1539</v>
      </c>
    </row>
    <row r="18" spans="1:8">
      <c r="A18" s="3035">
        <v>17</v>
      </c>
      <c r="B18" s="3035" t="s">
        <v>3230</v>
      </c>
      <c r="C18" s="3035" t="s">
        <v>3804</v>
      </c>
      <c r="D18" s="3039">
        <v>58.1539</v>
      </c>
      <c r="E18" s="3035" t="s">
        <v>1377</v>
      </c>
      <c r="G18" s="3037" t="s">
        <v>4536</v>
      </c>
      <c r="H18" s="3039">
        <v>58.1539</v>
      </c>
    </row>
    <row r="19" spans="1:8">
      <c r="A19" s="3035">
        <v>18</v>
      </c>
      <c r="B19" s="3035" t="s">
        <v>3230</v>
      </c>
      <c r="C19" s="3035" t="s">
        <v>3805</v>
      </c>
      <c r="D19" s="3039">
        <v>58.1539</v>
      </c>
      <c r="E19" s="3035" t="s">
        <v>1377</v>
      </c>
      <c r="G19" s="3037" t="s">
        <v>4537</v>
      </c>
      <c r="H19" s="3039">
        <v>58.1539</v>
      </c>
    </row>
    <row r="20" spans="1:8">
      <c r="A20" s="3035">
        <v>19</v>
      </c>
      <c r="B20" s="3035" t="s">
        <v>3230</v>
      </c>
      <c r="C20" s="3035" t="s">
        <v>3806</v>
      </c>
      <c r="D20" s="3039">
        <v>53.3459</v>
      </c>
      <c r="E20" s="3035" t="s">
        <v>1377</v>
      </c>
      <c r="G20" s="3037" t="s">
        <v>4538</v>
      </c>
      <c r="H20" s="3039">
        <v>53.3459</v>
      </c>
    </row>
    <row r="21" spans="1:8">
      <c r="A21" s="3035">
        <v>20</v>
      </c>
      <c r="B21" s="3035" t="s">
        <v>3230</v>
      </c>
      <c r="C21" s="3035" t="s">
        <v>3807</v>
      </c>
      <c r="D21" s="3039">
        <v>58.1539</v>
      </c>
      <c r="E21" s="3035" t="s">
        <v>1377</v>
      </c>
      <c r="G21" s="3037" t="s">
        <v>4539</v>
      </c>
      <c r="H21" s="3039">
        <v>58.1539</v>
      </c>
    </row>
    <row r="22" spans="1:8">
      <c r="A22" s="3035">
        <v>21</v>
      </c>
      <c r="B22" s="3035" t="s">
        <v>3230</v>
      </c>
      <c r="C22" s="3035" t="s">
        <v>3808</v>
      </c>
      <c r="D22" s="3039">
        <v>58.1539</v>
      </c>
      <c r="E22" s="3035" t="s">
        <v>1377</v>
      </c>
      <c r="G22" s="3037" t="s">
        <v>4540</v>
      </c>
      <c r="H22" s="3039">
        <v>58.1539</v>
      </c>
    </row>
    <row r="23" spans="1:8">
      <c r="A23" s="3035">
        <v>22</v>
      </c>
      <c r="B23" s="3035" t="s">
        <v>3230</v>
      </c>
      <c r="C23" s="3035" t="s">
        <v>3809</v>
      </c>
      <c r="D23" s="3039">
        <v>53.128300000000003</v>
      </c>
      <c r="E23" s="3035" t="s">
        <v>1377</v>
      </c>
      <c r="G23" s="3037" t="s">
        <v>4541</v>
      </c>
      <c r="H23" s="3039">
        <v>53.128300000000003</v>
      </c>
    </row>
    <row r="24" spans="1:8">
      <c r="A24" s="3035">
        <v>23</v>
      </c>
      <c r="B24" s="3035" t="s">
        <v>3230</v>
      </c>
      <c r="C24" s="3035" t="s">
        <v>3810</v>
      </c>
      <c r="D24" s="3039">
        <v>73.468800000000002</v>
      </c>
      <c r="E24" s="3035" t="s">
        <v>1377</v>
      </c>
      <c r="G24" s="3037" t="s">
        <v>4542</v>
      </c>
      <c r="H24" s="3039">
        <v>73.468800000000002</v>
      </c>
    </row>
    <row r="25" spans="1:8">
      <c r="A25" s="3035">
        <v>24</v>
      </c>
      <c r="B25" s="3035" t="s">
        <v>3230</v>
      </c>
      <c r="C25" s="3035" t="s">
        <v>3811</v>
      </c>
      <c r="D25" s="3039">
        <v>52.468299999999999</v>
      </c>
      <c r="E25" s="3035" t="s">
        <v>1377</v>
      </c>
      <c r="G25" s="3037" t="s">
        <v>4543</v>
      </c>
      <c r="H25" s="3039">
        <v>52.468299999999999</v>
      </c>
    </row>
    <row r="26" spans="1:8">
      <c r="A26" s="3035">
        <v>25</v>
      </c>
      <c r="B26" s="3035" t="s">
        <v>3230</v>
      </c>
      <c r="C26" s="3035" t="s">
        <v>3812</v>
      </c>
      <c r="D26" s="3039">
        <v>186.50839999999999</v>
      </c>
      <c r="E26" s="3035" t="s">
        <v>1377</v>
      </c>
      <c r="G26" s="3035" t="s">
        <v>4564</v>
      </c>
      <c r="H26" s="3039">
        <v>186.50839999999999</v>
      </c>
    </row>
    <row r="27" spans="1:8">
      <c r="A27" s="3035">
        <v>26</v>
      </c>
      <c r="B27" s="3035" t="s">
        <v>3230</v>
      </c>
      <c r="C27" s="3035" t="s">
        <v>3813</v>
      </c>
      <c r="D27" s="3039">
        <v>147.13810000000001</v>
      </c>
      <c r="E27" s="3035" t="s">
        <v>1377</v>
      </c>
      <c r="G27" s="3035" t="s">
        <v>4565</v>
      </c>
      <c r="H27" s="3039">
        <v>147.13810000000001</v>
      </c>
    </row>
    <row r="28" spans="1:8">
      <c r="A28" s="3035">
        <v>27</v>
      </c>
      <c r="B28" s="3035" t="s">
        <v>3230</v>
      </c>
      <c r="C28" s="3035" t="s">
        <v>3814</v>
      </c>
      <c r="D28" s="3039">
        <v>99.899299999999997</v>
      </c>
      <c r="E28" s="3035" t="s">
        <v>1377</v>
      </c>
      <c r="G28" s="3035" t="s">
        <v>4550</v>
      </c>
      <c r="H28" s="3039">
        <v>99.899299999999997</v>
      </c>
    </row>
    <row r="29" spans="1:8">
      <c r="A29" s="3035">
        <v>28</v>
      </c>
      <c r="B29" s="3035" t="s">
        <v>3230</v>
      </c>
      <c r="C29" s="3035" t="s">
        <v>3815</v>
      </c>
      <c r="D29" s="3039">
        <v>181.16909999999999</v>
      </c>
      <c r="E29" s="3035" t="s">
        <v>1377</v>
      </c>
      <c r="G29" s="3035" t="s">
        <v>4551</v>
      </c>
      <c r="H29" s="3039">
        <v>181.16909999999999</v>
      </c>
    </row>
    <row r="30" spans="1:8">
      <c r="A30" s="3035">
        <v>29</v>
      </c>
      <c r="B30" s="3035" t="s">
        <v>3230</v>
      </c>
      <c r="C30" s="3035" t="s">
        <v>3816</v>
      </c>
      <c r="D30" s="3039">
        <v>197.37799999999999</v>
      </c>
      <c r="E30" s="3035" t="s">
        <v>1377</v>
      </c>
      <c r="G30" s="3035" t="s">
        <v>4552</v>
      </c>
      <c r="H30" s="3039">
        <v>197.37799999999999</v>
      </c>
    </row>
    <row r="31" spans="1:8">
      <c r="A31" s="3035">
        <v>30</v>
      </c>
      <c r="B31" s="3035" t="s">
        <v>3230</v>
      </c>
      <c r="C31" s="3035" t="s">
        <v>3817</v>
      </c>
      <c r="D31" s="3039">
        <v>195.10310000000001</v>
      </c>
      <c r="E31" s="3035" t="s">
        <v>1377</v>
      </c>
      <c r="G31" s="3035" t="s">
        <v>4553</v>
      </c>
      <c r="H31" s="3039">
        <v>195.10310000000001</v>
      </c>
    </row>
    <row r="32" spans="1:8">
      <c r="A32" s="3035">
        <v>31</v>
      </c>
      <c r="B32" s="3035" t="s">
        <v>3230</v>
      </c>
      <c r="C32" s="3035" t="s">
        <v>3818</v>
      </c>
      <c r="D32" s="3039">
        <v>166.88659999999999</v>
      </c>
      <c r="E32" s="3035" t="s">
        <v>1377</v>
      </c>
      <c r="G32" s="3035" t="s">
        <v>4554</v>
      </c>
      <c r="H32" s="3039">
        <v>166.88659999999999</v>
      </c>
    </row>
    <row r="33" spans="1:8">
      <c r="A33" s="3035">
        <v>32</v>
      </c>
      <c r="B33" s="3035" t="s">
        <v>3230</v>
      </c>
      <c r="C33" s="3035" t="s">
        <v>3819</v>
      </c>
      <c r="D33" s="3039">
        <v>158.80959999999999</v>
      </c>
      <c r="E33" s="3035" t="s">
        <v>1377</v>
      </c>
      <c r="G33" s="3035" t="s">
        <v>4555</v>
      </c>
      <c r="H33" s="3039">
        <v>158.80959999999999</v>
      </c>
    </row>
    <row r="34" spans="1:8">
      <c r="A34" s="3035">
        <v>33</v>
      </c>
      <c r="B34" s="3035" t="s">
        <v>3230</v>
      </c>
      <c r="C34" s="3035" t="s">
        <v>3820</v>
      </c>
      <c r="D34" s="3039">
        <v>152.0564</v>
      </c>
      <c r="E34" s="3035" t="s">
        <v>1377</v>
      </c>
      <c r="G34" s="3035" t="s">
        <v>4556</v>
      </c>
      <c r="H34" s="3039">
        <v>152.0564</v>
      </c>
    </row>
    <row r="35" spans="1:8">
      <c r="A35" s="3035">
        <v>34</v>
      </c>
      <c r="B35" s="3035" t="s">
        <v>3230</v>
      </c>
      <c r="C35" s="3035" t="s">
        <v>3821</v>
      </c>
      <c r="D35" s="3039">
        <v>108.4622</v>
      </c>
      <c r="E35" s="3035" t="s">
        <v>1377</v>
      </c>
      <c r="G35" s="3035" t="s">
        <v>4557</v>
      </c>
      <c r="H35" s="3039">
        <v>108.4622</v>
      </c>
    </row>
    <row r="36" spans="1:8">
      <c r="A36" s="3035">
        <v>35</v>
      </c>
      <c r="B36" s="3035" t="s">
        <v>3230</v>
      </c>
      <c r="C36" s="3035" t="s">
        <v>3822</v>
      </c>
      <c r="D36" s="3039">
        <v>178.2449</v>
      </c>
      <c r="E36" s="3035" t="s">
        <v>1377</v>
      </c>
      <c r="G36" s="3035" t="s">
        <v>4558</v>
      </c>
      <c r="H36" s="3039">
        <v>178.2449</v>
      </c>
    </row>
    <row r="37" spans="1:8">
      <c r="A37" s="3035">
        <v>36</v>
      </c>
      <c r="B37" s="3035" t="s">
        <v>3230</v>
      </c>
      <c r="C37" s="3035" t="s">
        <v>3823</v>
      </c>
      <c r="D37" s="3039">
        <v>142.63390000000001</v>
      </c>
      <c r="E37" s="3035" t="s">
        <v>1377</v>
      </c>
      <c r="G37" s="3035" t="s">
        <v>4559</v>
      </c>
      <c r="H37" s="3039">
        <v>142.63390000000001</v>
      </c>
    </row>
    <row r="38" spans="1:8">
      <c r="A38" s="3035">
        <v>37</v>
      </c>
      <c r="B38" s="3035" t="s">
        <v>3230</v>
      </c>
      <c r="C38" s="3035" t="s">
        <v>3824</v>
      </c>
      <c r="D38" s="3039">
        <v>142.63390000000001</v>
      </c>
      <c r="E38" s="3035" t="s">
        <v>1377</v>
      </c>
      <c r="G38" s="3035" t="s">
        <v>4560</v>
      </c>
      <c r="H38" s="3039">
        <v>142.63390000000001</v>
      </c>
    </row>
    <row r="39" spans="1:8">
      <c r="A39" s="3035">
        <v>38</v>
      </c>
      <c r="B39" s="3035" t="s">
        <v>3230</v>
      </c>
      <c r="C39" s="3035" t="s">
        <v>3825</v>
      </c>
      <c r="D39" s="3039">
        <v>205.09989999999999</v>
      </c>
      <c r="E39" s="3035" t="s">
        <v>1377</v>
      </c>
      <c r="G39" s="3035" t="s">
        <v>4561</v>
      </c>
      <c r="H39" s="3039">
        <v>205.09989999999999</v>
      </c>
    </row>
    <row r="40" spans="1:8">
      <c r="A40" s="3035">
        <v>39</v>
      </c>
      <c r="B40" s="3035" t="s">
        <v>3230</v>
      </c>
      <c r="C40" s="3035" t="s">
        <v>3826</v>
      </c>
      <c r="D40" s="3039">
        <v>253.4588</v>
      </c>
      <c r="E40" s="3035" t="s">
        <v>1377</v>
      </c>
      <c r="G40" s="3035" t="s">
        <v>4562</v>
      </c>
      <c r="H40" s="3039">
        <v>253.4588</v>
      </c>
    </row>
    <row r="41" spans="1:8">
      <c r="A41" s="3035">
        <v>40</v>
      </c>
      <c r="B41" s="3035" t="s">
        <v>3230</v>
      </c>
      <c r="C41" s="3035" t="s">
        <v>3827</v>
      </c>
      <c r="D41" s="3039">
        <v>102.50579999999999</v>
      </c>
      <c r="E41" s="3035" t="s">
        <v>1377</v>
      </c>
    </row>
    <row r="42" spans="1:8">
      <c r="A42" s="3035">
        <v>41</v>
      </c>
      <c r="B42" s="3035" t="s">
        <v>3230</v>
      </c>
      <c r="C42" s="3035" t="s">
        <v>3828</v>
      </c>
      <c r="D42" s="3039">
        <v>65.230999999999995</v>
      </c>
      <c r="E42" s="3035" t="s">
        <v>1377</v>
      </c>
      <c r="F42" s="3035" t="s">
        <v>4471</v>
      </c>
      <c r="H42" s="3035">
        <f>SUM(H2:H40)</f>
        <v>4118.1414999999997</v>
      </c>
    </row>
    <row r="43" spans="1:8">
      <c r="A43" s="3035">
        <v>42</v>
      </c>
      <c r="B43" s="3035" t="s">
        <v>3230</v>
      </c>
      <c r="C43" s="3035" t="s">
        <v>3829</v>
      </c>
      <c r="D43" s="3039">
        <v>65.230999999999995</v>
      </c>
      <c r="E43" s="3035" t="s">
        <v>1377</v>
      </c>
    </row>
    <row r="44" spans="1:8">
      <c r="A44" s="3035">
        <v>43</v>
      </c>
      <c r="B44" s="3035" t="s">
        <v>3230</v>
      </c>
      <c r="C44" s="3035" t="s">
        <v>3830</v>
      </c>
      <c r="D44" s="3039">
        <v>65.230999999999995</v>
      </c>
      <c r="E44" s="3035" t="s">
        <v>1377</v>
      </c>
    </row>
    <row r="45" spans="1:8">
      <c r="A45" s="3035">
        <v>44</v>
      </c>
      <c r="B45" s="3035" t="s">
        <v>3230</v>
      </c>
      <c r="C45" s="3035" t="s">
        <v>3831</v>
      </c>
      <c r="D45" s="3039">
        <v>65.230999999999995</v>
      </c>
      <c r="E45" s="3035" t="s">
        <v>1377</v>
      </c>
      <c r="F45" s="3055" t="s">
        <v>4861</v>
      </c>
      <c r="G45" s="3055" t="s">
        <v>4862</v>
      </c>
      <c r="H45" s="3055">
        <f>SUM(D41:D480)</f>
        <v>30003.563000000086</v>
      </c>
    </row>
    <row r="46" spans="1:8">
      <c r="A46" s="3035">
        <v>45</v>
      </c>
      <c r="B46" s="3035" t="s">
        <v>3230</v>
      </c>
      <c r="C46" s="3035" t="s">
        <v>3832</v>
      </c>
      <c r="D46" s="3039">
        <v>65.230999999999995</v>
      </c>
      <c r="E46" s="3035" t="s">
        <v>1377</v>
      </c>
    </row>
    <row r="47" spans="1:8">
      <c r="A47" s="3035">
        <v>46</v>
      </c>
      <c r="B47" s="3035" t="s">
        <v>3230</v>
      </c>
      <c r="C47" s="3035" t="s">
        <v>3833</v>
      </c>
      <c r="D47" s="3039">
        <v>65.230999999999995</v>
      </c>
      <c r="E47" s="3035" t="s">
        <v>1377</v>
      </c>
    </row>
    <row r="48" spans="1:8">
      <c r="A48" s="3035">
        <v>47</v>
      </c>
      <c r="B48" s="3035" t="s">
        <v>3230</v>
      </c>
      <c r="C48" s="3035" t="s">
        <v>3834</v>
      </c>
      <c r="D48" s="3039">
        <v>65.230999999999995</v>
      </c>
      <c r="E48" s="3035" t="s">
        <v>1377</v>
      </c>
    </row>
    <row r="49" spans="1:5">
      <c r="A49" s="3035">
        <v>48</v>
      </c>
      <c r="B49" s="3035" t="s">
        <v>3230</v>
      </c>
      <c r="C49" s="3035" t="s">
        <v>3835</v>
      </c>
      <c r="D49" s="3039">
        <v>65.230999999999995</v>
      </c>
      <c r="E49" s="3035" t="s">
        <v>1377</v>
      </c>
    </row>
    <row r="50" spans="1:5">
      <c r="A50" s="3035">
        <v>49</v>
      </c>
      <c r="B50" s="3035" t="s">
        <v>3230</v>
      </c>
      <c r="C50" s="3035" t="s">
        <v>3836</v>
      </c>
      <c r="D50" s="3039">
        <v>65.230999999999995</v>
      </c>
      <c r="E50" s="3035" t="s">
        <v>1377</v>
      </c>
    </row>
    <row r="51" spans="1:5">
      <c r="A51" s="3035">
        <v>50</v>
      </c>
      <c r="B51" s="3035" t="s">
        <v>3230</v>
      </c>
      <c r="C51" s="3035" t="s">
        <v>3837</v>
      </c>
      <c r="D51" s="3039">
        <v>65.230999999999995</v>
      </c>
      <c r="E51" s="3035" t="s">
        <v>1377</v>
      </c>
    </row>
    <row r="52" spans="1:5">
      <c r="A52" s="3035">
        <v>51</v>
      </c>
      <c r="B52" s="3035" t="s">
        <v>3230</v>
      </c>
      <c r="C52" s="3035" t="s">
        <v>3838</v>
      </c>
      <c r="D52" s="3039">
        <v>65.230999999999995</v>
      </c>
      <c r="E52" s="3035" t="s">
        <v>1377</v>
      </c>
    </row>
    <row r="53" spans="1:5">
      <c r="A53" s="3035">
        <v>52</v>
      </c>
      <c r="B53" s="3035" t="s">
        <v>3230</v>
      </c>
      <c r="C53" s="3035" t="s">
        <v>3839</v>
      </c>
      <c r="D53" s="3039">
        <v>65.230999999999995</v>
      </c>
      <c r="E53" s="3035" t="s">
        <v>1377</v>
      </c>
    </row>
    <row r="54" spans="1:5">
      <c r="A54" s="3035">
        <v>53</v>
      </c>
      <c r="B54" s="3035" t="s">
        <v>3230</v>
      </c>
      <c r="C54" s="3035" t="s">
        <v>3840</v>
      </c>
      <c r="D54" s="3039">
        <v>65.230999999999995</v>
      </c>
      <c r="E54" s="3035" t="s">
        <v>1377</v>
      </c>
    </row>
    <row r="55" spans="1:5">
      <c r="A55" s="3035">
        <v>54</v>
      </c>
      <c r="B55" s="3035" t="s">
        <v>3230</v>
      </c>
      <c r="C55" s="3035" t="s">
        <v>3841</v>
      </c>
      <c r="D55" s="3039">
        <v>91.8065</v>
      </c>
      <c r="E55" s="3035" t="s">
        <v>1377</v>
      </c>
    </row>
    <row r="56" spans="1:5">
      <c r="A56" s="3035">
        <v>55</v>
      </c>
      <c r="B56" s="3035" t="s">
        <v>3230</v>
      </c>
      <c r="C56" s="3035" t="s">
        <v>3842</v>
      </c>
      <c r="D56" s="3039">
        <v>74.040199999999999</v>
      </c>
      <c r="E56" s="3035" t="s">
        <v>1377</v>
      </c>
    </row>
    <row r="57" spans="1:5">
      <c r="A57" s="3035">
        <v>56</v>
      </c>
      <c r="B57" s="3035" t="s">
        <v>3230</v>
      </c>
      <c r="C57" s="3035" t="s">
        <v>3843</v>
      </c>
      <c r="D57" s="3039">
        <v>78.395499999999998</v>
      </c>
      <c r="E57" s="3035" t="s">
        <v>1377</v>
      </c>
    </row>
    <row r="58" spans="1:5">
      <c r="A58" s="3035">
        <v>57</v>
      </c>
      <c r="B58" s="3035" t="s">
        <v>3230</v>
      </c>
      <c r="C58" s="3035" t="s">
        <v>3844</v>
      </c>
      <c r="D58" s="3039">
        <v>185.07380000000001</v>
      </c>
      <c r="E58" s="3035" t="s">
        <v>1377</v>
      </c>
    </row>
    <row r="59" spans="1:5">
      <c r="A59" s="3035">
        <v>58</v>
      </c>
      <c r="B59" s="3035" t="s">
        <v>3230</v>
      </c>
      <c r="C59" s="3035" t="s">
        <v>3845</v>
      </c>
      <c r="D59" s="3039">
        <v>61.902799999999999</v>
      </c>
      <c r="E59" s="3035" t="s">
        <v>1377</v>
      </c>
    </row>
    <row r="60" spans="1:5">
      <c r="A60" s="3035">
        <v>59</v>
      </c>
      <c r="B60" s="3035" t="s">
        <v>3230</v>
      </c>
      <c r="C60" s="3035" t="s">
        <v>3846</v>
      </c>
      <c r="D60" s="3039">
        <v>61.902799999999999</v>
      </c>
      <c r="E60" s="3035" t="s">
        <v>1377</v>
      </c>
    </row>
    <row r="61" spans="1:5">
      <c r="A61" s="3035">
        <v>60</v>
      </c>
      <c r="B61" s="3035" t="s">
        <v>3230</v>
      </c>
      <c r="C61" s="3035" t="s">
        <v>3847</v>
      </c>
      <c r="D61" s="3039">
        <v>61.902799999999999</v>
      </c>
      <c r="E61" s="3035" t="s">
        <v>1377</v>
      </c>
    </row>
    <row r="62" spans="1:5">
      <c r="A62" s="3035">
        <v>61</v>
      </c>
      <c r="B62" s="3035" t="s">
        <v>3230</v>
      </c>
      <c r="C62" s="3035" t="s">
        <v>3848</v>
      </c>
      <c r="D62" s="3039">
        <v>61.902799999999999</v>
      </c>
      <c r="E62" s="3035" t="s">
        <v>1377</v>
      </c>
    </row>
    <row r="63" spans="1:5">
      <c r="A63" s="3035">
        <v>62</v>
      </c>
      <c r="B63" s="3035" t="s">
        <v>3230</v>
      </c>
      <c r="C63" s="3035" t="s">
        <v>3849</v>
      </c>
      <c r="D63" s="3039">
        <v>71.569199999999995</v>
      </c>
      <c r="E63" s="3035" t="s">
        <v>1377</v>
      </c>
    </row>
    <row r="64" spans="1:5">
      <c r="A64" s="3035">
        <v>63</v>
      </c>
      <c r="B64" s="3035" t="s">
        <v>3230</v>
      </c>
      <c r="C64" s="3035" t="s">
        <v>3850</v>
      </c>
      <c r="D64" s="3039">
        <v>71.569199999999995</v>
      </c>
      <c r="E64" s="3035" t="s">
        <v>1377</v>
      </c>
    </row>
    <row r="65" spans="1:5">
      <c r="A65" s="3035">
        <v>64</v>
      </c>
      <c r="B65" s="3035" t="s">
        <v>3230</v>
      </c>
      <c r="C65" s="3035" t="s">
        <v>3851</v>
      </c>
      <c r="D65" s="3039">
        <v>71.887200000000007</v>
      </c>
      <c r="E65" s="3035" t="s">
        <v>1377</v>
      </c>
    </row>
    <row r="66" spans="1:5">
      <c r="A66" s="3035">
        <v>65</v>
      </c>
      <c r="B66" s="3035" t="s">
        <v>3230</v>
      </c>
      <c r="C66" s="3035" t="s">
        <v>3852</v>
      </c>
      <c r="D66" s="3039">
        <v>71.569199999999995</v>
      </c>
      <c r="E66" s="3035" t="s">
        <v>1377</v>
      </c>
    </row>
    <row r="67" spans="1:5">
      <c r="A67" s="3035">
        <v>66</v>
      </c>
      <c r="B67" s="3035" t="s">
        <v>3230</v>
      </c>
      <c r="C67" s="3035" t="s">
        <v>3853</v>
      </c>
      <c r="D67" s="3039">
        <v>71.158299999999997</v>
      </c>
      <c r="E67" s="3035" t="s">
        <v>1377</v>
      </c>
    </row>
    <row r="68" spans="1:5">
      <c r="A68" s="3035">
        <v>67</v>
      </c>
      <c r="B68" s="3035" t="s">
        <v>3230</v>
      </c>
      <c r="C68" s="3035" t="s">
        <v>3854</v>
      </c>
      <c r="D68" s="3039">
        <v>71.081900000000005</v>
      </c>
      <c r="E68" s="3035" t="s">
        <v>1377</v>
      </c>
    </row>
    <row r="69" spans="1:5">
      <c r="A69" s="3035">
        <v>68</v>
      </c>
      <c r="B69" s="3035" t="s">
        <v>3230</v>
      </c>
      <c r="C69" s="3035" t="s">
        <v>3855</v>
      </c>
      <c r="D69" s="3039">
        <v>71.887200000000007</v>
      </c>
      <c r="E69" s="3035" t="s">
        <v>1377</v>
      </c>
    </row>
    <row r="70" spans="1:5">
      <c r="A70" s="3035">
        <v>69</v>
      </c>
      <c r="B70" s="3035" t="s">
        <v>3230</v>
      </c>
      <c r="C70" s="3035" t="s">
        <v>3856</v>
      </c>
      <c r="D70" s="3039">
        <v>71.887200000000007</v>
      </c>
      <c r="E70" s="3035" t="s">
        <v>1377</v>
      </c>
    </row>
    <row r="71" spans="1:5">
      <c r="A71" s="3035">
        <v>70</v>
      </c>
      <c r="B71" s="3035" t="s">
        <v>3230</v>
      </c>
      <c r="C71" s="3035" t="s">
        <v>3857</v>
      </c>
      <c r="D71" s="3039">
        <v>71.887200000000007</v>
      </c>
      <c r="E71" s="3035" t="s">
        <v>1377</v>
      </c>
    </row>
    <row r="72" spans="1:5">
      <c r="A72" s="3035">
        <v>71</v>
      </c>
      <c r="B72" s="3035" t="s">
        <v>3230</v>
      </c>
      <c r="C72" s="3035" t="s">
        <v>3858</v>
      </c>
      <c r="D72" s="3039">
        <v>71.887200000000007</v>
      </c>
      <c r="E72" s="3035" t="s">
        <v>1377</v>
      </c>
    </row>
    <row r="73" spans="1:5">
      <c r="A73" s="3035">
        <v>72</v>
      </c>
      <c r="B73" s="3035" t="s">
        <v>3230</v>
      </c>
      <c r="C73" s="3037" t="s">
        <v>3859</v>
      </c>
      <c r="D73" s="3038">
        <v>61.697000000000003</v>
      </c>
      <c r="E73" s="3037" t="s">
        <v>1377</v>
      </c>
    </row>
    <row r="74" spans="1:5">
      <c r="A74" s="3035">
        <v>73</v>
      </c>
      <c r="B74" s="3035" t="s">
        <v>3230</v>
      </c>
      <c r="C74" s="3037" t="s">
        <v>3860</v>
      </c>
      <c r="D74" s="3038">
        <v>61.697000000000003</v>
      </c>
      <c r="E74" s="3037" t="s">
        <v>1377</v>
      </c>
    </row>
    <row r="75" spans="1:5">
      <c r="A75" s="3035">
        <v>74</v>
      </c>
      <c r="B75" s="3035" t="s">
        <v>3230</v>
      </c>
      <c r="C75" s="3037" t="s">
        <v>3861</v>
      </c>
      <c r="D75" s="3038">
        <v>61.697000000000003</v>
      </c>
      <c r="E75" s="3037" t="s">
        <v>1377</v>
      </c>
    </row>
    <row r="76" spans="1:5">
      <c r="A76" s="3035">
        <v>75</v>
      </c>
      <c r="B76" s="3035" t="s">
        <v>3230</v>
      </c>
      <c r="C76" s="3037" t="s">
        <v>3862</v>
      </c>
      <c r="D76" s="3038">
        <v>61.697000000000003</v>
      </c>
      <c r="E76" s="3037" t="s">
        <v>1377</v>
      </c>
    </row>
    <row r="77" spans="1:5">
      <c r="A77" s="3035">
        <v>76</v>
      </c>
      <c r="B77" s="3035" t="s">
        <v>3230</v>
      </c>
      <c r="C77" s="3037" t="s">
        <v>3863</v>
      </c>
      <c r="D77" s="3038">
        <v>61.697000000000003</v>
      </c>
      <c r="E77" s="3037" t="s">
        <v>1377</v>
      </c>
    </row>
    <row r="78" spans="1:5">
      <c r="A78" s="3035">
        <v>77</v>
      </c>
      <c r="B78" s="3035" t="s">
        <v>3230</v>
      </c>
      <c r="C78" s="3037" t="s">
        <v>3864</v>
      </c>
      <c r="D78" s="3038">
        <v>61.697000000000003</v>
      </c>
      <c r="E78" s="3037" t="s">
        <v>1377</v>
      </c>
    </row>
    <row r="79" spans="1:5">
      <c r="A79" s="3035">
        <v>78</v>
      </c>
      <c r="B79" s="3035" t="s">
        <v>3230</v>
      </c>
      <c r="C79" s="3035" t="s">
        <v>3865</v>
      </c>
      <c r="D79" s="3039">
        <v>61.697000000000003</v>
      </c>
      <c r="E79" s="3035" t="s">
        <v>1377</v>
      </c>
    </row>
    <row r="80" spans="1:5">
      <c r="A80" s="3035">
        <v>79</v>
      </c>
      <c r="B80" s="3035" t="s">
        <v>3230</v>
      </c>
      <c r="C80" s="3035" t="s">
        <v>3866</v>
      </c>
      <c r="D80" s="3039">
        <v>61.697000000000003</v>
      </c>
      <c r="E80" s="3035" t="s">
        <v>1377</v>
      </c>
    </row>
    <row r="81" spans="1:5">
      <c r="A81" s="3035">
        <v>80</v>
      </c>
      <c r="B81" s="3035" t="s">
        <v>3230</v>
      </c>
      <c r="C81" s="3035" t="s">
        <v>3867</v>
      </c>
      <c r="D81" s="3039">
        <v>61.697000000000003</v>
      </c>
      <c r="E81" s="3035" t="s">
        <v>1377</v>
      </c>
    </row>
    <row r="82" spans="1:5">
      <c r="A82" s="3035">
        <v>81</v>
      </c>
      <c r="B82" s="3035" t="s">
        <v>3230</v>
      </c>
      <c r="C82" s="3035" t="s">
        <v>3868</v>
      </c>
      <c r="D82" s="3039">
        <v>61.697000000000003</v>
      </c>
      <c r="E82" s="3035" t="s">
        <v>1377</v>
      </c>
    </row>
    <row r="83" spans="1:5">
      <c r="A83" s="3035">
        <v>82</v>
      </c>
      <c r="B83" s="3035" t="s">
        <v>3230</v>
      </c>
      <c r="C83" s="3035" t="s">
        <v>3869</v>
      </c>
      <c r="D83" s="3039">
        <v>61.697000000000003</v>
      </c>
      <c r="E83" s="3035" t="s">
        <v>1377</v>
      </c>
    </row>
    <row r="84" spans="1:5">
      <c r="A84" s="3035">
        <v>83</v>
      </c>
      <c r="B84" s="3035" t="s">
        <v>3230</v>
      </c>
      <c r="C84" s="3035" t="s">
        <v>3870</v>
      </c>
      <c r="D84" s="3039">
        <v>61.697000000000003</v>
      </c>
      <c r="E84" s="3035" t="s">
        <v>1377</v>
      </c>
    </row>
    <row r="85" spans="1:5">
      <c r="A85" s="3035">
        <v>84</v>
      </c>
      <c r="B85" s="3035" t="s">
        <v>3230</v>
      </c>
      <c r="C85" s="3035" t="s">
        <v>3871</v>
      </c>
      <c r="D85" s="3039">
        <v>61.697000000000003</v>
      </c>
      <c r="E85" s="3035" t="s">
        <v>1377</v>
      </c>
    </row>
    <row r="86" spans="1:5">
      <c r="A86" s="3035">
        <v>85</v>
      </c>
      <c r="B86" s="3035" t="s">
        <v>3230</v>
      </c>
      <c r="C86" s="3035" t="s">
        <v>3872</v>
      </c>
      <c r="D86" s="3039">
        <v>61.697000000000003</v>
      </c>
      <c r="E86" s="3035" t="s">
        <v>1377</v>
      </c>
    </row>
    <row r="87" spans="1:5">
      <c r="A87" s="3035">
        <v>86</v>
      </c>
      <c r="B87" s="3035" t="s">
        <v>3230</v>
      </c>
      <c r="C87" s="3035" t="s">
        <v>3873</v>
      </c>
      <c r="D87" s="3039">
        <v>61.697000000000003</v>
      </c>
      <c r="E87" s="3035" t="s">
        <v>1377</v>
      </c>
    </row>
    <row r="88" spans="1:5">
      <c r="A88" s="3035">
        <v>87</v>
      </c>
      <c r="B88" s="3035" t="s">
        <v>3230</v>
      </c>
      <c r="C88" s="3035" t="s">
        <v>3874</v>
      </c>
      <c r="D88" s="3039">
        <v>61.697000000000003</v>
      </c>
      <c r="E88" s="3035" t="s">
        <v>1377</v>
      </c>
    </row>
    <row r="89" spans="1:5">
      <c r="A89" s="3035">
        <v>88</v>
      </c>
      <c r="B89" s="3035" t="s">
        <v>3230</v>
      </c>
      <c r="C89" s="3035" t="s">
        <v>3875</v>
      </c>
      <c r="D89" s="3039">
        <v>86.832800000000006</v>
      </c>
      <c r="E89" s="3035" t="s">
        <v>1377</v>
      </c>
    </row>
    <row r="90" spans="1:5">
      <c r="A90" s="3035">
        <v>89</v>
      </c>
      <c r="B90" s="3035" t="s">
        <v>3230</v>
      </c>
      <c r="C90" s="3035" t="s">
        <v>3876</v>
      </c>
      <c r="D90" s="3039">
        <v>70.028999999999996</v>
      </c>
      <c r="E90" s="3035" t="s">
        <v>1377</v>
      </c>
    </row>
    <row r="91" spans="1:5">
      <c r="A91" s="3035">
        <v>90</v>
      </c>
      <c r="B91" s="3035" t="s">
        <v>3230</v>
      </c>
      <c r="C91" s="3035" t="s">
        <v>3877</v>
      </c>
      <c r="D91" s="3039">
        <v>74.148300000000006</v>
      </c>
      <c r="E91" s="3035" t="s">
        <v>1377</v>
      </c>
    </row>
    <row r="92" spans="1:5">
      <c r="A92" s="3035">
        <v>91</v>
      </c>
      <c r="B92" s="3035" t="s">
        <v>3230</v>
      </c>
      <c r="C92" s="3035" t="s">
        <v>3878</v>
      </c>
      <c r="D92" s="3039">
        <v>175.0472</v>
      </c>
      <c r="E92" s="3035" t="s">
        <v>1377</v>
      </c>
    </row>
    <row r="93" spans="1:5">
      <c r="A93" s="3035">
        <v>92</v>
      </c>
      <c r="B93" s="3035" t="s">
        <v>3230</v>
      </c>
      <c r="C93" s="3035" t="s">
        <v>3879</v>
      </c>
      <c r="D93" s="3039">
        <v>58.549199999999999</v>
      </c>
      <c r="E93" s="3035" t="s">
        <v>1377</v>
      </c>
    </row>
    <row r="94" spans="1:5">
      <c r="A94" s="3035">
        <v>93</v>
      </c>
      <c r="B94" s="3035" t="s">
        <v>3230</v>
      </c>
      <c r="C94" s="3035" t="s">
        <v>3880</v>
      </c>
      <c r="D94" s="3039">
        <v>58.549199999999999</v>
      </c>
      <c r="E94" s="3035" t="s">
        <v>1377</v>
      </c>
    </row>
    <row r="95" spans="1:5">
      <c r="A95" s="3035">
        <v>94</v>
      </c>
      <c r="B95" s="3035" t="s">
        <v>3230</v>
      </c>
      <c r="C95" s="3035" t="s">
        <v>3881</v>
      </c>
      <c r="D95" s="3039">
        <v>58.549199999999999</v>
      </c>
      <c r="E95" s="3035" t="s">
        <v>1377</v>
      </c>
    </row>
    <row r="96" spans="1:5">
      <c r="A96" s="3035">
        <v>95</v>
      </c>
      <c r="B96" s="3035" t="s">
        <v>3230</v>
      </c>
      <c r="C96" s="3035" t="s">
        <v>3882</v>
      </c>
      <c r="D96" s="3039">
        <v>58.549199999999999</v>
      </c>
      <c r="E96" s="3035" t="s">
        <v>1377</v>
      </c>
    </row>
    <row r="97" spans="1:5">
      <c r="A97" s="3035">
        <v>96</v>
      </c>
      <c r="B97" s="3035" t="s">
        <v>3230</v>
      </c>
      <c r="C97" s="3035" t="s">
        <v>3883</v>
      </c>
      <c r="D97" s="3039">
        <v>67.691800000000001</v>
      </c>
      <c r="E97" s="3035" t="s">
        <v>1377</v>
      </c>
    </row>
    <row r="98" spans="1:5">
      <c r="A98" s="3035">
        <v>97</v>
      </c>
      <c r="B98" s="3035" t="s">
        <v>3230</v>
      </c>
      <c r="C98" s="3035" t="s">
        <v>3884</v>
      </c>
      <c r="D98" s="3039">
        <v>67.691800000000001</v>
      </c>
      <c r="E98" s="3035" t="s">
        <v>1377</v>
      </c>
    </row>
    <row r="99" spans="1:5">
      <c r="A99" s="3035">
        <v>98</v>
      </c>
      <c r="B99" s="3035" t="s">
        <v>3230</v>
      </c>
      <c r="C99" s="3035" t="s">
        <v>3885</v>
      </c>
      <c r="D99" s="3039">
        <v>67.992599999999996</v>
      </c>
      <c r="E99" s="3035" t="s">
        <v>1377</v>
      </c>
    </row>
    <row r="100" spans="1:5">
      <c r="A100" s="3035">
        <v>99</v>
      </c>
      <c r="B100" s="3035" t="s">
        <v>3230</v>
      </c>
      <c r="C100" s="3035" t="s">
        <v>3886</v>
      </c>
      <c r="D100" s="3039">
        <v>67.691800000000001</v>
      </c>
      <c r="E100" s="3035" t="s">
        <v>1377</v>
      </c>
    </row>
    <row r="101" spans="1:5">
      <c r="A101" s="3035">
        <v>100</v>
      </c>
      <c r="B101" s="3035" t="s">
        <v>3230</v>
      </c>
      <c r="C101" s="3035" t="s">
        <v>3887</v>
      </c>
      <c r="D101" s="3039">
        <v>67.303200000000004</v>
      </c>
      <c r="E101" s="3035" t="s">
        <v>1377</v>
      </c>
    </row>
    <row r="102" spans="1:5">
      <c r="A102" s="3035">
        <v>101</v>
      </c>
      <c r="B102" s="3035" t="s">
        <v>3230</v>
      </c>
      <c r="C102" s="3035" t="s">
        <v>3888</v>
      </c>
      <c r="D102" s="3039">
        <v>67.230900000000005</v>
      </c>
      <c r="E102" s="3035" t="s">
        <v>1377</v>
      </c>
    </row>
    <row r="103" spans="1:5">
      <c r="A103" s="3035">
        <v>102</v>
      </c>
      <c r="B103" s="3035" t="s">
        <v>3230</v>
      </c>
      <c r="C103" s="3035" t="s">
        <v>3889</v>
      </c>
      <c r="D103" s="3039">
        <v>67.992599999999996</v>
      </c>
      <c r="E103" s="3035" t="s">
        <v>1377</v>
      </c>
    </row>
    <row r="104" spans="1:5">
      <c r="A104" s="3035">
        <v>103</v>
      </c>
      <c r="B104" s="3035" t="s">
        <v>3230</v>
      </c>
      <c r="C104" s="3035" t="s">
        <v>3890</v>
      </c>
      <c r="D104" s="3039">
        <v>67.992599999999996</v>
      </c>
      <c r="E104" s="3035" t="s">
        <v>1377</v>
      </c>
    </row>
    <row r="105" spans="1:5">
      <c r="A105" s="3035">
        <v>104</v>
      </c>
      <c r="B105" s="3035" t="s">
        <v>3230</v>
      </c>
      <c r="C105" s="3035" t="s">
        <v>3891</v>
      </c>
      <c r="D105" s="3039">
        <v>67.992599999999996</v>
      </c>
      <c r="E105" s="3035" t="s">
        <v>1377</v>
      </c>
    </row>
    <row r="106" spans="1:5">
      <c r="A106" s="3035">
        <v>105</v>
      </c>
      <c r="B106" s="3035" t="s">
        <v>3230</v>
      </c>
      <c r="C106" s="3037" t="s">
        <v>3892</v>
      </c>
      <c r="D106" s="3038">
        <v>67.992599999999996</v>
      </c>
      <c r="E106" s="3037" t="s">
        <v>1377</v>
      </c>
    </row>
    <row r="107" spans="1:5">
      <c r="A107" s="3035">
        <v>106</v>
      </c>
      <c r="B107" s="3035" t="s">
        <v>3230</v>
      </c>
      <c r="C107" s="3035" t="s">
        <v>3893</v>
      </c>
      <c r="D107" s="3039">
        <v>61.697000000000003</v>
      </c>
      <c r="E107" s="3035" t="s">
        <v>1377</v>
      </c>
    </row>
    <row r="108" spans="1:5">
      <c r="A108" s="3035">
        <v>107</v>
      </c>
      <c r="B108" s="3035" t="s">
        <v>3230</v>
      </c>
      <c r="C108" s="3035" t="s">
        <v>3894</v>
      </c>
      <c r="D108" s="3039">
        <v>61.697000000000003</v>
      </c>
      <c r="E108" s="3035" t="s">
        <v>1377</v>
      </c>
    </row>
    <row r="109" spans="1:5">
      <c r="A109" s="3035">
        <v>108</v>
      </c>
      <c r="B109" s="3035" t="s">
        <v>3230</v>
      </c>
      <c r="C109" s="3035" t="s">
        <v>3895</v>
      </c>
      <c r="D109" s="3039">
        <v>61.697000000000003</v>
      </c>
      <c r="E109" s="3035" t="s">
        <v>1377</v>
      </c>
    </row>
    <row r="110" spans="1:5">
      <c r="A110" s="3035">
        <v>109</v>
      </c>
      <c r="B110" s="3035" t="s">
        <v>3230</v>
      </c>
      <c r="C110" s="3035" t="s">
        <v>3896</v>
      </c>
      <c r="D110" s="3039">
        <v>61.697000000000003</v>
      </c>
      <c r="E110" s="3035" t="s">
        <v>1377</v>
      </c>
    </row>
    <row r="111" spans="1:5">
      <c r="A111" s="3035">
        <v>110</v>
      </c>
      <c r="B111" s="3035" t="s">
        <v>3230</v>
      </c>
      <c r="C111" s="3035" t="s">
        <v>3897</v>
      </c>
      <c r="D111" s="3039">
        <v>61.697000000000003</v>
      </c>
      <c r="E111" s="3035" t="s">
        <v>1377</v>
      </c>
    </row>
    <row r="112" spans="1:5">
      <c r="A112" s="3035">
        <v>111</v>
      </c>
      <c r="B112" s="3035" t="s">
        <v>3230</v>
      </c>
      <c r="C112" s="3035" t="s">
        <v>3898</v>
      </c>
      <c r="D112" s="3039">
        <v>61.697000000000003</v>
      </c>
      <c r="E112" s="3035" t="s">
        <v>1377</v>
      </c>
    </row>
    <row r="113" spans="1:5">
      <c r="A113" s="3035">
        <v>112</v>
      </c>
      <c r="B113" s="3035" t="s">
        <v>3230</v>
      </c>
      <c r="C113" s="3035" t="s">
        <v>3899</v>
      </c>
      <c r="D113" s="3039">
        <v>61.697000000000003</v>
      </c>
      <c r="E113" s="3035" t="s">
        <v>1377</v>
      </c>
    </row>
    <row r="114" spans="1:5">
      <c r="A114" s="3035">
        <v>113</v>
      </c>
      <c r="B114" s="3035" t="s">
        <v>3230</v>
      </c>
      <c r="C114" s="3035" t="s">
        <v>3900</v>
      </c>
      <c r="D114" s="3039">
        <v>61.697000000000003</v>
      </c>
      <c r="E114" s="3035" t="s">
        <v>1377</v>
      </c>
    </row>
    <row r="115" spans="1:5">
      <c r="A115" s="3035">
        <v>114</v>
      </c>
      <c r="B115" s="3035" t="s">
        <v>3230</v>
      </c>
      <c r="C115" s="3035" t="s">
        <v>3901</v>
      </c>
      <c r="D115" s="3039">
        <v>61.697000000000003</v>
      </c>
      <c r="E115" s="3035" t="s">
        <v>1377</v>
      </c>
    </row>
    <row r="116" spans="1:5">
      <c r="A116" s="3035">
        <v>115</v>
      </c>
      <c r="B116" s="3035" t="s">
        <v>3230</v>
      </c>
      <c r="C116" s="3035" t="s">
        <v>3902</v>
      </c>
      <c r="D116" s="3039">
        <v>61.697000000000003</v>
      </c>
      <c r="E116" s="3035" t="s">
        <v>1377</v>
      </c>
    </row>
    <row r="117" spans="1:5">
      <c r="A117" s="3035">
        <v>116</v>
      </c>
      <c r="B117" s="3035" t="s">
        <v>3230</v>
      </c>
      <c r="C117" s="3035" t="s">
        <v>3903</v>
      </c>
      <c r="D117" s="3039">
        <v>61.697000000000003</v>
      </c>
      <c r="E117" s="3035" t="s">
        <v>1377</v>
      </c>
    </row>
    <row r="118" spans="1:5">
      <c r="A118" s="3035">
        <v>117</v>
      </c>
      <c r="B118" s="3035" t="s">
        <v>3230</v>
      </c>
      <c r="C118" s="3035" t="s">
        <v>3904</v>
      </c>
      <c r="D118" s="3039">
        <v>61.697000000000003</v>
      </c>
      <c r="E118" s="3035" t="s">
        <v>1377</v>
      </c>
    </row>
    <row r="119" spans="1:5">
      <c r="A119" s="3035">
        <v>118</v>
      </c>
      <c r="B119" s="3035" t="s">
        <v>3230</v>
      </c>
      <c r="C119" s="3035" t="s">
        <v>3905</v>
      </c>
      <c r="D119" s="3039">
        <v>61.697000000000003</v>
      </c>
      <c r="E119" s="3035" t="s">
        <v>1377</v>
      </c>
    </row>
    <row r="120" spans="1:5">
      <c r="A120" s="3035">
        <v>119</v>
      </c>
      <c r="B120" s="3035" t="s">
        <v>3230</v>
      </c>
      <c r="C120" s="3035" t="s">
        <v>3906</v>
      </c>
      <c r="D120" s="3039">
        <v>61.697000000000003</v>
      </c>
      <c r="E120" s="3035" t="s">
        <v>1377</v>
      </c>
    </row>
    <row r="121" spans="1:5">
      <c r="A121" s="3035">
        <v>120</v>
      </c>
      <c r="B121" s="3035" t="s">
        <v>3230</v>
      </c>
      <c r="C121" s="3035" t="s">
        <v>3907</v>
      </c>
      <c r="D121" s="3039">
        <v>61.697000000000003</v>
      </c>
      <c r="E121" s="3035" t="s">
        <v>1377</v>
      </c>
    </row>
    <row r="122" spans="1:5">
      <c r="A122" s="3035">
        <v>121</v>
      </c>
      <c r="B122" s="3035" t="s">
        <v>3230</v>
      </c>
      <c r="C122" s="3035" t="s">
        <v>3908</v>
      </c>
      <c r="D122" s="3039">
        <v>61.697000000000003</v>
      </c>
      <c r="E122" s="3035" t="s">
        <v>1377</v>
      </c>
    </row>
    <row r="123" spans="1:5">
      <c r="A123" s="3035">
        <v>122</v>
      </c>
      <c r="B123" s="3035" t="s">
        <v>3230</v>
      </c>
      <c r="C123" s="3035" t="s">
        <v>3909</v>
      </c>
      <c r="D123" s="3039">
        <v>86.832800000000006</v>
      </c>
      <c r="E123" s="3035" t="s">
        <v>1377</v>
      </c>
    </row>
    <row r="124" spans="1:5">
      <c r="A124" s="3035">
        <v>123</v>
      </c>
      <c r="B124" s="3035" t="s">
        <v>3230</v>
      </c>
      <c r="C124" s="3035" t="s">
        <v>3910</v>
      </c>
      <c r="D124" s="3039">
        <v>70.028999999999996</v>
      </c>
      <c r="E124" s="3035" t="s">
        <v>1377</v>
      </c>
    </row>
    <row r="125" spans="1:5">
      <c r="A125" s="3035">
        <v>124</v>
      </c>
      <c r="B125" s="3035" t="s">
        <v>3230</v>
      </c>
      <c r="C125" s="3035" t="s">
        <v>3911</v>
      </c>
      <c r="D125" s="3039">
        <v>74.148300000000006</v>
      </c>
      <c r="E125" s="3035" t="s">
        <v>1377</v>
      </c>
    </row>
    <row r="126" spans="1:5">
      <c r="A126" s="3035">
        <v>125</v>
      </c>
      <c r="B126" s="3035" t="s">
        <v>3230</v>
      </c>
      <c r="C126" s="3035" t="s">
        <v>3912</v>
      </c>
      <c r="D126" s="3039">
        <v>175.0472</v>
      </c>
      <c r="E126" s="3035" t="s">
        <v>1377</v>
      </c>
    </row>
    <row r="127" spans="1:5">
      <c r="A127" s="3035">
        <v>126</v>
      </c>
      <c r="B127" s="3035" t="s">
        <v>3230</v>
      </c>
      <c r="C127" s="3035" t="s">
        <v>3913</v>
      </c>
      <c r="D127" s="3039">
        <v>58.549199999999999</v>
      </c>
      <c r="E127" s="3035" t="s">
        <v>1377</v>
      </c>
    </row>
    <row r="128" spans="1:5">
      <c r="A128" s="3035">
        <v>127</v>
      </c>
      <c r="B128" s="3035" t="s">
        <v>3230</v>
      </c>
      <c r="C128" s="3035" t="s">
        <v>3914</v>
      </c>
      <c r="D128" s="3039">
        <v>58.549199999999999</v>
      </c>
      <c r="E128" s="3035" t="s">
        <v>1377</v>
      </c>
    </row>
    <row r="129" spans="1:5">
      <c r="A129" s="3035">
        <v>128</v>
      </c>
      <c r="B129" s="3035" t="s">
        <v>3230</v>
      </c>
      <c r="C129" s="3035" t="s">
        <v>3915</v>
      </c>
      <c r="D129" s="3039">
        <v>58.549199999999999</v>
      </c>
      <c r="E129" s="3035" t="s">
        <v>1377</v>
      </c>
    </row>
    <row r="130" spans="1:5">
      <c r="A130" s="3035">
        <v>129</v>
      </c>
      <c r="B130" s="3035" t="s">
        <v>3230</v>
      </c>
      <c r="C130" s="3035" t="s">
        <v>3916</v>
      </c>
      <c r="D130" s="3039">
        <v>58.549199999999999</v>
      </c>
      <c r="E130" s="3035" t="s">
        <v>1377</v>
      </c>
    </row>
    <row r="131" spans="1:5">
      <c r="A131" s="3035">
        <v>130</v>
      </c>
      <c r="B131" s="3035" t="s">
        <v>3230</v>
      </c>
      <c r="C131" s="3035" t="s">
        <v>3917</v>
      </c>
      <c r="D131" s="3039">
        <v>67.691800000000001</v>
      </c>
      <c r="E131" s="3035" t="s">
        <v>1377</v>
      </c>
    </row>
    <row r="132" spans="1:5">
      <c r="A132" s="3035">
        <v>131</v>
      </c>
      <c r="B132" s="3035" t="s">
        <v>3230</v>
      </c>
      <c r="C132" s="3035" t="s">
        <v>3918</v>
      </c>
      <c r="D132" s="3039">
        <v>67.691800000000001</v>
      </c>
      <c r="E132" s="3035" t="s">
        <v>1377</v>
      </c>
    </row>
    <row r="133" spans="1:5">
      <c r="A133" s="3035">
        <v>132</v>
      </c>
      <c r="B133" s="3035" t="s">
        <v>3230</v>
      </c>
      <c r="C133" s="3035" t="s">
        <v>3919</v>
      </c>
      <c r="D133" s="3039">
        <v>67.992599999999996</v>
      </c>
      <c r="E133" s="3035" t="s">
        <v>1377</v>
      </c>
    </row>
    <row r="134" spans="1:5">
      <c r="A134" s="3035">
        <v>133</v>
      </c>
      <c r="B134" s="3035" t="s">
        <v>3230</v>
      </c>
      <c r="C134" s="3035" t="s">
        <v>3920</v>
      </c>
      <c r="D134" s="3039">
        <v>67.691800000000001</v>
      </c>
      <c r="E134" s="3035" t="s">
        <v>1377</v>
      </c>
    </row>
    <row r="135" spans="1:5">
      <c r="A135" s="3035">
        <v>134</v>
      </c>
      <c r="B135" s="3035" t="s">
        <v>3230</v>
      </c>
      <c r="C135" s="3035" t="s">
        <v>3921</v>
      </c>
      <c r="D135" s="3039">
        <v>67.303200000000004</v>
      </c>
      <c r="E135" s="3035" t="s">
        <v>1377</v>
      </c>
    </row>
    <row r="136" spans="1:5">
      <c r="A136" s="3035">
        <v>135</v>
      </c>
      <c r="B136" s="3035" t="s">
        <v>3230</v>
      </c>
      <c r="C136" s="3035" t="s">
        <v>3922</v>
      </c>
      <c r="D136" s="3039">
        <v>67.230900000000005</v>
      </c>
      <c r="E136" s="3035" t="s">
        <v>1377</v>
      </c>
    </row>
    <row r="137" spans="1:5">
      <c r="A137" s="3035">
        <v>136</v>
      </c>
      <c r="B137" s="3035" t="s">
        <v>3230</v>
      </c>
      <c r="C137" s="3035" t="s">
        <v>3923</v>
      </c>
      <c r="D137" s="3039">
        <v>67.992599999999996</v>
      </c>
      <c r="E137" s="3035" t="s">
        <v>1377</v>
      </c>
    </row>
    <row r="138" spans="1:5">
      <c r="A138" s="3035">
        <v>137</v>
      </c>
      <c r="B138" s="3035" t="s">
        <v>3230</v>
      </c>
      <c r="C138" s="3035" t="s">
        <v>3924</v>
      </c>
      <c r="D138" s="3039">
        <v>67.992599999999996</v>
      </c>
      <c r="E138" s="3035" t="s">
        <v>1377</v>
      </c>
    </row>
    <row r="139" spans="1:5">
      <c r="A139" s="3035">
        <v>138</v>
      </c>
      <c r="B139" s="3035" t="s">
        <v>3230</v>
      </c>
      <c r="C139" s="3035" t="s">
        <v>3925</v>
      </c>
      <c r="D139" s="3039">
        <v>67.992599999999996</v>
      </c>
      <c r="E139" s="3035" t="s">
        <v>1377</v>
      </c>
    </row>
    <row r="140" spans="1:5">
      <c r="A140" s="3035">
        <v>139</v>
      </c>
      <c r="B140" s="3035" t="s">
        <v>3230</v>
      </c>
      <c r="C140" s="3035" t="s">
        <v>3926</v>
      </c>
      <c r="D140" s="3039">
        <v>67.992599999999996</v>
      </c>
      <c r="E140" s="3035" t="s">
        <v>1377</v>
      </c>
    </row>
    <row r="141" spans="1:5">
      <c r="A141" s="3035">
        <v>140</v>
      </c>
      <c r="B141" s="3035" t="s">
        <v>3230</v>
      </c>
      <c r="C141" s="3035" t="s">
        <v>3927</v>
      </c>
      <c r="D141" s="3039">
        <v>61.697000000000003</v>
      </c>
      <c r="E141" s="3035" t="s">
        <v>1377</v>
      </c>
    </row>
    <row r="142" spans="1:5">
      <c r="A142" s="3035">
        <v>141</v>
      </c>
      <c r="B142" s="3035" t="s">
        <v>3230</v>
      </c>
      <c r="C142" s="3035" t="s">
        <v>3928</v>
      </c>
      <c r="D142" s="3039">
        <v>61.697000000000003</v>
      </c>
      <c r="E142" s="3035" t="s">
        <v>1377</v>
      </c>
    </row>
    <row r="143" spans="1:5">
      <c r="A143" s="3035">
        <v>142</v>
      </c>
      <c r="B143" s="3035" t="s">
        <v>3230</v>
      </c>
      <c r="C143" s="3035" t="s">
        <v>3929</v>
      </c>
      <c r="D143" s="3039">
        <v>61.697000000000003</v>
      </c>
      <c r="E143" s="3035" t="s">
        <v>1377</v>
      </c>
    </row>
    <row r="144" spans="1:5">
      <c r="A144" s="3035">
        <v>143</v>
      </c>
      <c r="B144" s="3035" t="s">
        <v>3230</v>
      </c>
      <c r="C144" s="3035" t="s">
        <v>3930</v>
      </c>
      <c r="D144" s="3039">
        <v>61.697000000000003</v>
      </c>
      <c r="E144" s="3035" t="s">
        <v>1377</v>
      </c>
    </row>
    <row r="145" spans="1:5">
      <c r="A145" s="3035">
        <v>144</v>
      </c>
      <c r="B145" s="3035" t="s">
        <v>3230</v>
      </c>
      <c r="C145" s="3035" t="s">
        <v>3931</v>
      </c>
      <c r="D145" s="3039">
        <v>61.697000000000003</v>
      </c>
      <c r="E145" s="3035" t="s">
        <v>1377</v>
      </c>
    </row>
    <row r="146" spans="1:5">
      <c r="A146" s="3035">
        <v>145</v>
      </c>
      <c r="B146" s="3035" t="s">
        <v>3230</v>
      </c>
      <c r="C146" s="3035" t="s">
        <v>3932</v>
      </c>
      <c r="D146" s="3039">
        <v>61.697000000000003</v>
      </c>
      <c r="E146" s="3035" t="s">
        <v>1377</v>
      </c>
    </row>
    <row r="147" spans="1:5">
      <c r="A147" s="3035">
        <v>146</v>
      </c>
      <c r="B147" s="3035" t="s">
        <v>3230</v>
      </c>
      <c r="C147" s="3035" t="s">
        <v>3933</v>
      </c>
      <c r="D147" s="3039">
        <v>61.697000000000003</v>
      </c>
      <c r="E147" s="3035" t="s">
        <v>1377</v>
      </c>
    </row>
    <row r="148" spans="1:5">
      <c r="A148" s="3035">
        <v>147</v>
      </c>
      <c r="B148" s="3035" t="s">
        <v>3230</v>
      </c>
      <c r="C148" s="3035" t="s">
        <v>3934</v>
      </c>
      <c r="D148" s="3039">
        <v>61.697000000000003</v>
      </c>
      <c r="E148" s="3035" t="s">
        <v>1377</v>
      </c>
    </row>
    <row r="149" spans="1:5">
      <c r="A149" s="3035">
        <v>148</v>
      </c>
      <c r="B149" s="3035" t="s">
        <v>3230</v>
      </c>
      <c r="C149" s="3035" t="s">
        <v>3935</v>
      </c>
      <c r="D149" s="3039">
        <v>61.697000000000003</v>
      </c>
      <c r="E149" s="3035" t="s">
        <v>1377</v>
      </c>
    </row>
    <row r="150" spans="1:5">
      <c r="A150" s="3035">
        <v>149</v>
      </c>
      <c r="B150" s="3035" t="s">
        <v>3230</v>
      </c>
      <c r="C150" s="3035" t="s">
        <v>3936</v>
      </c>
      <c r="D150" s="3039">
        <v>61.697000000000003</v>
      </c>
      <c r="E150" s="3035" t="s">
        <v>1377</v>
      </c>
    </row>
    <row r="151" spans="1:5">
      <c r="A151" s="3035">
        <v>150</v>
      </c>
      <c r="B151" s="3035" t="s">
        <v>3230</v>
      </c>
      <c r="C151" s="3035" t="s">
        <v>3937</v>
      </c>
      <c r="D151" s="3039">
        <v>61.697000000000003</v>
      </c>
      <c r="E151" s="3035" t="s">
        <v>1377</v>
      </c>
    </row>
    <row r="152" spans="1:5">
      <c r="A152" s="3035">
        <v>151</v>
      </c>
      <c r="B152" s="3035" t="s">
        <v>3230</v>
      </c>
      <c r="C152" s="3035" t="s">
        <v>3938</v>
      </c>
      <c r="D152" s="3039">
        <v>61.697000000000003</v>
      </c>
      <c r="E152" s="3035" t="s">
        <v>1377</v>
      </c>
    </row>
    <row r="153" spans="1:5">
      <c r="A153" s="3035">
        <v>152</v>
      </c>
      <c r="B153" s="3035" t="s">
        <v>3230</v>
      </c>
      <c r="C153" s="3035" t="s">
        <v>3939</v>
      </c>
      <c r="D153" s="3039">
        <v>61.697000000000003</v>
      </c>
      <c r="E153" s="3035" t="s">
        <v>1377</v>
      </c>
    </row>
    <row r="154" spans="1:5">
      <c r="A154" s="3035">
        <v>153</v>
      </c>
      <c r="B154" s="3035" t="s">
        <v>3230</v>
      </c>
      <c r="C154" s="3035" t="s">
        <v>3940</v>
      </c>
      <c r="D154" s="3039">
        <v>61.697000000000003</v>
      </c>
      <c r="E154" s="3035" t="s">
        <v>1377</v>
      </c>
    </row>
    <row r="155" spans="1:5">
      <c r="A155" s="3035">
        <v>154</v>
      </c>
      <c r="B155" s="3035" t="s">
        <v>3230</v>
      </c>
      <c r="C155" s="3035" t="s">
        <v>3941</v>
      </c>
      <c r="D155" s="3039">
        <v>61.697000000000003</v>
      </c>
      <c r="E155" s="3035" t="s">
        <v>1377</v>
      </c>
    </row>
    <row r="156" spans="1:5">
      <c r="A156" s="3035">
        <v>155</v>
      </c>
      <c r="B156" s="3035" t="s">
        <v>3230</v>
      </c>
      <c r="C156" s="3035" t="s">
        <v>3942</v>
      </c>
      <c r="D156" s="3039">
        <v>61.697000000000003</v>
      </c>
      <c r="E156" s="3035" t="s">
        <v>1377</v>
      </c>
    </row>
    <row r="157" spans="1:5">
      <c r="A157" s="3035">
        <v>156</v>
      </c>
      <c r="B157" s="3035" t="s">
        <v>3230</v>
      </c>
      <c r="C157" s="3035" t="s">
        <v>3943</v>
      </c>
      <c r="D157" s="3039">
        <v>86.832800000000006</v>
      </c>
      <c r="E157" s="3035" t="s">
        <v>1377</v>
      </c>
    </row>
    <row r="158" spans="1:5">
      <c r="A158" s="3035">
        <v>157</v>
      </c>
      <c r="B158" s="3035" t="s">
        <v>3230</v>
      </c>
      <c r="C158" s="3035" t="s">
        <v>3944</v>
      </c>
      <c r="D158" s="3039">
        <v>70.028999999999996</v>
      </c>
      <c r="E158" s="3035" t="s">
        <v>1377</v>
      </c>
    </row>
    <row r="159" spans="1:5">
      <c r="A159" s="3035">
        <v>158</v>
      </c>
      <c r="B159" s="3035" t="s">
        <v>3230</v>
      </c>
      <c r="C159" s="3035" t="s">
        <v>3945</v>
      </c>
      <c r="D159" s="3039">
        <v>74.148300000000006</v>
      </c>
      <c r="E159" s="3035" t="s">
        <v>1377</v>
      </c>
    </row>
    <row r="160" spans="1:5">
      <c r="A160" s="3035">
        <v>159</v>
      </c>
      <c r="B160" s="3035" t="s">
        <v>3230</v>
      </c>
      <c r="C160" s="3035" t="s">
        <v>3946</v>
      </c>
      <c r="D160" s="3039">
        <v>175.0472</v>
      </c>
      <c r="E160" s="3035" t="s">
        <v>1377</v>
      </c>
    </row>
    <row r="161" spans="1:5">
      <c r="A161" s="3035">
        <v>160</v>
      </c>
      <c r="B161" s="3035" t="s">
        <v>3230</v>
      </c>
      <c r="C161" s="3035" t="s">
        <v>3947</v>
      </c>
      <c r="D161" s="3039">
        <v>58.549199999999999</v>
      </c>
      <c r="E161" s="3035" t="s">
        <v>1377</v>
      </c>
    </row>
    <row r="162" spans="1:5">
      <c r="A162" s="3035">
        <v>161</v>
      </c>
      <c r="B162" s="3035" t="s">
        <v>3230</v>
      </c>
      <c r="C162" s="3035" t="s">
        <v>3948</v>
      </c>
      <c r="D162" s="3039">
        <v>58.549199999999999</v>
      </c>
      <c r="E162" s="3035" t="s">
        <v>1377</v>
      </c>
    </row>
    <row r="163" spans="1:5">
      <c r="A163" s="3035">
        <v>162</v>
      </c>
      <c r="B163" s="3035" t="s">
        <v>3230</v>
      </c>
      <c r="C163" s="3035" t="s">
        <v>3949</v>
      </c>
      <c r="D163" s="3039">
        <v>58.549199999999999</v>
      </c>
      <c r="E163" s="3035" t="s">
        <v>1377</v>
      </c>
    </row>
    <row r="164" spans="1:5">
      <c r="A164" s="3035">
        <v>163</v>
      </c>
      <c r="B164" s="3035" t="s">
        <v>3230</v>
      </c>
      <c r="C164" s="3035" t="s">
        <v>3950</v>
      </c>
      <c r="D164" s="3039">
        <v>58.549199999999999</v>
      </c>
      <c r="E164" s="3035" t="s">
        <v>1377</v>
      </c>
    </row>
    <row r="165" spans="1:5">
      <c r="A165" s="3035">
        <v>164</v>
      </c>
      <c r="B165" s="3035" t="s">
        <v>3230</v>
      </c>
      <c r="C165" s="3035" t="s">
        <v>3951</v>
      </c>
      <c r="D165" s="3039">
        <v>67.691800000000001</v>
      </c>
      <c r="E165" s="3035" t="s">
        <v>1377</v>
      </c>
    </row>
    <row r="166" spans="1:5">
      <c r="A166" s="3035">
        <v>165</v>
      </c>
      <c r="B166" s="3035" t="s">
        <v>3230</v>
      </c>
      <c r="C166" s="3035" t="s">
        <v>3952</v>
      </c>
      <c r="D166" s="3039">
        <v>67.691800000000001</v>
      </c>
      <c r="E166" s="3035" t="s">
        <v>1377</v>
      </c>
    </row>
    <row r="167" spans="1:5">
      <c r="A167" s="3035">
        <v>166</v>
      </c>
      <c r="B167" s="3035" t="s">
        <v>3230</v>
      </c>
      <c r="C167" s="3035" t="s">
        <v>3953</v>
      </c>
      <c r="D167" s="3039">
        <v>67.992599999999996</v>
      </c>
      <c r="E167" s="3035" t="s">
        <v>1377</v>
      </c>
    </row>
    <row r="168" spans="1:5">
      <c r="A168" s="3035">
        <v>167</v>
      </c>
      <c r="B168" s="3035" t="s">
        <v>3230</v>
      </c>
      <c r="C168" s="3035" t="s">
        <v>3954</v>
      </c>
      <c r="D168" s="3039">
        <v>67.691800000000001</v>
      </c>
      <c r="E168" s="3035" t="s">
        <v>1377</v>
      </c>
    </row>
    <row r="169" spans="1:5">
      <c r="A169" s="3035">
        <v>168</v>
      </c>
      <c r="B169" s="3035" t="s">
        <v>3230</v>
      </c>
      <c r="C169" s="3035" t="s">
        <v>3955</v>
      </c>
      <c r="D169" s="3039">
        <v>67.303200000000004</v>
      </c>
      <c r="E169" s="3035" t="s">
        <v>1377</v>
      </c>
    </row>
    <row r="170" spans="1:5">
      <c r="A170" s="3035">
        <v>169</v>
      </c>
      <c r="B170" s="3035" t="s">
        <v>3230</v>
      </c>
      <c r="C170" s="3035" t="s">
        <v>3956</v>
      </c>
      <c r="D170" s="3039">
        <v>67.230900000000005</v>
      </c>
      <c r="E170" s="3035" t="s">
        <v>1377</v>
      </c>
    </row>
    <row r="171" spans="1:5">
      <c r="A171" s="3035">
        <v>170</v>
      </c>
      <c r="B171" s="3035" t="s">
        <v>3230</v>
      </c>
      <c r="C171" s="3035" t="s">
        <v>3957</v>
      </c>
      <c r="D171" s="3039">
        <v>67.992599999999996</v>
      </c>
      <c r="E171" s="3035" t="s">
        <v>1377</v>
      </c>
    </row>
    <row r="172" spans="1:5">
      <c r="A172" s="3035">
        <v>171</v>
      </c>
      <c r="B172" s="3035" t="s">
        <v>3230</v>
      </c>
      <c r="C172" s="3035" t="s">
        <v>3958</v>
      </c>
      <c r="D172" s="3039">
        <v>67.992599999999996</v>
      </c>
      <c r="E172" s="3035" t="s">
        <v>1377</v>
      </c>
    </row>
    <row r="173" spans="1:5">
      <c r="A173" s="3035">
        <v>172</v>
      </c>
      <c r="B173" s="3035" t="s">
        <v>3230</v>
      </c>
      <c r="C173" s="3035" t="s">
        <v>3959</v>
      </c>
      <c r="D173" s="3039">
        <v>67.992599999999996</v>
      </c>
      <c r="E173" s="3035" t="s">
        <v>1377</v>
      </c>
    </row>
    <row r="174" spans="1:5">
      <c r="A174" s="3035">
        <v>173</v>
      </c>
      <c r="B174" s="3035" t="s">
        <v>3230</v>
      </c>
      <c r="C174" s="3035" t="s">
        <v>3960</v>
      </c>
      <c r="D174" s="3039">
        <v>67.992599999999996</v>
      </c>
      <c r="E174" s="3035" t="s">
        <v>1377</v>
      </c>
    </row>
    <row r="175" spans="1:5">
      <c r="A175" s="3035">
        <v>174</v>
      </c>
      <c r="B175" s="3035" t="s">
        <v>3230</v>
      </c>
      <c r="C175" s="3035" t="s">
        <v>3961</v>
      </c>
      <c r="D175" s="3039">
        <v>61.697000000000003</v>
      </c>
      <c r="E175" s="3035" t="s">
        <v>1377</v>
      </c>
    </row>
    <row r="176" spans="1:5">
      <c r="A176" s="3035">
        <v>175</v>
      </c>
      <c r="B176" s="3035" t="s">
        <v>3230</v>
      </c>
      <c r="C176" s="3035" t="s">
        <v>3962</v>
      </c>
      <c r="D176" s="3039">
        <v>61.697000000000003</v>
      </c>
      <c r="E176" s="3035" t="s">
        <v>1377</v>
      </c>
    </row>
    <row r="177" spans="1:5">
      <c r="A177" s="3035">
        <v>176</v>
      </c>
      <c r="B177" s="3035" t="s">
        <v>3230</v>
      </c>
      <c r="C177" s="3035" t="s">
        <v>3963</v>
      </c>
      <c r="D177" s="3039">
        <v>61.697000000000003</v>
      </c>
      <c r="E177" s="3035" t="s">
        <v>1377</v>
      </c>
    </row>
    <row r="178" spans="1:5">
      <c r="A178" s="3035">
        <v>177</v>
      </c>
      <c r="B178" s="3035" t="s">
        <v>3230</v>
      </c>
      <c r="C178" s="3035" t="s">
        <v>3964</v>
      </c>
      <c r="D178" s="3039">
        <v>61.697000000000003</v>
      </c>
      <c r="E178" s="3035" t="s">
        <v>1377</v>
      </c>
    </row>
    <row r="179" spans="1:5">
      <c r="A179" s="3035">
        <v>178</v>
      </c>
      <c r="B179" s="3035" t="s">
        <v>3230</v>
      </c>
      <c r="C179" s="3035" t="s">
        <v>3965</v>
      </c>
      <c r="D179" s="3039">
        <v>61.697000000000003</v>
      </c>
      <c r="E179" s="3035" t="s">
        <v>1377</v>
      </c>
    </row>
    <row r="180" spans="1:5">
      <c r="A180" s="3035">
        <v>179</v>
      </c>
      <c r="B180" s="3035" t="s">
        <v>3230</v>
      </c>
      <c r="C180" s="3035" t="s">
        <v>3966</v>
      </c>
      <c r="D180" s="3039">
        <v>61.697000000000003</v>
      </c>
      <c r="E180" s="3035" t="s">
        <v>1377</v>
      </c>
    </row>
    <row r="181" spans="1:5">
      <c r="A181" s="3035">
        <v>180</v>
      </c>
      <c r="B181" s="3035" t="s">
        <v>3230</v>
      </c>
      <c r="C181" s="3035" t="s">
        <v>3967</v>
      </c>
      <c r="D181" s="3039">
        <v>61.697000000000003</v>
      </c>
      <c r="E181" s="3035" t="s">
        <v>1377</v>
      </c>
    </row>
    <row r="182" spans="1:5">
      <c r="A182" s="3035">
        <v>181</v>
      </c>
      <c r="B182" s="3035" t="s">
        <v>3230</v>
      </c>
      <c r="C182" s="3035" t="s">
        <v>3968</v>
      </c>
      <c r="D182" s="3039">
        <v>61.697000000000003</v>
      </c>
      <c r="E182" s="3035" t="s">
        <v>1377</v>
      </c>
    </row>
    <row r="183" spans="1:5">
      <c r="A183" s="3035">
        <v>182</v>
      </c>
      <c r="B183" s="3035" t="s">
        <v>3230</v>
      </c>
      <c r="C183" s="3035" t="s">
        <v>3969</v>
      </c>
      <c r="D183" s="3039">
        <v>61.697000000000003</v>
      </c>
      <c r="E183" s="3035" t="s">
        <v>1377</v>
      </c>
    </row>
    <row r="184" spans="1:5">
      <c r="A184" s="3035">
        <v>183</v>
      </c>
      <c r="B184" s="3035" t="s">
        <v>3230</v>
      </c>
      <c r="C184" s="3035" t="s">
        <v>3970</v>
      </c>
      <c r="D184" s="3039">
        <v>61.697000000000003</v>
      </c>
      <c r="E184" s="3035" t="s">
        <v>1377</v>
      </c>
    </row>
    <row r="185" spans="1:5">
      <c r="A185" s="3035">
        <v>184</v>
      </c>
      <c r="B185" s="3035" t="s">
        <v>3230</v>
      </c>
      <c r="C185" s="3035" t="s">
        <v>3971</v>
      </c>
      <c r="D185" s="3039">
        <v>61.697000000000003</v>
      </c>
      <c r="E185" s="3035" t="s">
        <v>1377</v>
      </c>
    </row>
    <row r="186" spans="1:5">
      <c r="A186" s="3035">
        <v>185</v>
      </c>
      <c r="B186" s="3035" t="s">
        <v>3230</v>
      </c>
      <c r="C186" s="3035" t="s">
        <v>3972</v>
      </c>
      <c r="D186" s="3039">
        <v>61.697000000000003</v>
      </c>
      <c r="E186" s="3035" t="s">
        <v>1377</v>
      </c>
    </row>
    <row r="187" spans="1:5">
      <c r="A187" s="3035">
        <v>186</v>
      </c>
      <c r="B187" s="3035" t="s">
        <v>3230</v>
      </c>
      <c r="C187" s="3035" t="s">
        <v>3973</v>
      </c>
      <c r="D187" s="3039">
        <v>61.697000000000003</v>
      </c>
      <c r="E187" s="3035" t="s">
        <v>1377</v>
      </c>
    </row>
    <row r="188" spans="1:5">
      <c r="A188" s="3035">
        <v>187</v>
      </c>
      <c r="B188" s="3035" t="s">
        <v>3230</v>
      </c>
      <c r="C188" s="3035" t="s">
        <v>3974</v>
      </c>
      <c r="D188" s="3039">
        <v>61.697000000000003</v>
      </c>
      <c r="E188" s="3035" t="s">
        <v>1377</v>
      </c>
    </row>
    <row r="189" spans="1:5">
      <c r="A189" s="3035">
        <v>188</v>
      </c>
      <c r="B189" s="3035" t="s">
        <v>3230</v>
      </c>
      <c r="C189" s="3035" t="s">
        <v>3975</v>
      </c>
      <c r="D189" s="3039">
        <v>61.697000000000003</v>
      </c>
      <c r="E189" s="3035" t="s">
        <v>1377</v>
      </c>
    </row>
    <row r="190" spans="1:5">
      <c r="A190" s="3035">
        <v>189</v>
      </c>
      <c r="B190" s="3035" t="s">
        <v>3230</v>
      </c>
      <c r="C190" s="3035" t="s">
        <v>3976</v>
      </c>
      <c r="D190" s="3039">
        <v>61.697000000000003</v>
      </c>
      <c r="E190" s="3035" t="s">
        <v>1377</v>
      </c>
    </row>
    <row r="191" spans="1:5">
      <c r="A191" s="3035">
        <v>190</v>
      </c>
      <c r="B191" s="3035" t="s">
        <v>3230</v>
      </c>
      <c r="C191" s="3035" t="s">
        <v>3977</v>
      </c>
      <c r="D191" s="3039">
        <v>86.832800000000006</v>
      </c>
      <c r="E191" s="3035" t="s">
        <v>1377</v>
      </c>
    </row>
    <row r="192" spans="1:5">
      <c r="A192" s="3035">
        <v>191</v>
      </c>
      <c r="B192" s="3035" t="s">
        <v>3230</v>
      </c>
      <c r="C192" s="3035" t="s">
        <v>3978</v>
      </c>
      <c r="D192" s="3039">
        <v>70.028999999999996</v>
      </c>
      <c r="E192" s="3035" t="s">
        <v>1377</v>
      </c>
    </row>
    <row r="193" spans="1:5">
      <c r="A193" s="3035">
        <v>192</v>
      </c>
      <c r="B193" s="3035" t="s">
        <v>3230</v>
      </c>
      <c r="C193" s="3035" t="s">
        <v>3979</v>
      </c>
      <c r="D193" s="3039">
        <v>74.148300000000006</v>
      </c>
      <c r="E193" s="3035" t="s">
        <v>1377</v>
      </c>
    </row>
    <row r="194" spans="1:5">
      <c r="A194" s="3035">
        <v>193</v>
      </c>
      <c r="B194" s="3035" t="s">
        <v>3230</v>
      </c>
      <c r="C194" s="3035" t="s">
        <v>3980</v>
      </c>
      <c r="D194" s="3039">
        <v>175.0472</v>
      </c>
      <c r="E194" s="3035" t="s">
        <v>1377</v>
      </c>
    </row>
    <row r="195" spans="1:5">
      <c r="A195" s="3035">
        <v>194</v>
      </c>
      <c r="B195" s="3035" t="s">
        <v>3230</v>
      </c>
      <c r="C195" s="3035" t="s">
        <v>3981</v>
      </c>
      <c r="D195" s="3039">
        <v>58.549199999999999</v>
      </c>
      <c r="E195" s="3035" t="s">
        <v>1377</v>
      </c>
    </row>
    <row r="196" spans="1:5">
      <c r="A196" s="3035">
        <v>195</v>
      </c>
      <c r="B196" s="3035" t="s">
        <v>3230</v>
      </c>
      <c r="C196" s="3035" t="s">
        <v>3982</v>
      </c>
      <c r="D196" s="3039">
        <v>58.549199999999999</v>
      </c>
      <c r="E196" s="3035" t="s">
        <v>1377</v>
      </c>
    </row>
    <row r="197" spans="1:5">
      <c r="A197" s="3035">
        <v>196</v>
      </c>
      <c r="B197" s="3035" t="s">
        <v>3230</v>
      </c>
      <c r="C197" s="3035" t="s">
        <v>3983</v>
      </c>
      <c r="D197" s="3039">
        <v>58.549199999999999</v>
      </c>
      <c r="E197" s="3035" t="s">
        <v>1377</v>
      </c>
    </row>
    <row r="198" spans="1:5">
      <c r="A198" s="3035">
        <v>197</v>
      </c>
      <c r="B198" s="3035" t="s">
        <v>3230</v>
      </c>
      <c r="C198" s="3035" t="s">
        <v>3984</v>
      </c>
      <c r="D198" s="3039">
        <v>58.549199999999999</v>
      </c>
      <c r="E198" s="3035" t="s">
        <v>1377</v>
      </c>
    </row>
    <row r="199" spans="1:5">
      <c r="A199" s="3035">
        <v>198</v>
      </c>
      <c r="B199" s="3035" t="s">
        <v>3230</v>
      </c>
      <c r="C199" s="3035" t="s">
        <v>3985</v>
      </c>
      <c r="D199" s="3039">
        <v>67.691800000000001</v>
      </c>
      <c r="E199" s="3035" t="s">
        <v>1377</v>
      </c>
    </row>
    <row r="200" spans="1:5">
      <c r="A200" s="3035">
        <v>199</v>
      </c>
      <c r="B200" s="3035" t="s">
        <v>3230</v>
      </c>
      <c r="C200" s="3035" t="s">
        <v>3986</v>
      </c>
      <c r="D200" s="3039">
        <v>67.691800000000001</v>
      </c>
      <c r="E200" s="3035" t="s">
        <v>1377</v>
      </c>
    </row>
    <row r="201" spans="1:5">
      <c r="A201" s="3035">
        <v>200</v>
      </c>
      <c r="B201" s="3035" t="s">
        <v>3230</v>
      </c>
      <c r="C201" s="3035" t="s">
        <v>3987</v>
      </c>
      <c r="D201" s="3039">
        <v>67.992599999999996</v>
      </c>
      <c r="E201" s="3035" t="s">
        <v>1377</v>
      </c>
    </row>
    <row r="202" spans="1:5">
      <c r="A202" s="3035">
        <v>201</v>
      </c>
      <c r="B202" s="3035" t="s">
        <v>3230</v>
      </c>
      <c r="C202" s="3035" t="s">
        <v>3988</v>
      </c>
      <c r="D202" s="3039">
        <v>67.691800000000001</v>
      </c>
      <c r="E202" s="3035" t="s">
        <v>1377</v>
      </c>
    </row>
    <row r="203" spans="1:5">
      <c r="A203" s="3035">
        <v>202</v>
      </c>
      <c r="B203" s="3035" t="s">
        <v>3230</v>
      </c>
      <c r="C203" s="3035" t="s">
        <v>3989</v>
      </c>
      <c r="D203" s="3039">
        <v>67.303200000000004</v>
      </c>
      <c r="E203" s="3035" t="s">
        <v>1377</v>
      </c>
    </row>
    <row r="204" spans="1:5">
      <c r="A204" s="3035">
        <v>203</v>
      </c>
      <c r="B204" s="3035" t="s">
        <v>3230</v>
      </c>
      <c r="C204" s="3035" t="s">
        <v>3990</v>
      </c>
      <c r="D204" s="3039">
        <v>67.230900000000005</v>
      </c>
      <c r="E204" s="3035" t="s">
        <v>1377</v>
      </c>
    </row>
    <row r="205" spans="1:5">
      <c r="A205" s="3035">
        <v>204</v>
      </c>
      <c r="B205" s="3035" t="s">
        <v>3230</v>
      </c>
      <c r="C205" s="3035" t="s">
        <v>3991</v>
      </c>
      <c r="D205" s="3039">
        <v>67.992599999999996</v>
      </c>
      <c r="E205" s="3035" t="s">
        <v>1377</v>
      </c>
    </row>
    <row r="206" spans="1:5">
      <c r="A206" s="3035">
        <v>205</v>
      </c>
      <c r="B206" s="3035" t="s">
        <v>3230</v>
      </c>
      <c r="C206" s="3035" t="s">
        <v>3992</v>
      </c>
      <c r="D206" s="3039">
        <v>67.992599999999996</v>
      </c>
      <c r="E206" s="3035" t="s">
        <v>1377</v>
      </c>
    </row>
    <row r="207" spans="1:5">
      <c r="A207" s="3035">
        <v>206</v>
      </c>
      <c r="B207" s="3035" t="s">
        <v>3230</v>
      </c>
      <c r="C207" s="3035" t="s">
        <v>3993</v>
      </c>
      <c r="D207" s="3039">
        <v>67.992599999999996</v>
      </c>
      <c r="E207" s="3035" t="s">
        <v>1377</v>
      </c>
    </row>
    <row r="208" spans="1:5">
      <c r="A208" s="3035">
        <v>207</v>
      </c>
      <c r="B208" s="3035" t="s">
        <v>3230</v>
      </c>
      <c r="C208" s="3035" t="s">
        <v>3994</v>
      </c>
      <c r="D208" s="3039">
        <v>67.992599999999996</v>
      </c>
      <c r="E208" s="3035" t="s">
        <v>1377</v>
      </c>
    </row>
    <row r="209" spans="1:5">
      <c r="A209" s="3035">
        <v>208</v>
      </c>
      <c r="B209" s="3035" t="s">
        <v>3230</v>
      </c>
      <c r="C209" s="3035" t="s">
        <v>3995</v>
      </c>
      <c r="D209" s="3039">
        <v>61.697000000000003</v>
      </c>
      <c r="E209" s="3035" t="s">
        <v>1377</v>
      </c>
    </row>
    <row r="210" spans="1:5">
      <c r="A210" s="3035">
        <v>209</v>
      </c>
      <c r="B210" s="3035" t="s">
        <v>3230</v>
      </c>
      <c r="C210" s="3035" t="s">
        <v>3996</v>
      </c>
      <c r="D210" s="3039">
        <v>61.697000000000003</v>
      </c>
      <c r="E210" s="3035" t="s">
        <v>1377</v>
      </c>
    </row>
    <row r="211" spans="1:5">
      <c r="A211" s="3035">
        <v>210</v>
      </c>
      <c r="B211" s="3035" t="s">
        <v>3230</v>
      </c>
      <c r="C211" s="3035" t="s">
        <v>3997</v>
      </c>
      <c r="D211" s="3039">
        <v>61.697000000000003</v>
      </c>
      <c r="E211" s="3035" t="s">
        <v>1377</v>
      </c>
    </row>
    <row r="212" spans="1:5">
      <c r="A212" s="3035">
        <v>211</v>
      </c>
      <c r="B212" s="3035" t="s">
        <v>3230</v>
      </c>
      <c r="C212" s="3035" t="s">
        <v>3998</v>
      </c>
      <c r="D212" s="3039">
        <v>61.697000000000003</v>
      </c>
      <c r="E212" s="3035" t="s">
        <v>1377</v>
      </c>
    </row>
    <row r="213" spans="1:5">
      <c r="A213" s="3035">
        <v>212</v>
      </c>
      <c r="B213" s="3035" t="s">
        <v>3230</v>
      </c>
      <c r="C213" s="3035" t="s">
        <v>3999</v>
      </c>
      <c r="D213" s="3039">
        <v>61.697000000000003</v>
      </c>
      <c r="E213" s="3035" t="s">
        <v>1377</v>
      </c>
    </row>
    <row r="214" spans="1:5">
      <c r="A214" s="3035">
        <v>213</v>
      </c>
      <c r="B214" s="3035" t="s">
        <v>3230</v>
      </c>
      <c r="C214" s="3035" t="s">
        <v>4000</v>
      </c>
      <c r="D214" s="3039">
        <v>61.697000000000003</v>
      </c>
      <c r="E214" s="3035" t="s">
        <v>1377</v>
      </c>
    </row>
    <row r="215" spans="1:5">
      <c r="A215" s="3035">
        <v>214</v>
      </c>
      <c r="B215" s="3035" t="s">
        <v>3230</v>
      </c>
      <c r="C215" s="3035" t="s">
        <v>4001</v>
      </c>
      <c r="D215" s="3039">
        <v>61.697000000000003</v>
      </c>
      <c r="E215" s="3035" t="s">
        <v>1377</v>
      </c>
    </row>
    <row r="216" spans="1:5">
      <c r="A216" s="3035">
        <v>215</v>
      </c>
      <c r="B216" s="3035" t="s">
        <v>3230</v>
      </c>
      <c r="C216" s="3035" t="s">
        <v>4002</v>
      </c>
      <c r="D216" s="3039">
        <v>61.697000000000003</v>
      </c>
      <c r="E216" s="3035" t="s">
        <v>1377</v>
      </c>
    </row>
    <row r="217" spans="1:5">
      <c r="A217" s="3035">
        <v>216</v>
      </c>
      <c r="B217" s="3035" t="s">
        <v>3230</v>
      </c>
      <c r="C217" s="3035" t="s">
        <v>4003</v>
      </c>
      <c r="D217" s="3039">
        <v>61.697000000000003</v>
      </c>
      <c r="E217" s="3035" t="s">
        <v>1377</v>
      </c>
    </row>
    <row r="218" spans="1:5">
      <c r="A218" s="3035">
        <v>217</v>
      </c>
      <c r="B218" s="3035" t="s">
        <v>3230</v>
      </c>
      <c r="C218" s="3035" t="s">
        <v>4004</v>
      </c>
      <c r="D218" s="3039">
        <v>61.697000000000003</v>
      </c>
      <c r="E218" s="3035" t="s">
        <v>1377</v>
      </c>
    </row>
    <row r="219" spans="1:5">
      <c r="A219" s="3035">
        <v>218</v>
      </c>
      <c r="B219" s="3035" t="s">
        <v>3230</v>
      </c>
      <c r="C219" s="3035" t="s">
        <v>4005</v>
      </c>
      <c r="D219" s="3039">
        <v>61.697000000000003</v>
      </c>
      <c r="E219" s="3035" t="s">
        <v>1377</v>
      </c>
    </row>
    <row r="220" spans="1:5">
      <c r="A220" s="3035">
        <v>219</v>
      </c>
      <c r="B220" s="3035" t="s">
        <v>3230</v>
      </c>
      <c r="C220" s="3035" t="s">
        <v>4006</v>
      </c>
      <c r="D220" s="3039">
        <v>61.697000000000003</v>
      </c>
      <c r="E220" s="3035" t="s">
        <v>1377</v>
      </c>
    </row>
    <row r="221" spans="1:5">
      <c r="A221" s="3035">
        <v>220</v>
      </c>
      <c r="B221" s="3035" t="s">
        <v>3230</v>
      </c>
      <c r="C221" s="3035" t="s">
        <v>4007</v>
      </c>
      <c r="D221" s="3039">
        <v>61.697000000000003</v>
      </c>
      <c r="E221" s="3035" t="s">
        <v>1377</v>
      </c>
    </row>
    <row r="222" spans="1:5">
      <c r="A222" s="3035">
        <v>221</v>
      </c>
      <c r="B222" s="3035" t="s">
        <v>3230</v>
      </c>
      <c r="C222" s="3035" t="s">
        <v>4008</v>
      </c>
      <c r="D222" s="3039">
        <v>61.697000000000003</v>
      </c>
      <c r="E222" s="3035" t="s">
        <v>1377</v>
      </c>
    </row>
    <row r="223" spans="1:5">
      <c r="A223" s="3035">
        <v>222</v>
      </c>
      <c r="B223" s="3035" t="s">
        <v>3230</v>
      </c>
      <c r="C223" s="3035" t="s">
        <v>4009</v>
      </c>
      <c r="D223" s="3039">
        <v>61.697000000000003</v>
      </c>
      <c r="E223" s="3035" t="s">
        <v>1377</v>
      </c>
    </row>
    <row r="224" spans="1:5">
      <c r="A224" s="3035">
        <v>223</v>
      </c>
      <c r="B224" s="3035" t="s">
        <v>3230</v>
      </c>
      <c r="C224" s="3035" t="s">
        <v>4010</v>
      </c>
      <c r="D224" s="3039">
        <v>61.697000000000003</v>
      </c>
      <c r="E224" s="3035" t="s">
        <v>1377</v>
      </c>
    </row>
    <row r="225" spans="1:5">
      <c r="A225" s="3035">
        <v>224</v>
      </c>
      <c r="B225" s="3035" t="s">
        <v>3230</v>
      </c>
      <c r="C225" s="3035" t="s">
        <v>4011</v>
      </c>
      <c r="D225" s="3039">
        <v>86.832800000000006</v>
      </c>
      <c r="E225" s="3035" t="s">
        <v>1377</v>
      </c>
    </row>
    <row r="226" spans="1:5">
      <c r="A226" s="3035">
        <v>225</v>
      </c>
      <c r="B226" s="3035" t="s">
        <v>3230</v>
      </c>
      <c r="C226" s="3035" t="s">
        <v>4012</v>
      </c>
      <c r="D226" s="3039">
        <v>70.028999999999996</v>
      </c>
      <c r="E226" s="3035" t="s">
        <v>1377</v>
      </c>
    </row>
    <row r="227" spans="1:5">
      <c r="A227" s="3035">
        <v>226</v>
      </c>
      <c r="B227" s="3035" t="s">
        <v>3230</v>
      </c>
      <c r="C227" s="3035" t="s">
        <v>4013</v>
      </c>
      <c r="D227" s="3039">
        <v>74.148300000000006</v>
      </c>
      <c r="E227" s="3035" t="s">
        <v>1377</v>
      </c>
    </row>
    <row r="228" spans="1:5">
      <c r="A228" s="3035">
        <v>227</v>
      </c>
      <c r="B228" s="3035" t="s">
        <v>3230</v>
      </c>
      <c r="C228" s="3035" t="s">
        <v>4014</v>
      </c>
      <c r="D228" s="3039">
        <v>175.0472</v>
      </c>
      <c r="E228" s="3035" t="s">
        <v>1377</v>
      </c>
    </row>
    <row r="229" spans="1:5">
      <c r="A229" s="3035">
        <v>228</v>
      </c>
      <c r="B229" s="3035" t="s">
        <v>3230</v>
      </c>
      <c r="C229" s="3035" t="s">
        <v>4015</v>
      </c>
      <c r="D229" s="3039">
        <v>58.549199999999999</v>
      </c>
      <c r="E229" s="3035" t="s">
        <v>1377</v>
      </c>
    </row>
    <row r="230" spans="1:5">
      <c r="A230" s="3035">
        <v>229</v>
      </c>
      <c r="B230" s="3035" t="s">
        <v>3230</v>
      </c>
      <c r="C230" s="3035" t="s">
        <v>4016</v>
      </c>
      <c r="D230" s="3039">
        <v>58.549199999999999</v>
      </c>
      <c r="E230" s="3035" t="s">
        <v>1377</v>
      </c>
    </row>
    <row r="231" spans="1:5">
      <c r="A231" s="3035">
        <v>230</v>
      </c>
      <c r="B231" s="3035" t="s">
        <v>3230</v>
      </c>
      <c r="C231" s="3035" t="s">
        <v>4017</v>
      </c>
      <c r="D231" s="3039">
        <v>58.549199999999999</v>
      </c>
      <c r="E231" s="3035" t="s">
        <v>1377</v>
      </c>
    </row>
    <row r="232" spans="1:5">
      <c r="A232" s="3035">
        <v>231</v>
      </c>
      <c r="B232" s="3035" t="s">
        <v>3230</v>
      </c>
      <c r="C232" s="3035" t="s">
        <v>4018</v>
      </c>
      <c r="D232" s="3039">
        <v>58.549199999999999</v>
      </c>
      <c r="E232" s="3035" t="s">
        <v>1377</v>
      </c>
    </row>
    <row r="233" spans="1:5">
      <c r="A233" s="3035">
        <v>232</v>
      </c>
      <c r="B233" s="3035" t="s">
        <v>3230</v>
      </c>
      <c r="C233" s="3035" t="s">
        <v>4019</v>
      </c>
      <c r="D233" s="3039">
        <v>67.691800000000001</v>
      </c>
      <c r="E233" s="3035" t="s">
        <v>1377</v>
      </c>
    </row>
    <row r="234" spans="1:5">
      <c r="A234" s="3035">
        <v>233</v>
      </c>
      <c r="B234" s="3035" t="s">
        <v>3230</v>
      </c>
      <c r="C234" s="3035" t="s">
        <v>4020</v>
      </c>
      <c r="D234" s="3039">
        <v>67.691800000000001</v>
      </c>
      <c r="E234" s="3035" t="s">
        <v>1377</v>
      </c>
    </row>
    <row r="235" spans="1:5">
      <c r="A235" s="3035">
        <v>234</v>
      </c>
      <c r="B235" s="3035" t="s">
        <v>3230</v>
      </c>
      <c r="C235" s="3035" t="s">
        <v>4021</v>
      </c>
      <c r="D235" s="3039">
        <v>67.992599999999996</v>
      </c>
      <c r="E235" s="3035" t="s">
        <v>1377</v>
      </c>
    </row>
    <row r="236" spans="1:5">
      <c r="A236" s="3035">
        <v>235</v>
      </c>
      <c r="B236" s="3035" t="s">
        <v>3230</v>
      </c>
      <c r="C236" s="3035" t="s">
        <v>4022</v>
      </c>
      <c r="D236" s="3039">
        <v>67.691800000000001</v>
      </c>
      <c r="E236" s="3035" t="s">
        <v>1377</v>
      </c>
    </row>
    <row r="237" spans="1:5">
      <c r="A237" s="3035">
        <v>236</v>
      </c>
      <c r="B237" s="3035" t="s">
        <v>3230</v>
      </c>
      <c r="C237" s="3035" t="s">
        <v>4023</v>
      </c>
      <c r="D237" s="3039">
        <v>67.303200000000004</v>
      </c>
      <c r="E237" s="3035" t="s">
        <v>1377</v>
      </c>
    </row>
    <row r="238" spans="1:5">
      <c r="A238" s="3035">
        <v>237</v>
      </c>
      <c r="B238" s="3035" t="s">
        <v>3230</v>
      </c>
      <c r="C238" s="3035" t="s">
        <v>4024</v>
      </c>
      <c r="D238" s="3039">
        <v>67.230900000000005</v>
      </c>
      <c r="E238" s="3035" t="s">
        <v>1377</v>
      </c>
    </row>
    <row r="239" spans="1:5">
      <c r="A239" s="3035">
        <v>238</v>
      </c>
      <c r="B239" s="3035" t="s">
        <v>3230</v>
      </c>
      <c r="C239" s="3035" t="s">
        <v>4025</v>
      </c>
      <c r="D239" s="3039">
        <v>67.992599999999996</v>
      </c>
      <c r="E239" s="3035" t="s">
        <v>1377</v>
      </c>
    </row>
    <row r="240" spans="1:5">
      <c r="A240" s="3035">
        <v>239</v>
      </c>
      <c r="B240" s="3035" t="s">
        <v>3230</v>
      </c>
      <c r="C240" s="3035" t="s">
        <v>4026</v>
      </c>
      <c r="D240" s="3039">
        <v>67.992599999999996</v>
      </c>
      <c r="E240" s="3035" t="s">
        <v>1377</v>
      </c>
    </row>
    <row r="241" spans="1:5">
      <c r="A241" s="3035">
        <v>240</v>
      </c>
      <c r="B241" s="3035" t="s">
        <v>3230</v>
      </c>
      <c r="C241" s="3035" t="s">
        <v>4027</v>
      </c>
      <c r="D241" s="3039">
        <v>67.992599999999996</v>
      </c>
      <c r="E241" s="3035" t="s">
        <v>1377</v>
      </c>
    </row>
    <row r="242" spans="1:5">
      <c r="A242" s="3035">
        <v>241</v>
      </c>
      <c r="B242" s="3035" t="s">
        <v>3230</v>
      </c>
      <c r="C242" s="3035" t="s">
        <v>4028</v>
      </c>
      <c r="D242" s="3039">
        <v>67.992599999999996</v>
      </c>
      <c r="E242" s="3035" t="s">
        <v>1377</v>
      </c>
    </row>
    <row r="243" spans="1:5">
      <c r="A243" s="3035">
        <v>242</v>
      </c>
      <c r="B243" s="3035" t="s">
        <v>3230</v>
      </c>
      <c r="C243" s="3035" t="s">
        <v>4029</v>
      </c>
      <c r="D243" s="3039">
        <v>61.697000000000003</v>
      </c>
      <c r="E243" s="3035" t="s">
        <v>1377</v>
      </c>
    </row>
    <row r="244" spans="1:5">
      <c r="A244" s="3035">
        <v>243</v>
      </c>
      <c r="B244" s="3035" t="s">
        <v>3230</v>
      </c>
      <c r="C244" s="3035" t="s">
        <v>4030</v>
      </c>
      <c r="D244" s="3039">
        <v>61.697000000000003</v>
      </c>
      <c r="E244" s="3035" t="s">
        <v>1377</v>
      </c>
    </row>
    <row r="245" spans="1:5">
      <c r="A245" s="3035">
        <v>244</v>
      </c>
      <c r="B245" s="3035" t="s">
        <v>3230</v>
      </c>
      <c r="C245" s="3035" t="s">
        <v>4031</v>
      </c>
      <c r="D245" s="3039">
        <v>61.697000000000003</v>
      </c>
      <c r="E245" s="3035" t="s">
        <v>1377</v>
      </c>
    </row>
    <row r="246" spans="1:5">
      <c r="A246" s="3035">
        <v>245</v>
      </c>
      <c r="B246" s="3035" t="s">
        <v>3230</v>
      </c>
      <c r="C246" s="3035" t="s">
        <v>4032</v>
      </c>
      <c r="D246" s="3039">
        <v>61.697000000000003</v>
      </c>
      <c r="E246" s="3035" t="s">
        <v>1377</v>
      </c>
    </row>
    <row r="247" spans="1:5">
      <c r="A247" s="3035">
        <v>246</v>
      </c>
      <c r="B247" s="3035" t="s">
        <v>3230</v>
      </c>
      <c r="C247" s="3035" t="s">
        <v>4033</v>
      </c>
      <c r="D247" s="3039">
        <v>61.697000000000003</v>
      </c>
      <c r="E247" s="3035" t="s">
        <v>1377</v>
      </c>
    </row>
    <row r="248" spans="1:5">
      <c r="A248" s="3035">
        <v>247</v>
      </c>
      <c r="B248" s="3035" t="s">
        <v>3230</v>
      </c>
      <c r="C248" s="3035" t="s">
        <v>4034</v>
      </c>
      <c r="D248" s="3039">
        <v>61.697000000000003</v>
      </c>
      <c r="E248" s="3035" t="s">
        <v>1377</v>
      </c>
    </row>
    <row r="249" spans="1:5">
      <c r="A249" s="3035">
        <v>248</v>
      </c>
      <c r="B249" s="3035" t="s">
        <v>3230</v>
      </c>
      <c r="C249" s="3035" t="s">
        <v>4035</v>
      </c>
      <c r="D249" s="3039">
        <v>61.697000000000003</v>
      </c>
      <c r="E249" s="3035" t="s">
        <v>1377</v>
      </c>
    </row>
    <row r="250" spans="1:5">
      <c r="A250" s="3035">
        <v>249</v>
      </c>
      <c r="B250" s="3035" t="s">
        <v>3230</v>
      </c>
      <c r="C250" s="3035" t="s">
        <v>4036</v>
      </c>
      <c r="D250" s="3039">
        <v>61.697000000000003</v>
      </c>
      <c r="E250" s="3035" t="s">
        <v>1377</v>
      </c>
    </row>
    <row r="251" spans="1:5">
      <c r="A251" s="3035">
        <v>250</v>
      </c>
      <c r="B251" s="3035" t="s">
        <v>3230</v>
      </c>
      <c r="C251" s="3035" t="s">
        <v>4037</v>
      </c>
      <c r="D251" s="3039">
        <v>61.697000000000003</v>
      </c>
      <c r="E251" s="3035" t="s">
        <v>1377</v>
      </c>
    </row>
    <row r="252" spans="1:5">
      <c r="A252" s="3035">
        <v>251</v>
      </c>
      <c r="B252" s="3035" t="s">
        <v>3230</v>
      </c>
      <c r="C252" s="3035" t="s">
        <v>4038</v>
      </c>
      <c r="D252" s="3039">
        <v>61.697000000000003</v>
      </c>
      <c r="E252" s="3035" t="s">
        <v>1377</v>
      </c>
    </row>
    <row r="253" spans="1:5">
      <c r="A253" s="3035">
        <v>252</v>
      </c>
      <c r="B253" s="3035" t="s">
        <v>3230</v>
      </c>
      <c r="C253" s="3035" t="s">
        <v>4039</v>
      </c>
      <c r="D253" s="3039">
        <v>61.697000000000003</v>
      </c>
      <c r="E253" s="3035" t="s">
        <v>1377</v>
      </c>
    </row>
    <row r="254" spans="1:5">
      <c r="A254" s="3035">
        <v>253</v>
      </c>
      <c r="B254" s="3035" t="s">
        <v>3230</v>
      </c>
      <c r="C254" s="3035" t="s">
        <v>4040</v>
      </c>
      <c r="D254" s="3039">
        <v>61.697000000000003</v>
      </c>
      <c r="E254" s="3035" t="s">
        <v>1377</v>
      </c>
    </row>
    <row r="255" spans="1:5">
      <c r="A255" s="3035">
        <v>254</v>
      </c>
      <c r="B255" s="3035" t="s">
        <v>3230</v>
      </c>
      <c r="C255" s="3035" t="s">
        <v>4041</v>
      </c>
      <c r="D255" s="3039">
        <v>61.697000000000003</v>
      </c>
      <c r="E255" s="3035" t="s">
        <v>1377</v>
      </c>
    </row>
    <row r="256" spans="1:5">
      <c r="A256" s="3035">
        <v>255</v>
      </c>
      <c r="B256" s="3035" t="s">
        <v>3230</v>
      </c>
      <c r="C256" s="3035" t="s">
        <v>4042</v>
      </c>
      <c r="D256" s="3039">
        <v>61.697000000000003</v>
      </c>
      <c r="E256" s="3035" t="s">
        <v>1377</v>
      </c>
    </row>
    <row r="257" spans="1:5">
      <c r="A257" s="3035">
        <v>256</v>
      </c>
      <c r="B257" s="3035" t="s">
        <v>3230</v>
      </c>
      <c r="C257" s="3035" t="s">
        <v>4043</v>
      </c>
      <c r="D257" s="3039">
        <v>61.697000000000003</v>
      </c>
      <c r="E257" s="3035" t="s">
        <v>1377</v>
      </c>
    </row>
    <row r="258" spans="1:5">
      <c r="A258" s="3035">
        <v>257</v>
      </c>
      <c r="B258" s="3035" t="s">
        <v>3230</v>
      </c>
      <c r="C258" s="3035" t="s">
        <v>4044</v>
      </c>
      <c r="D258" s="3039">
        <v>61.697000000000003</v>
      </c>
      <c r="E258" s="3035" t="s">
        <v>1377</v>
      </c>
    </row>
    <row r="259" spans="1:5">
      <c r="A259" s="3035">
        <v>258</v>
      </c>
      <c r="B259" s="3035" t="s">
        <v>3230</v>
      </c>
      <c r="C259" s="3035" t="s">
        <v>4045</v>
      </c>
      <c r="D259" s="3039">
        <v>86.832800000000006</v>
      </c>
      <c r="E259" s="3035" t="s">
        <v>1377</v>
      </c>
    </row>
    <row r="260" spans="1:5">
      <c r="A260" s="3035">
        <v>259</v>
      </c>
      <c r="B260" s="3035" t="s">
        <v>3230</v>
      </c>
      <c r="C260" s="3035" t="s">
        <v>4046</v>
      </c>
      <c r="D260" s="3039">
        <v>70.028999999999996</v>
      </c>
      <c r="E260" s="3035" t="s">
        <v>1377</v>
      </c>
    </row>
    <row r="261" spans="1:5">
      <c r="A261" s="3035">
        <v>260</v>
      </c>
      <c r="B261" s="3035" t="s">
        <v>3230</v>
      </c>
      <c r="C261" s="3035" t="s">
        <v>4047</v>
      </c>
      <c r="D261" s="3039">
        <v>74.148300000000006</v>
      </c>
      <c r="E261" s="3035" t="s">
        <v>1377</v>
      </c>
    </row>
    <row r="262" spans="1:5">
      <c r="A262" s="3035">
        <v>261</v>
      </c>
      <c r="B262" s="3035" t="s">
        <v>3230</v>
      </c>
      <c r="C262" s="3035" t="s">
        <v>4048</v>
      </c>
      <c r="D262" s="3039">
        <v>175.0472</v>
      </c>
      <c r="E262" s="3035" t="s">
        <v>1377</v>
      </c>
    </row>
    <row r="263" spans="1:5">
      <c r="A263" s="3035">
        <v>262</v>
      </c>
      <c r="B263" s="3035" t="s">
        <v>3230</v>
      </c>
      <c r="C263" s="3035" t="s">
        <v>4049</v>
      </c>
      <c r="D263" s="3039">
        <v>58.549199999999999</v>
      </c>
      <c r="E263" s="3035" t="s">
        <v>1377</v>
      </c>
    </row>
    <row r="264" spans="1:5">
      <c r="A264" s="3035">
        <v>263</v>
      </c>
      <c r="B264" s="3035" t="s">
        <v>3230</v>
      </c>
      <c r="C264" s="3035" t="s">
        <v>4050</v>
      </c>
      <c r="D264" s="3039">
        <v>58.549199999999999</v>
      </c>
      <c r="E264" s="3035" t="s">
        <v>1377</v>
      </c>
    </row>
    <row r="265" spans="1:5">
      <c r="A265" s="3035">
        <v>264</v>
      </c>
      <c r="B265" s="3035" t="s">
        <v>3230</v>
      </c>
      <c r="C265" s="3035" t="s">
        <v>4051</v>
      </c>
      <c r="D265" s="3039">
        <v>58.549199999999999</v>
      </c>
      <c r="E265" s="3035" t="s">
        <v>1377</v>
      </c>
    </row>
    <row r="266" spans="1:5">
      <c r="A266" s="3035">
        <v>265</v>
      </c>
      <c r="B266" s="3035" t="s">
        <v>3230</v>
      </c>
      <c r="C266" s="3035" t="s">
        <v>4052</v>
      </c>
      <c r="D266" s="3039">
        <v>58.549199999999999</v>
      </c>
      <c r="E266" s="3035" t="s">
        <v>1377</v>
      </c>
    </row>
    <row r="267" spans="1:5">
      <c r="A267" s="3035">
        <v>266</v>
      </c>
      <c r="B267" s="3035" t="s">
        <v>3230</v>
      </c>
      <c r="C267" s="3035" t="s">
        <v>4053</v>
      </c>
      <c r="D267" s="3039">
        <v>67.691800000000001</v>
      </c>
      <c r="E267" s="3035" t="s">
        <v>1377</v>
      </c>
    </row>
    <row r="268" spans="1:5">
      <c r="A268" s="3035">
        <v>267</v>
      </c>
      <c r="B268" s="3035" t="s">
        <v>3230</v>
      </c>
      <c r="C268" s="3035" t="s">
        <v>4054</v>
      </c>
      <c r="D268" s="3039">
        <v>67.691800000000001</v>
      </c>
      <c r="E268" s="3035" t="s">
        <v>1377</v>
      </c>
    </row>
    <row r="269" spans="1:5">
      <c r="A269" s="3035">
        <v>268</v>
      </c>
      <c r="B269" s="3035" t="s">
        <v>3230</v>
      </c>
      <c r="C269" s="3035" t="s">
        <v>4055</v>
      </c>
      <c r="D269" s="3039">
        <v>67.992599999999996</v>
      </c>
      <c r="E269" s="3035" t="s">
        <v>1377</v>
      </c>
    </row>
    <row r="270" spans="1:5">
      <c r="A270" s="3035">
        <v>269</v>
      </c>
      <c r="B270" s="3035" t="s">
        <v>3230</v>
      </c>
      <c r="C270" s="3035" t="s">
        <v>4056</v>
      </c>
      <c r="D270" s="3039">
        <v>67.691800000000001</v>
      </c>
      <c r="E270" s="3035" t="s">
        <v>1377</v>
      </c>
    </row>
    <row r="271" spans="1:5">
      <c r="A271" s="3035">
        <v>270</v>
      </c>
      <c r="B271" s="3035" t="s">
        <v>3230</v>
      </c>
      <c r="C271" s="3035" t="s">
        <v>4057</v>
      </c>
      <c r="D271" s="3039">
        <v>67.303200000000004</v>
      </c>
      <c r="E271" s="3035" t="s">
        <v>1377</v>
      </c>
    </row>
    <row r="272" spans="1:5">
      <c r="A272" s="3035">
        <v>271</v>
      </c>
      <c r="B272" s="3035" t="s">
        <v>3230</v>
      </c>
      <c r="C272" s="3035" t="s">
        <v>4058</v>
      </c>
      <c r="D272" s="3039">
        <v>67.230900000000005</v>
      </c>
      <c r="E272" s="3035" t="s">
        <v>1377</v>
      </c>
    </row>
    <row r="273" spans="1:5">
      <c r="A273" s="3035">
        <v>272</v>
      </c>
      <c r="B273" s="3035" t="s">
        <v>3230</v>
      </c>
      <c r="C273" s="3035" t="s">
        <v>4059</v>
      </c>
      <c r="D273" s="3039">
        <v>67.992599999999996</v>
      </c>
      <c r="E273" s="3035" t="s">
        <v>1377</v>
      </c>
    </row>
    <row r="274" spans="1:5">
      <c r="A274" s="3035">
        <v>273</v>
      </c>
      <c r="B274" s="3035" t="s">
        <v>3230</v>
      </c>
      <c r="C274" s="3035" t="s">
        <v>4060</v>
      </c>
      <c r="D274" s="3039">
        <v>67.992599999999996</v>
      </c>
      <c r="E274" s="3035" t="s">
        <v>1377</v>
      </c>
    </row>
    <row r="275" spans="1:5">
      <c r="A275" s="3035">
        <v>274</v>
      </c>
      <c r="B275" s="3035" t="s">
        <v>3230</v>
      </c>
      <c r="C275" s="3035" t="s">
        <v>4061</v>
      </c>
      <c r="D275" s="3039">
        <v>67.992599999999996</v>
      </c>
      <c r="E275" s="3035" t="s">
        <v>1377</v>
      </c>
    </row>
    <row r="276" spans="1:5">
      <c r="A276" s="3035">
        <v>275</v>
      </c>
      <c r="B276" s="3035" t="s">
        <v>3230</v>
      </c>
      <c r="C276" s="3035" t="s">
        <v>4062</v>
      </c>
      <c r="D276" s="3039">
        <v>67.992599999999996</v>
      </c>
      <c r="E276" s="3035" t="s">
        <v>1377</v>
      </c>
    </row>
    <row r="277" spans="1:5">
      <c r="A277" s="3035">
        <v>276</v>
      </c>
      <c r="B277" s="3035" t="s">
        <v>3230</v>
      </c>
      <c r="C277" s="3035" t="s">
        <v>4063</v>
      </c>
      <c r="D277" s="3039">
        <v>61.697000000000003</v>
      </c>
      <c r="E277" s="3035" t="s">
        <v>1377</v>
      </c>
    </row>
    <row r="278" spans="1:5">
      <c r="A278" s="3035">
        <v>277</v>
      </c>
      <c r="B278" s="3035" t="s">
        <v>3230</v>
      </c>
      <c r="C278" s="3035" t="s">
        <v>4064</v>
      </c>
      <c r="D278" s="3039">
        <v>61.697000000000003</v>
      </c>
      <c r="E278" s="3035" t="s">
        <v>1377</v>
      </c>
    </row>
    <row r="279" spans="1:5">
      <c r="A279" s="3035">
        <v>278</v>
      </c>
      <c r="B279" s="3035" t="s">
        <v>3230</v>
      </c>
      <c r="C279" s="3035" t="s">
        <v>4065</v>
      </c>
      <c r="D279" s="3039">
        <v>61.697000000000003</v>
      </c>
      <c r="E279" s="3035" t="s">
        <v>1377</v>
      </c>
    </row>
    <row r="280" spans="1:5">
      <c r="A280" s="3035">
        <v>279</v>
      </c>
      <c r="B280" s="3035" t="s">
        <v>3230</v>
      </c>
      <c r="C280" s="3035" t="s">
        <v>4066</v>
      </c>
      <c r="D280" s="3039">
        <v>61.697000000000003</v>
      </c>
      <c r="E280" s="3035" t="s">
        <v>1377</v>
      </c>
    </row>
    <row r="281" spans="1:5">
      <c r="A281" s="3035">
        <v>280</v>
      </c>
      <c r="B281" s="3035" t="s">
        <v>3230</v>
      </c>
      <c r="C281" s="3035" t="s">
        <v>4067</v>
      </c>
      <c r="D281" s="3039">
        <v>61.697000000000003</v>
      </c>
      <c r="E281" s="3035" t="s">
        <v>1377</v>
      </c>
    </row>
    <row r="282" spans="1:5">
      <c r="A282" s="3035">
        <v>281</v>
      </c>
      <c r="B282" s="3035" t="s">
        <v>3230</v>
      </c>
      <c r="C282" s="3035" t="s">
        <v>4068</v>
      </c>
      <c r="D282" s="3039">
        <v>61.697000000000003</v>
      </c>
      <c r="E282" s="3035" t="s">
        <v>1377</v>
      </c>
    </row>
    <row r="283" spans="1:5">
      <c r="A283" s="3035">
        <v>282</v>
      </c>
      <c r="B283" s="3035" t="s">
        <v>3230</v>
      </c>
      <c r="C283" s="3035" t="s">
        <v>4069</v>
      </c>
      <c r="D283" s="3039">
        <v>61.697000000000003</v>
      </c>
      <c r="E283" s="3035" t="s">
        <v>1377</v>
      </c>
    </row>
    <row r="284" spans="1:5">
      <c r="A284" s="3035">
        <v>283</v>
      </c>
      <c r="B284" s="3035" t="s">
        <v>3230</v>
      </c>
      <c r="C284" s="3035" t="s">
        <v>4070</v>
      </c>
      <c r="D284" s="3039">
        <v>61.697000000000003</v>
      </c>
      <c r="E284" s="3035" t="s">
        <v>1377</v>
      </c>
    </row>
    <row r="285" spans="1:5">
      <c r="A285" s="3035">
        <v>284</v>
      </c>
      <c r="B285" s="3035" t="s">
        <v>3230</v>
      </c>
      <c r="C285" s="3035" t="s">
        <v>4071</v>
      </c>
      <c r="D285" s="3039">
        <v>61.697000000000003</v>
      </c>
      <c r="E285" s="3035" t="s">
        <v>1377</v>
      </c>
    </row>
    <row r="286" spans="1:5">
      <c r="A286" s="3035">
        <v>285</v>
      </c>
      <c r="B286" s="3035" t="s">
        <v>3230</v>
      </c>
      <c r="C286" s="3035" t="s">
        <v>4072</v>
      </c>
      <c r="D286" s="3039">
        <v>61.697000000000003</v>
      </c>
      <c r="E286" s="3035" t="s">
        <v>1377</v>
      </c>
    </row>
    <row r="287" spans="1:5">
      <c r="A287" s="3035">
        <v>286</v>
      </c>
      <c r="B287" s="3035" t="s">
        <v>3230</v>
      </c>
      <c r="C287" s="3035" t="s">
        <v>4073</v>
      </c>
      <c r="D287" s="3039">
        <v>61.697000000000003</v>
      </c>
      <c r="E287" s="3035" t="s">
        <v>1377</v>
      </c>
    </row>
    <row r="288" spans="1:5">
      <c r="A288" s="3035">
        <v>287</v>
      </c>
      <c r="B288" s="3035" t="s">
        <v>3230</v>
      </c>
      <c r="C288" s="3035" t="s">
        <v>4074</v>
      </c>
      <c r="D288" s="3039">
        <v>61.697000000000003</v>
      </c>
      <c r="E288" s="3035" t="s">
        <v>1377</v>
      </c>
    </row>
    <row r="289" spans="1:5">
      <c r="A289" s="3035">
        <v>288</v>
      </c>
      <c r="B289" s="3035" t="s">
        <v>3230</v>
      </c>
      <c r="C289" s="3035" t="s">
        <v>4075</v>
      </c>
      <c r="D289" s="3039">
        <v>61.697000000000003</v>
      </c>
      <c r="E289" s="3035" t="s">
        <v>1377</v>
      </c>
    </row>
    <row r="290" spans="1:5">
      <c r="A290" s="3035">
        <v>289</v>
      </c>
      <c r="B290" s="3035" t="s">
        <v>3230</v>
      </c>
      <c r="C290" s="3035" t="s">
        <v>4076</v>
      </c>
      <c r="D290" s="3039">
        <v>61.697000000000003</v>
      </c>
      <c r="E290" s="3035" t="s">
        <v>1377</v>
      </c>
    </row>
    <row r="291" spans="1:5">
      <c r="A291" s="3035">
        <v>290</v>
      </c>
      <c r="B291" s="3035" t="s">
        <v>3230</v>
      </c>
      <c r="C291" s="3035" t="s">
        <v>4077</v>
      </c>
      <c r="D291" s="3039">
        <v>61.697000000000003</v>
      </c>
      <c r="E291" s="3035" t="s">
        <v>1377</v>
      </c>
    </row>
    <row r="292" spans="1:5">
      <c r="A292" s="3035">
        <v>291</v>
      </c>
      <c r="B292" s="3035" t="s">
        <v>3230</v>
      </c>
      <c r="C292" s="3035" t="s">
        <v>4078</v>
      </c>
      <c r="D292" s="3039">
        <v>61.697000000000003</v>
      </c>
      <c r="E292" s="3035" t="s">
        <v>1377</v>
      </c>
    </row>
    <row r="293" spans="1:5">
      <c r="A293" s="3035">
        <v>292</v>
      </c>
      <c r="B293" s="3035" t="s">
        <v>3230</v>
      </c>
      <c r="C293" s="3035" t="s">
        <v>4079</v>
      </c>
      <c r="D293" s="3039">
        <v>86.832800000000006</v>
      </c>
      <c r="E293" s="3035" t="s">
        <v>1377</v>
      </c>
    </row>
    <row r="294" spans="1:5">
      <c r="A294" s="3035">
        <v>293</v>
      </c>
      <c r="B294" s="3035" t="s">
        <v>3230</v>
      </c>
      <c r="C294" s="3035" t="s">
        <v>4080</v>
      </c>
      <c r="D294" s="3039">
        <v>70.028999999999996</v>
      </c>
      <c r="E294" s="3035" t="s">
        <v>1377</v>
      </c>
    </row>
    <row r="295" spans="1:5">
      <c r="A295" s="3035">
        <v>294</v>
      </c>
      <c r="B295" s="3035" t="s">
        <v>3230</v>
      </c>
      <c r="C295" s="3035" t="s">
        <v>4081</v>
      </c>
      <c r="D295" s="3039">
        <v>74.148300000000006</v>
      </c>
      <c r="E295" s="3035" t="s">
        <v>1377</v>
      </c>
    </row>
    <row r="296" spans="1:5">
      <c r="A296" s="3035">
        <v>295</v>
      </c>
      <c r="B296" s="3035" t="s">
        <v>3230</v>
      </c>
      <c r="C296" s="3035" t="s">
        <v>4082</v>
      </c>
      <c r="D296" s="3039">
        <v>175.0472</v>
      </c>
      <c r="E296" s="3035" t="s">
        <v>1377</v>
      </c>
    </row>
    <row r="297" spans="1:5">
      <c r="A297" s="3035">
        <v>296</v>
      </c>
      <c r="B297" s="3035" t="s">
        <v>3230</v>
      </c>
      <c r="C297" s="3035" t="s">
        <v>4083</v>
      </c>
      <c r="D297" s="3039">
        <v>58.549199999999999</v>
      </c>
      <c r="E297" s="3035" t="s">
        <v>1377</v>
      </c>
    </row>
    <row r="298" spans="1:5">
      <c r="A298" s="3035">
        <v>297</v>
      </c>
      <c r="B298" s="3035" t="s">
        <v>3230</v>
      </c>
      <c r="C298" s="3035" t="s">
        <v>4084</v>
      </c>
      <c r="D298" s="3039">
        <v>58.549199999999999</v>
      </c>
      <c r="E298" s="3035" t="s">
        <v>1377</v>
      </c>
    </row>
    <row r="299" spans="1:5">
      <c r="A299" s="3035">
        <v>298</v>
      </c>
      <c r="B299" s="3035" t="s">
        <v>3230</v>
      </c>
      <c r="C299" s="3035" t="s">
        <v>4085</v>
      </c>
      <c r="D299" s="3039">
        <v>58.549199999999999</v>
      </c>
      <c r="E299" s="3035" t="s">
        <v>1377</v>
      </c>
    </row>
    <row r="300" spans="1:5">
      <c r="A300" s="3035">
        <v>299</v>
      </c>
      <c r="B300" s="3035" t="s">
        <v>3230</v>
      </c>
      <c r="C300" s="3035" t="s">
        <v>4086</v>
      </c>
      <c r="D300" s="3039">
        <v>58.549199999999999</v>
      </c>
      <c r="E300" s="3035" t="s">
        <v>1377</v>
      </c>
    </row>
    <row r="301" spans="1:5">
      <c r="A301" s="3035">
        <v>300</v>
      </c>
      <c r="B301" s="3035" t="s">
        <v>3230</v>
      </c>
      <c r="C301" s="3035" t="s">
        <v>4087</v>
      </c>
      <c r="D301" s="3039">
        <v>67.691800000000001</v>
      </c>
      <c r="E301" s="3035" t="s">
        <v>1377</v>
      </c>
    </row>
    <row r="302" spans="1:5">
      <c r="A302" s="3035">
        <v>301</v>
      </c>
      <c r="B302" s="3035" t="s">
        <v>3230</v>
      </c>
      <c r="C302" s="3035" t="s">
        <v>4088</v>
      </c>
      <c r="D302" s="3039">
        <v>67.691800000000001</v>
      </c>
      <c r="E302" s="3035" t="s">
        <v>1377</v>
      </c>
    </row>
    <row r="303" spans="1:5">
      <c r="A303" s="3035">
        <v>302</v>
      </c>
      <c r="B303" s="3035" t="s">
        <v>3230</v>
      </c>
      <c r="C303" s="3035" t="s">
        <v>4089</v>
      </c>
      <c r="D303" s="3039">
        <v>67.992599999999996</v>
      </c>
      <c r="E303" s="3035" t="s">
        <v>1377</v>
      </c>
    </row>
    <row r="304" spans="1:5">
      <c r="A304" s="3035">
        <v>303</v>
      </c>
      <c r="B304" s="3035" t="s">
        <v>3230</v>
      </c>
      <c r="C304" s="3035" t="s">
        <v>4090</v>
      </c>
      <c r="D304" s="3039">
        <v>67.691800000000001</v>
      </c>
      <c r="E304" s="3035" t="s">
        <v>1377</v>
      </c>
    </row>
    <row r="305" spans="1:5">
      <c r="A305" s="3035">
        <v>304</v>
      </c>
      <c r="B305" s="3035" t="s">
        <v>3230</v>
      </c>
      <c r="C305" s="3035" t="s">
        <v>4091</v>
      </c>
      <c r="D305" s="3039">
        <v>67.303200000000004</v>
      </c>
      <c r="E305" s="3035" t="s">
        <v>1377</v>
      </c>
    </row>
    <row r="306" spans="1:5">
      <c r="A306" s="3035">
        <v>305</v>
      </c>
      <c r="B306" s="3035" t="s">
        <v>3230</v>
      </c>
      <c r="C306" s="3035" t="s">
        <v>4092</v>
      </c>
      <c r="D306" s="3039">
        <v>67.230900000000005</v>
      </c>
      <c r="E306" s="3035" t="s">
        <v>1377</v>
      </c>
    </row>
    <row r="307" spans="1:5">
      <c r="A307" s="3035">
        <v>306</v>
      </c>
      <c r="B307" s="3035" t="s">
        <v>3230</v>
      </c>
      <c r="C307" s="3035" t="s">
        <v>4093</v>
      </c>
      <c r="D307" s="3039">
        <v>67.992599999999996</v>
      </c>
      <c r="E307" s="3035" t="s">
        <v>1377</v>
      </c>
    </row>
    <row r="308" spans="1:5">
      <c r="A308" s="3035">
        <v>307</v>
      </c>
      <c r="B308" s="3035" t="s">
        <v>3230</v>
      </c>
      <c r="C308" s="3035" t="s">
        <v>4094</v>
      </c>
      <c r="D308" s="3039">
        <v>67.992599999999996</v>
      </c>
      <c r="E308" s="3035" t="s">
        <v>1377</v>
      </c>
    </row>
    <row r="309" spans="1:5">
      <c r="A309" s="3035">
        <v>308</v>
      </c>
      <c r="B309" s="3035" t="s">
        <v>3230</v>
      </c>
      <c r="C309" s="3035" t="s">
        <v>4095</v>
      </c>
      <c r="D309" s="3039">
        <v>67.992599999999996</v>
      </c>
      <c r="E309" s="3035" t="s">
        <v>1377</v>
      </c>
    </row>
    <row r="310" spans="1:5">
      <c r="A310" s="3035">
        <v>309</v>
      </c>
      <c r="B310" s="3035" t="s">
        <v>3230</v>
      </c>
      <c r="C310" s="3035" t="s">
        <v>4096</v>
      </c>
      <c r="D310" s="3039">
        <v>67.992599999999996</v>
      </c>
      <c r="E310" s="3035" t="s">
        <v>1377</v>
      </c>
    </row>
    <row r="311" spans="1:5">
      <c r="A311" s="3035">
        <v>310</v>
      </c>
      <c r="B311" s="3035" t="s">
        <v>3230</v>
      </c>
      <c r="C311" s="3035" t="s">
        <v>4097</v>
      </c>
      <c r="D311" s="3039">
        <v>61.697000000000003</v>
      </c>
      <c r="E311" s="3035" t="s">
        <v>1377</v>
      </c>
    </row>
    <row r="312" spans="1:5">
      <c r="A312" s="3035">
        <v>311</v>
      </c>
      <c r="B312" s="3035" t="s">
        <v>3230</v>
      </c>
      <c r="C312" s="3035" t="s">
        <v>4098</v>
      </c>
      <c r="D312" s="3039">
        <v>61.697000000000003</v>
      </c>
      <c r="E312" s="3035" t="s">
        <v>1377</v>
      </c>
    </row>
    <row r="313" spans="1:5">
      <c r="A313" s="3035">
        <v>312</v>
      </c>
      <c r="B313" s="3035" t="s">
        <v>3230</v>
      </c>
      <c r="C313" s="3035" t="s">
        <v>4099</v>
      </c>
      <c r="D313" s="3039">
        <v>61.697000000000003</v>
      </c>
      <c r="E313" s="3035" t="s">
        <v>1377</v>
      </c>
    </row>
    <row r="314" spans="1:5">
      <c r="A314" s="3035">
        <v>313</v>
      </c>
      <c r="B314" s="3035" t="s">
        <v>3230</v>
      </c>
      <c r="C314" s="3035" t="s">
        <v>4100</v>
      </c>
      <c r="D314" s="3039">
        <v>61.697000000000003</v>
      </c>
      <c r="E314" s="3035" t="s">
        <v>1377</v>
      </c>
    </row>
    <row r="315" spans="1:5">
      <c r="A315" s="3035">
        <v>314</v>
      </c>
      <c r="B315" s="3035" t="s">
        <v>3230</v>
      </c>
      <c r="C315" s="3035" t="s">
        <v>4101</v>
      </c>
      <c r="D315" s="3039">
        <v>61.697000000000003</v>
      </c>
      <c r="E315" s="3035" t="s">
        <v>1377</v>
      </c>
    </row>
    <row r="316" spans="1:5">
      <c r="A316" s="3035">
        <v>315</v>
      </c>
      <c r="B316" s="3035" t="s">
        <v>3230</v>
      </c>
      <c r="C316" s="3035" t="s">
        <v>4102</v>
      </c>
      <c r="D316" s="3039">
        <v>61.697000000000003</v>
      </c>
      <c r="E316" s="3035" t="s">
        <v>1377</v>
      </c>
    </row>
    <row r="317" spans="1:5">
      <c r="A317" s="3035">
        <v>316</v>
      </c>
      <c r="B317" s="3035" t="s">
        <v>3230</v>
      </c>
      <c r="C317" s="3035" t="s">
        <v>4103</v>
      </c>
      <c r="D317" s="3039">
        <v>61.697000000000003</v>
      </c>
      <c r="E317" s="3035" t="s">
        <v>1377</v>
      </c>
    </row>
    <row r="318" spans="1:5">
      <c r="A318" s="3035">
        <v>317</v>
      </c>
      <c r="B318" s="3035" t="s">
        <v>3230</v>
      </c>
      <c r="C318" s="3035" t="s">
        <v>4104</v>
      </c>
      <c r="D318" s="3039">
        <v>61.697000000000003</v>
      </c>
      <c r="E318" s="3035" t="s">
        <v>1377</v>
      </c>
    </row>
    <row r="319" spans="1:5">
      <c r="A319" s="3035">
        <v>318</v>
      </c>
      <c r="B319" s="3035" t="s">
        <v>3230</v>
      </c>
      <c r="C319" s="3035" t="s">
        <v>4105</v>
      </c>
      <c r="D319" s="3039">
        <v>61.697000000000003</v>
      </c>
      <c r="E319" s="3035" t="s">
        <v>1377</v>
      </c>
    </row>
    <row r="320" spans="1:5">
      <c r="A320" s="3035">
        <v>319</v>
      </c>
      <c r="B320" s="3035" t="s">
        <v>3230</v>
      </c>
      <c r="C320" s="3035" t="s">
        <v>4106</v>
      </c>
      <c r="D320" s="3039">
        <v>61.697000000000003</v>
      </c>
      <c r="E320" s="3035" t="s">
        <v>1377</v>
      </c>
    </row>
    <row r="321" spans="1:5">
      <c r="A321" s="3035">
        <v>320</v>
      </c>
      <c r="B321" s="3035" t="s">
        <v>3230</v>
      </c>
      <c r="C321" s="3035" t="s">
        <v>4107</v>
      </c>
      <c r="D321" s="3039">
        <v>61.697000000000003</v>
      </c>
      <c r="E321" s="3035" t="s">
        <v>1377</v>
      </c>
    </row>
    <row r="322" spans="1:5">
      <c r="A322" s="3035">
        <v>321</v>
      </c>
      <c r="B322" s="3035" t="s">
        <v>3230</v>
      </c>
      <c r="C322" s="3035" t="s">
        <v>4108</v>
      </c>
      <c r="D322" s="3039">
        <v>61.697000000000003</v>
      </c>
      <c r="E322" s="3035" t="s">
        <v>1377</v>
      </c>
    </row>
    <row r="323" spans="1:5">
      <c r="A323" s="3035">
        <v>322</v>
      </c>
      <c r="B323" s="3035" t="s">
        <v>3230</v>
      </c>
      <c r="C323" s="3035" t="s">
        <v>4109</v>
      </c>
      <c r="D323" s="3039">
        <v>61.697000000000003</v>
      </c>
      <c r="E323" s="3035" t="s">
        <v>1377</v>
      </c>
    </row>
    <row r="324" spans="1:5">
      <c r="A324" s="3035">
        <v>323</v>
      </c>
      <c r="B324" s="3035" t="s">
        <v>3230</v>
      </c>
      <c r="C324" s="3035" t="s">
        <v>4110</v>
      </c>
      <c r="D324" s="3039">
        <v>61.697000000000003</v>
      </c>
      <c r="E324" s="3035" t="s">
        <v>1377</v>
      </c>
    </row>
    <row r="325" spans="1:5">
      <c r="A325" s="3035">
        <v>324</v>
      </c>
      <c r="B325" s="3035" t="s">
        <v>3230</v>
      </c>
      <c r="C325" s="3035" t="s">
        <v>4111</v>
      </c>
      <c r="D325" s="3039">
        <v>61.697000000000003</v>
      </c>
      <c r="E325" s="3035" t="s">
        <v>1377</v>
      </c>
    </row>
    <row r="326" spans="1:5">
      <c r="A326" s="3035">
        <v>325</v>
      </c>
      <c r="B326" s="3035" t="s">
        <v>3230</v>
      </c>
      <c r="C326" s="3035" t="s">
        <v>4112</v>
      </c>
      <c r="D326" s="3039">
        <v>61.697000000000003</v>
      </c>
      <c r="E326" s="3035" t="s">
        <v>1377</v>
      </c>
    </row>
    <row r="327" spans="1:5">
      <c r="A327" s="3035">
        <v>326</v>
      </c>
      <c r="B327" s="3035" t="s">
        <v>3230</v>
      </c>
      <c r="C327" s="3035" t="s">
        <v>4113</v>
      </c>
      <c r="D327" s="3039">
        <v>86.832800000000006</v>
      </c>
      <c r="E327" s="3035" t="s">
        <v>1377</v>
      </c>
    </row>
    <row r="328" spans="1:5">
      <c r="A328" s="3035">
        <v>327</v>
      </c>
      <c r="B328" s="3035" t="s">
        <v>3230</v>
      </c>
      <c r="C328" s="3035" t="s">
        <v>4114</v>
      </c>
      <c r="D328" s="3039">
        <v>70.028999999999996</v>
      </c>
      <c r="E328" s="3035" t="s">
        <v>1377</v>
      </c>
    </row>
    <row r="329" spans="1:5">
      <c r="A329" s="3035">
        <v>328</v>
      </c>
      <c r="B329" s="3035" t="s">
        <v>3230</v>
      </c>
      <c r="C329" s="3035" t="s">
        <v>4115</v>
      </c>
      <c r="D329" s="3039">
        <v>74.148300000000006</v>
      </c>
      <c r="E329" s="3035" t="s">
        <v>1377</v>
      </c>
    </row>
    <row r="330" spans="1:5">
      <c r="A330" s="3035">
        <v>329</v>
      </c>
      <c r="B330" s="3035" t="s">
        <v>3230</v>
      </c>
      <c r="C330" s="3035" t="s">
        <v>4116</v>
      </c>
      <c r="D330" s="3039">
        <v>175.0472</v>
      </c>
      <c r="E330" s="3035" t="s">
        <v>1377</v>
      </c>
    </row>
    <row r="331" spans="1:5">
      <c r="A331" s="3035">
        <v>330</v>
      </c>
      <c r="B331" s="3035" t="s">
        <v>3230</v>
      </c>
      <c r="C331" s="3035" t="s">
        <v>4117</v>
      </c>
      <c r="D331" s="3039">
        <v>58.549199999999999</v>
      </c>
      <c r="E331" s="3035" t="s">
        <v>1377</v>
      </c>
    </row>
    <row r="332" spans="1:5">
      <c r="A332" s="3035">
        <v>331</v>
      </c>
      <c r="B332" s="3035" t="s">
        <v>3230</v>
      </c>
      <c r="C332" s="3035" t="s">
        <v>4118</v>
      </c>
      <c r="D332" s="3039">
        <v>58.549199999999999</v>
      </c>
      <c r="E332" s="3035" t="s">
        <v>1377</v>
      </c>
    </row>
    <row r="333" spans="1:5">
      <c r="A333" s="3035">
        <v>332</v>
      </c>
      <c r="B333" s="3035" t="s">
        <v>3230</v>
      </c>
      <c r="C333" s="3035" t="s">
        <v>4119</v>
      </c>
      <c r="D333" s="3039">
        <v>58.549199999999999</v>
      </c>
      <c r="E333" s="3035" t="s">
        <v>1377</v>
      </c>
    </row>
    <row r="334" spans="1:5">
      <c r="A334" s="3035">
        <v>333</v>
      </c>
      <c r="B334" s="3035" t="s">
        <v>3230</v>
      </c>
      <c r="C334" s="3035" t="s">
        <v>4120</v>
      </c>
      <c r="D334" s="3039">
        <v>58.549199999999999</v>
      </c>
      <c r="E334" s="3035" t="s">
        <v>1377</v>
      </c>
    </row>
    <row r="335" spans="1:5">
      <c r="A335" s="3035">
        <v>334</v>
      </c>
      <c r="B335" s="3035" t="s">
        <v>3230</v>
      </c>
      <c r="C335" s="3035" t="s">
        <v>4121</v>
      </c>
      <c r="D335" s="3039">
        <v>67.691800000000001</v>
      </c>
      <c r="E335" s="3035" t="s">
        <v>1377</v>
      </c>
    </row>
    <row r="336" spans="1:5">
      <c r="A336" s="3035">
        <v>335</v>
      </c>
      <c r="B336" s="3035" t="s">
        <v>3230</v>
      </c>
      <c r="C336" s="3035" t="s">
        <v>4122</v>
      </c>
      <c r="D336" s="3039">
        <v>67.691800000000001</v>
      </c>
      <c r="E336" s="3035" t="s">
        <v>1377</v>
      </c>
    </row>
    <row r="337" spans="1:5">
      <c r="A337" s="3035">
        <v>336</v>
      </c>
      <c r="B337" s="3035" t="s">
        <v>3230</v>
      </c>
      <c r="C337" s="3035" t="s">
        <v>4123</v>
      </c>
      <c r="D337" s="3039">
        <v>67.992599999999996</v>
      </c>
      <c r="E337" s="3035" t="s">
        <v>1377</v>
      </c>
    </row>
    <row r="338" spans="1:5">
      <c r="A338" s="3035">
        <v>337</v>
      </c>
      <c r="B338" s="3035" t="s">
        <v>3230</v>
      </c>
      <c r="C338" s="3035" t="s">
        <v>4124</v>
      </c>
      <c r="D338" s="3039">
        <v>67.691800000000001</v>
      </c>
      <c r="E338" s="3035" t="s">
        <v>1377</v>
      </c>
    </row>
    <row r="339" spans="1:5">
      <c r="A339" s="3035">
        <v>338</v>
      </c>
      <c r="B339" s="3035" t="s">
        <v>3230</v>
      </c>
      <c r="C339" s="3035" t="s">
        <v>4125</v>
      </c>
      <c r="D339" s="3039">
        <v>67.303200000000004</v>
      </c>
      <c r="E339" s="3035" t="s">
        <v>1377</v>
      </c>
    </row>
    <row r="340" spans="1:5">
      <c r="A340" s="3035">
        <v>339</v>
      </c>
      <c r="B340" s="3035" t="s">
        <v>3230</v>
      </c>
      <c r="C340" s="3035" t="s">
        <v>4126</v>
      </c>
      <c r="D340" s="3039">
        <v>67.230900000000005</v>
      </c>
      <c r="E340" s="3035" t="s">
        <v>1377</v>
      </c>
    </row>
    <row r="341" spans="1:5">
      <c r="A341" s="3035">
        <v>340</v>
      </c>
      <c r="B341" s="3035" t="s">
        <v>3230</v>
      </c>
      <c r="C341" s="3035" t="s">
        <v>4127</v>
      </c>
      <c r="D341" s="3039">
        <v>67.992599999999996</v>
      </c>
      <c r="E341" s="3035" t="s">
        <v>1377</v>
      </c>
    </row>
    <row r="342" spans="1:5">
      <c r="A342" s="3035">
        <v>341</v>
      </c>
      <c r="B342" s="3035" t="s">
        <v>3230</v>
      </c>
      <c r="C342" s="3035" t="s">
        <v>4128</v>
      </c>
      <c r="D342" s="3039">
        <v>67.992599999999996</v>
      </c>
      <c r="E342" s="3035" t="s">
        <v>1377</v>
      </c>
    </row>
    <row r="343" spans="1:5">
      <c r="A343" s="3035">
        <v>342</v>
      </c>
      <c r="B343" s="3035" t="s">
        <v>3230</v>
      </c>
      <c r="C343" s="3035" t="s">
        <v>4129</v>
      </c>
      <c r="D343" s="3039">
        <v>67.992599999999996</v>
      </c>
      <c r="E343" s="3035" t="s">
        <v>1377</v>
      </c>
    </row>
    <row r="344" spans="1:5">
      <c r="A344" s="3035">
        <v>343</v>
      </c>
      <c r="B344" s="3035" t="s">
        <v>3230</v>
      </c>
      <c r="C344" s="3035" t="s">
        <v>4130</v>
      </c>
      <c r="D344" s="3039">
        <v>67.992599999999996</v>
      </c>
      <c r="E344" s="3035" t="s">
        <v>1377</v>
      </c>
    </row>
    <row r="345" spans="1:5">
      <c r="A345" s="3035">
        <v>344</v>
      </c>
      <c r="B345" s="3035" t="s">
        <v>3230</v>
      </c>
      <c r="C345" s="3035" t="s">
        <v>4131</v>
      </c>
      <c r="D345" s="3039">
        <v>61.697000000000003</v>
      </c>
      <c r="E345" s="3035" t="s">
        <v>1377</v>
      </c>
    </row>
    <row r="346" spans="1:5">
      <c r="A346" s="3035">
        <v>345</v>
      </c>
      <c r="B346" s="3035" t="s">
        <v>3230</v>
      </c>
      <c r="C346" s="3035" t="s">
        <v>4132</v>
      </c>
      <c r="D346" s="3039">
        <v>61.697000000000003</v>
      </c>
      <c r="E346" s="3035" t="s">
        <v>1377</v>
      </c>
    </row>
    <row r="347" spans="1:5">
      <c r="A347" s="3035">
        <v>346</v>
      </c>
      <c r="B347" s="3035" t="s">
        <v>3230</v>
      </c>
      <c r="C347" s="3035" t="s">
        <v>4133</v>
      </c>
      <c r="D347" s="3039">
        <v>61.697000000000003</v>
      </c>
      <c r="E347" s="3035" t="s">
        <v>1377</v>
      </c>
    </row>
    <row r="348" spans="1:5">
      <c r="A348" s="3035">
        <v>347</v>
      </c>
      <c r="B348" s="3035" t="s">
        <v>3230</v>
      </c>
      <c r="C348" s="3035" t="s">
        <v>4134</v>
      </c>
      <c r="D348" s="3039">
        <v>61.697000000000003</v>
      </c>
      <c r="E348" s="3035" t="s">
        <v>1377</v>
      </c>
    </row>
    <row r="349" spans="1:5">
      <c r="A349" s="3035">
        <v>348</v>
      </c>
      <c r="B349" s="3035" t="s">
        <v>3230</v>
      </c>
      <c r="C349" s="3035" t="s">
        <v>4135</v>
      </c>
      <c r="D349" s="3039">
        <v>61.697000000000003</v>
      </c>
      <c r="E349" s="3035" t="s">
        <v>1377</v>
      </c>
    </row>
    <row r="350" spans="1:5">
      <c r="A350" s="3035">
        <v>349</v>
      </c>
      <c r="B350" s="3035" t="s">
        <v>3230</v>
      </c>
      <c r="C350" s="3035" t="s">
        <v>4136</v>
      </c>
      <c r="D350" s="3039">
        <v>61.697000000000003</v>
      </c>
      <c r="E350" s="3035" t="s">
        <v>1377</v>
      </c>
    </row>
    <row r="351" spans="1:5">
      <c r="A351" s="3035">
        <v>350</v>
      </c>
      <c r="B351" s="3035" t="s">
        <v>3230</v>
      </c>
      <c r="C351" s="3035" t="s">
        <v>4137</v>
      </c>
      <c r="D351" s="3039">
        <v>61.697000000000003</v>
      </c>
      <c r="E351" s="3035" t="s">
        <v>1377</v>
      </c>
    </row>
    <row r="352" spans="1:5">
      <c r="A352" s="3035">
        <v>351</v>
      </c>
      <c r="B352" s="3035" t="s">
        <v>3230</v>
      </c>
      <c r="C352" s="3035" t="s">
        <v>4138</v>
      </c>
      <c r="D352" s="3039">
        <v>61.697000000000003</v>
      </c>
      <c r="E352" s="3035" t="s">
        <v>1377</v>
      </c>
    </row>
    <row r="353" spans="1:5">
      <c r="A353" s="3035">
        <v>352</v>
      </c>
      <c r="B353" s="3035" t="s">
        <v>3230</v>
      </c>
      <c r="C353" s="3035" t="s">
        <v>4139</v>
      </c>
      <c r="D353" s="3039">
        <v>61.697000000000003</v>
      </c>
      <c r="E353" s="3035" t="s">
        <v>1377</v>
      </c>
    </row>
    <row r="354" spans="1:5">
      <c r="A354" s="3035">
        <v>353</v>
      </c>
      <c r="B354" s="3035" t="s">
        <v>3230</v>
      </c>
      <c r="C354" s="3035" t="s">
        <v>4140</v>
      </c>
      <c r="D354" s="3039">
        <v>61.697000000000003</v>
      </c>
      <c r="E354" s="3035" t="s">
        <v>1377</v>
      </c>
    </row>
    <row r="355" spans="1:5">
      <c r="A355" s="3035">
        <v>354</v>
      </c>
      <c r="B355" s="3035" t="s">
        <v>3230</v>
      </c>
      <c r="C355" s="3035" t="s">
        <v>4141</v>
      </c>
      <c r="D355" s="3039">
        <v>61.697000000000003</v>
      </c>
      <c r="E355" s="3035" t="s">
        <v>1377</v>
      </c>
    </row>
    <row r="356" spans="1:5">
      <c r="A356" s="3035">
        <v>355</v>
      </c>
      <c r="B356" s="3035" t="s">
        <v>3230</v>
      </c>
      <c r="C356" s="3035" t="s">
        <v>4142</v>
      </c>
      <c r="D356" s="3039">
        <v>61.697000000000003</v>
      </c>
      <c r="E356" s="3035" t="s">
        <v>1377</v>
      </c>
    </row>
    <row r="357" spans="1:5">
      <c r="A357" s="3035">
        <v>356</v>
      </c>
      <c r="B357" s="3035" t="s">
        <v>3230</v>
      </c>
      <c r="C357" s="3035" t="s">
        <v>4143</v>
      </c>
      <c r="D357" s="3039">
        <v>61.697000000000003</v>
      </c>
      <c r="E357" s="3035" t="s">
        <v>1377</v>
      </c>
    </row>
    <row r="358" spans="1:5">
      <c r="A358" s="3035">
        <v>357</v>
      </c>
      <c r="B358" s="3035" t="s">
        <v>3230</v>
      </c>
      <c r="C358" s="3035" t="s">
        <v>4144</v>
      </c>
      <c r="D358" s="3039">
        <v>61.697000000000003</v>
      </c>
      <c r="E358" s="3035" t="s">
        <v>1377</v>
      </c>
    </row>
    <row r="359" spans="1:5">
      <c r="A359" s="3035">
        <v>358</v>
      </c>
      <c r="B359" s="3035" t="s">
        <v>3230</v>
      </c>
      <c r="C359" s="3035" t="s">
        <v>4145</v>
      </c>
      <c r="D359" s="3039">
        <v>61.697000000000003</v>
      </c>
      <c r="E359" s="3035" t="s">
        <v>1377</v>
      </c>
    </row>
    <row r="360" spans="1:5">
      <c r="A360" s="3035">
        <v>359</v>
      </c>
      <c r="B360" s="3035" t="s">
        <v>3230</v>
      </c>
      <c r="C360" s="3035" t="s">
        <v>4146</v>
      </c>
      <c r="D360" s="3039">
        <v>61.697000000000003</v>
      </c>
      <c r="E360" s="3035" t="s">
        <v>1377</v>
      </c>
    </row>
    <row r="361" spans="1:5">
      <c r="A361" s="3035">
        <v>360</v>
      </c>
      <c r="B361" s="3035" t="s">
        <v>3230</v>
      </c>
      <c r="C361" s="3035" t="s">
        <v>4147</v>
      </c>
      <c r="D361" s="3039">
        <v>86.832800000000006</v>
      </c>
      <c r="E361" s="3035" t="s">
        <v>1377</v>
      </c>
    </row>
    <row r="362" spans="1:5">
      <c r="A362" s="3035">
        <v>361</v>
      </c>
      <c r="B362" s="3035" t="s">
        <v>3230</v>
      </c>
      <c r="C362" s="3035" t="s">
        <v>4148</v>
      </c>
      <c r="D362" s="3039">
        <v>70.028999999999996</v>
      </c>
      <c r="E362" s="3035" t="s">
        <v>1377</v>
      </c>
    </row>
    <row r="363" spans="1:5">
      <c r="A363" s="3035">
        <v>362</v>
      </c>
      <c r="B363" s="3035" t="s">
        <v>3230</v>
      </c>
      <c r="C363" s="3035" t="s">
        <v>4149</v>
      </c>
      <c r="D363" s="3039">
        <v>74.148300000000006</v>
      </c>
      <c r="E363" s="3035" t="s">
        <v>1377</v>
      </c>
    </row>
    <row r="364" spans="1:5">
      <c r="A364" s="3035">
        <v>363</v>
      </c>
      <c r="B364" s="3035" t="s">
        <v>3230</v>
      </c>
      <c r="C364" s="3035" t="s">
        <v>4150</v>
      </c>
      <c r="D364" s="3039">
        <v>175.0472</v>
      </c>
      <c r="E364" s="3035" t="s">
        <v>1377</v>
      </c>
    </row>
    <row r="365" spans="1:5">
      <c r="A365" s="3035">
        <v>364</v>
      </c>
      <c r="B365" s="3035" t="s">
        <v>3230</v>
      </c>
      <c r="C365" s="3035" t="s">
        <v>4151</v>
      </c>
      <c r="D365" s="3039">
        <v>58.549199999999999</v>
      </c>
      <c r="E365" s="3035" t="s">
        <v>1377</v>
      </c>
    </row>
    <row r="366" spans="1:5">
      <c r="A366" s="3035">
        <v>365</v>
      </c>
      <c r="B366" s="3035" t="s">
        <v>3230</v>
      </c>
      <c r="C366" s="3035" t="s">
        <v>4152</v>
      </c>
      <c r="D366" s="3039">
        <v>58.549199999999999</v>
      </c>
      <c r="E366" s="3035" t="s">
        <v>1377</v>
      </c>
    </row>
    <row r="367" spans="1:5">
      <c r="A367" s="3035">
        <v>366</v>
      </c>
      <c r="B367" s="3035" t="s">
        <v>3230</v>
      </c>
      <c r="C367" s="3035" t="s">
        <v>4153</v>
      </c>
      <c r="D367" s="3039">
        <v>58.549199999999999</v>
      </c>
      <c r="E367" s="3035" t="s">
        <v>1377</v>
      </c>
    </row>
    <row r="368" spans="1:5">
      <c r="A368" s="3035">
        <v>367</v>
      </c>
      <c r="B368" s="3035" t="s">
        <v>3230</v>
      </c>
      <c r="C368" s="3035" t="s">
        <v>4154</v>
      </c>
      <c r="D368" s="3039">
        <v>58.549199999999999</v>
      </c>
      <c r="E368" s="3035" t="s">
        <v>1377</v>
      </c>
    </row>
    <row r="369" spans="1:5">
      <c r="A369" s="3035">
        <v>368</v>
      </c>
      <c r="B369" s="3035" t="s">
        <v>3230</v>
      </c>
      <c r="C369" s="3035" t="s">
        <v>4155</v>
      </c>
      <c r="D369" s="3039">
        <v>67.691800000000001</v>
      </c>
      <c r="E369" s="3035" t="s">
        <v>1377</v>
      </c>
    </row>
    <row r="370" spans="1:5">
      <c r="A370" s="3035">
        <v>369</v>
      </c>
      <c r="B370" s="3035" t="s">
        <v>3230</v>
      </c>
      <c r="C370" s="3035" t="s">
        <v>4156</v>
      </c>
      <c r="D370" s="3039">
        <v>67.691800000000001</v>
      </c>
      <c r="E370" s="3035" t="s">
        <v>1377</v>
      </c>
    </row>
    <row r="371" spans="1:5">
      <c r="A371" s="3035">
        <v>370</v>
      </c>
      <c r="B371" s="3035" t="s">
        <v>3230</v>
      </c>
      <c r="C371" s="3035" t="s">
        <v>4157</v>
      </c>
      <c r="D371" s="3039">
        <v>67.992599999999996</v>
      </c>
      <c r="E371" s="3035" t="s">
        <v>1377</v>
      </c>
    </row>
    <row r="372" spans="1:5">
      <c r="A372" s="3035">
        <v>371</v>
      </c>
      <c r="B372" s="3035" t="s">
        <v>3230</v>
      </c>
      <c r="C372" s="3035" t="s">
        <v>4158</v>
      </c>
      <c r="D372" s="3039">
        <v>67.691800000000001</v>
      </c>
      <c r="E372" s="3035" t="s">
        <v>1377</v>
      </c>
    </row>
    <row r="373" spans="1:5">
      <c r="A373" s="3035">
        <v>372</v>
      </c>
      <c r="B373" s="3035" t="s">
        <v>3230</v>
      </c>
      <c r="C373" s="3035" t="s">
        <v>4159</v>
      </c>
      <c r="D373" s="3039">
        <v>67.303200000000004</v>
      </c>
      <c r="E373" s="3035" t="s">
        <v>1377</v>
      </c>
    </row>
    <row r="374" spans="1:5">
      <c r="A374" s="3035">
        <v>373</v>
      </c>
      <c r="B374" s="3035" t="s">
        <v>3230</v>
      </c>
      <c r="C374" s="3035" t="s">
        <v>4160</v>
      </c>
      <c r="D374" s="3039">
        <v>67.230900000000005</v>
      </c>
      <c r="E374" s="3035" t="s">
        <v>1377</v>
      </c>
    </row>
    <row r="375" spans="1:5">
      <c r="A375" s="3035">
        <v>374</v>
      </c>
      <c r="B375" s="3035" t="s">
        <v>3230</v>
      </c>
      <c r="C375" s="3035" t="s">
        <v>4161</v>
      </c>
      <c r="D375" s="3039">
        <v>67.992599999999996</v>
      </c>
      <c r="E375" s="3035" t="s">
        <v>1377</v>
      </c>
    </row>
    <row r="376" spans="1:5">
      <c r="A376" s="3035">
        <v>375</v>
      </c>
      <c r="B376" s="3035" t="s">
        <v>3230</v>
      </c>
      <c r="C376" s="3035" t="s">
        <v>4162</v>
      </c>
      <c r="D376" s="3039">
        <v>67.992599999999996</v>
      </c>
      <c r="E376" s="3035" t="s">
        <v>1377</v>
      </c>
    </row>
    <row r="377" spans="1:5">
      <c r="A377" s="3035">
        <v>376</v>
      </c>
      <c r="B377" s="3035" t="s">
        <v>3230</v>
      </c>
      <c r="C377" s="3035" t="s">
        <v>4163</v>
      </c>
      <c r="D377" s="3039">
        <v>67.992599999999996</v>
      </c>
      <c r="E377" s="3035" t="s">
        <v>1377</v>
      </c>
    </row>
    <row r="378" spans="1:5">
      <c r="A378" s="3035">
        <v>377</v>
      </c>
      <c r="B378" s="3035" t="s">
        <v>3230</v>
      </c>
      <c r="C378" s="3035" t="s">
        <v>4164</v>
      </c>
      <c r="D378" s="3039">
        <v>67.992599999999996</v>
      </c>
      <c r="E378" s="3035" t="s">
        <v>1377</v>
      </c>
    </row>
    <row r="379" spans="1:5">
      <c r="A379" s="3035">
        <v>378</v>
      </c>
      <c r="B379" s="3035" t="s">
        <v>3230</v>
      </c>
      <c r="C379" s="3035" t="s">
        <v>4165</v>
      </c>
      <c r="D379" s="3039">
        <v>61.697000000000003</v>
      </c>
      <c r="E379" s="3035" t="s">
        <v>1377</v>
      </c>
    </row>
    <row r="380" spans="1:5">
      <c r="A380" s="3035">
        <v>379</v>
      </c>
      <c r="B380" s="3035" t="s">
        <v>3230</v>
      </c>
      <c r="C380" s="3035" t="s">
        <v>4166</v>
      </c>
      <c r="D380" s="3039">
        <v>61.697000000000003</v>
      </c>
      <c r="E380" s="3035" t="s">
        <v>1377</v>
      </c>
    </row>
    <row r="381" spans="1:5">
      <c r="A381" s="3035">
        <v>380</v>
      </c>
      <c r="B381" s="3035" t="s">
        <v>3230</v>
      </c>
      <c r="C381" s="3035" t="s">
        <v>4167</v>
      </c>
      <c r="D381" s="3039">
        <v>61.697000000000003</v>
      </c>
      <c r="E381" s="3035" t="s">
        <v>1377</v>
      </c>
    </row>
    <row r="382" spans="1:5">
      <c r="A382" s="3035">
        <v>381</v>
      </c>
      <c r="B382" s="3035" t="s">
        <v>3230</v>
      </c>
      <c r="C382" s="3035" t="s">
        <v>4168</v>
      </c>
      <c r="D382" s="3039">
        <v>61.697000000000003</v>
      </c>
      <c r="E382" s="3035" t="s">
        <v>1377</v>
      </c>
    </row>
    <row r="383" spans="1:5">
      <c r="A383" s="3035">
        <v>382</v>
      </c>
      <c r="B383" s="3035" t="s">
        <v>3230</v>
      </c>
      <c r="C383" s="3035" t="s">
        <v>4169</v>
      </c>
      <c r="D383" s="3039">
        <v>61.697000000000003</v>
      </c>
      <c r="E383" s="3035" t="s">
        <v>1377</v>
      </c>
    </row>
    <row r="384" spans="1:5">
      <c r="A384" s="3035">
        <v>383</v>
      </c>
      <c r="B384" s="3035" t="s">
        <v>3230</v>
      </c>
      <c r="C384" s="3035" t="s">
        <v>4170</v>
      </c>
      <c r="D384" s="3039">
        <v>61.697000000000003</v>
      </c>
      <c r="E384" s="3035" t="s">
        <v>1377</v>
      </c>
    </row>
    <row r="385" spans="1:5">
      <c r="A385" s="3035">
        <v>384</v>
      </c>
      <c r="B385" s="3035" t="s">
        <v>3230</v>
      </c>
      <c r="C385" s="3035" t="s">
        <v>4171</v>
      </c>
      <c r="D385" s="3039">
        <v>61.697000000000003</v>
      </c>
      <c r="E385" s="3035" t="s">
        <v>1377</v>
      </c>
    </row>
    <row r="386" spans="1:5">
      <c r="A386" s="3035">
        <v>385</v>
      </c>
      <c r="B386" s="3035" t="s">
        <v>3230</v>
      </c>
      <c r="C386" s="3035" t="s">
        <v>4172</v>
      </c>
      <c r="D386" s="3039">
        <v>61.697000000000003</v>
      </c>
      <c r="E386" s="3035" t="s">
        <v>1377</v>
      </c>
    </row>
    <row r="387" spans="1:5">
      <c r="A387" s="3035">
        <v>386</v>
      </c>
      <c r="B387" s="3035" t="s">
        <v>3230</v>
      </c>
      <c r="C387" s="3035" t="s">
        <v>4173</v>
      </c>
      <c r="D387" s="3039">
        <v>61.697000000000003</v>
      </c>
      <c r="E387" s="3035" t="s">
        <v>1377</v>
      </c>
    </row>
    <row r="388" spans="1:5">
      <c r="A388" s="3035">
        <v>387</v>
      </c>
      <c r="B388" s="3035" t="s">
        <v>3230</v>
      </c>
      <c r="C388" s="3035" t="s">
        <v>4174</v>
      </c>
      <c r="D388" s="3039">
        <v>61.697000000000003</v>
      </c>
      <c r="E388" s="3035" t="s">
        <v>1377</v>
      </c>
    </row>
    <row r="389" spans="1:5">
      <c r="A389" s="3035">
        <v>388</v>
      </c>
      <c r="B389" s="3035" t="s">
        <v>3230</v>
      </c>
      <c r="C389" s="3035" t="s">
        <v>4175</v>
      </c>
      <c r="D389" s="3039">
        <v>61.697000000000003</v>
      </c>
      <c r="E389" s="3035" t="s">
        <v>1377</v>
      </c>
    </row>
    <row r="390" spans="1:5">
      <c r="A390" s="3035">
        <v>389</v>
      </c>
      <c r="B390" s="3035" t="s">
        <v>3230</v>
      </c>
      <c r="C390" s="3035" t="s">
        <v>4176</v>
      </c>
      <c r="D390" s="3039">
        <v>61.697000000000003</v>
      </c>
      <c r="E390" s="3035" t="s">
        <v>1377</v>
      </c>
    </row>
    <row r="391" spans="1:5">
      <c r="A391" s="3035">
        <v>390</v>
      </c>
      <c r="B391" s="3035" t="s">
        <v>3230</v>
      </c>
      <c r="C391" s="3035" t="s">
        <v>4177</v>
      </c>
      <c r="D391" s="3039">
        <v>61.697000000000003</v>
      </c>
      <c r="E391" s="3035" t="s">
        <v>1377</v>
      </c>
    </row>
    <row r="392" spans="1:5">
      <c r="A392" s="3035">
        <v>391</v>
      </c>
      <c r="B392" s="3035" t="s">
        <v>3230</v>
      </c>
      <c r="C392" s="3035" t="s">
        <v>4178</v>
      </c>
      <c r="D392" s="3039">
        <v>61.697000000000003</v>
      </c>
      <c r="E392" s="3035" t="s">
        <v>1377</v>
      </c>
    </row>
    <row r="393" spans="1:5">
      <c r="A393" s="3035">
        <v>392</v>
      </c>
      <c r="B393" s="3035" t="s">
        <v>3230</v>
      </c>
      <c r="C393" s="3035" t="s">
        <v>4179</v>
      </c>
      <c r="D393" s="3039">
        <v>61.697000000000003</v>
      </c>
      <c r="E393" s="3035" t="s">
        <v>1377</v>
      </c>
    </row>
    <row r="394" spans="1:5">
      <c r="A394" s="3035">
        <v>393</v>
      </c>
      <c r="B394" s="3035" t="s">
        <v>3230</v>
      </c>
      <c r="C394" s="3035" t="s">
        <v>4180</v>
      </c>
      <c r="D394" s="3039">
        <v>61.697000000000003</v>
      </c>
      <c r="E394" s="3035" t="s">
        <v>1377</v>
      </c>
    </row>
    <row r="395" spans="1:5">
      <c r="A395" s="3035">
        <v>394</v>
      </c>
      <c r="B395" s="3035" t="s">
        <v>3230</v>
      </c>
      <c r="C395" s="3035" t="s">
        <v>4181</v>
      </c>
      <c r="D395" s="3039">
        <v>86.832800000000006</v>
      </c>
      <c r="E395" s="3035" t="s">
        <v>1377</v>
      </c>
    </row>
    <row r="396" spans="1:5">
      <c r="A396" s="3035">
        <v>395</v>
      </c>
      <c r="B396" s="3035" t="s">
        <v>3230</v>
      </c>
      <c r="C396" s="3035" t="s">
        <v>4182</v>
      </c>
      <c r="D396" s="3039">
        <v>70.028999999999996</v>
      </c>
      <c r="E396" s="3035" t="s">
        <v>1377</v>
      </c>
    </row>
    <row r="397" spans="1:5">
      <c r="A397" s="3035">
        <v>396</v>
      </c>
      <c r="B397" s="3035" t="s">
        <v>3230</v>
      </c>
      <c r="C397" s="3035" t="s">
        <v>4183</v>
      </c>
      <c r="D397" s="3039">
        <v>74.148300000000006</v>
      </c>
      <c r="E397" s="3035" t="s">
        <v>1377</v>
      </c>
    </row>
    <row r="398" spans="1:5">
      <c r="A398" s="3035">
        <v>397</v>
      </c>
      <c r="B398" s="3035" t="s">
        <v>3230</v>
      </c>
      <c r="C398" s="3035" t="s">
        <v>4184</v>
      </c>
      <c r="D398" s="3039">
        <v>175.0472</v>
      </c>
      <c r="E398" s="3035" t="s">
        <v>1377</v>
      </c>
    </row>
    <row r="399" spans="1:5">
      <c r="A399" s="3035">
        <v>398</v>
      </c>
      <c r="B399" s="3035" t="s">
        <v>3230</v>
      </c>
      <c r="C399" s="3035" t="s">
        <v>4185</v>
      </c>
      <c r="D399" s="3039">
        <v>58.549199999999999</v>
      </c>
      <c r="E399" s="3035" t="s">
        <v>1377</v>
      </c>
    </row>
    <row r="400" spans="1:5">
      <c r="A400" s="3035">
        <v>399</v>
      </c>
      <c r="B400" s="3035" t="s">
        <v>3230</v>
      </c>
      <c r="C400" s="3035" t="s">
        <v>4186</v>
      </c>
      <c r="D400" s="3039">
        <v>58.549199999999999</v>
      </c>
      <c r="E400" s="3035" t="s">
        <v>1377</v>
      </c>
    </row>
    <row r="401" spans="1:5">
      <c r="A401" s="3035">
        <v>400</v>
      </c>
      <c r="B401" s="3035" t="s">
        <v>3230</v>
      </c>
      <c r="C401" s="3035" t="s">
        <v>4187</v>
      </c>
      <c r="D401" s="3039">
        <v>58.549199999999999</v>
      </c>
      <c r="E401" s="3035" t="s">
        <v>1377</v>
      </c>
    </row>
    <row r="402" spans="1:5">
      <c r="A402" s="3035">
        <v>401</v>
      </c>
      <c r="B402" s="3035" t="s">
        <v>3230</v>
      </c>
      <c r="C402" s="3035" t="s">
        <v>4188</v>
      </c>
      <c r="D402" s="3039">
        <v>58.549199999999999</v>
      </c>
      <c r="E402" s="3035" t="s">
        <v>1377</v>
      </c>
    </row>
    <row r="403" spans="1:5">
      <c r="A403" s="3035">
        <v>402</v>
      </c>
      <c r="B403" s="3035" t="s">
        <v>3230</v>
      </c>
      <c r="C403" s="3035" t="s">
        <v>4189</v>
      </c>
      <c r="D403" s="3039">
        <v>67.691800000000001</v>
      </c>
      <c r="E403" s="3035" t="s">
        <v>1377</v>
      </c>
    </row>
    <row r="404" spans="1:5">
      <c r="A404" s="3035">
        <v>403</v>
      </c>
      <c r="B404" s="3035" t="s">
        <v>3230</v>
      </c>
      <c r="C404" s="3035" t="s">
        <v>4190</v>
      </c>
      <c r="D404" s="3039">
        <v>67.691800000000001</v>
      </c>
      <c r="E404" s="3035" t="s">
        <v>1377</v>
      </c>
    </row>
    <row r="405" spans="1:5">
      <c r="A405" s="3035">
        <v>404</v>
      </c>
      <c r="B405" s="3035" t="s">
        <v>3230</v>
      </c>
      <c r="C405" s="3035" t="s">
        <v>4191</v>
      </c>
      <c r="D405" s="3039">
        <v>67.992599999999996</v>
      </c>
      <c r="E405" s="3035" t="s">
        <v>1377</v>
      </c>
    </row>
    <row r="406" spans="1:5">
      <c r="A406" s="3035">
        <v>405</v>
      </c>
      <c r="B406" s="3035" t="s">
        <v>3230</v>
      </c>
      <c r="C406" s="3035" t="s">
        <v>4192</v>
      </c>
      <c r="D406" s="3039">
        <v>67.691800000000001</v>
      </c>
      <c r="E406" s="3035" t="s">
        <v>1377</v>
      </c>
    </row>
    <row r="407" spans="1:5">
      <c r="A407" s="3035">
        <v>406</v>
      </c>
      <c r="B407" s="3035" t="s">
        <v>3230</v>
      </c>
      <c r="C407" s="3035" t="s">
        <v>4193</v>
      </c>
      <c r="D407" s="3039">
        <v>67.303200000000004</v>
      </c>
      <c r="E407" s="3035" t="s">
        <v>1377</v>
      </c>
    </row>
    <row r="408" spans="1:5">
      <c r="A408" s="3035">
        <v>407</v>
      </c>
      <c r="B408" s="3035" t="s">
        <v>3230</v>
      </c>
      <c r="C408" s="3035" t="s">
        <v>4194</v>
      </c>
      <c r="D408" s="3039">
        <v>67.230900000000005</v>
      </c>
      <c r="E408" s="3035" t="s">
        <v>1377</v>
      </c>
    </row>
    <row r="409" spans="1:5">
      <c r="A409" s="3035">
        <v>408</v>
      </c>
      <c r="B409" s="3035" t="s">
        <v>3230</v>
      </c>
      <c r="C409" s="3035" t="s">
        <v>4195</v>
      </c>
      <c r="D409" s="3039">
        <v>67.992599999999996</v>
      </c>
      <c r="E409" s="3035" t="s">
        <v>1377</v>
      </c>
    </row>
    <row r="410" spans="1:5">
      <c r="A410" s="3035">
        <v>409</v>
      </c>
      <c r="B410" s="3035" t="s">
        <v>3230</v>
      </c>
      <c r="C410" s="3035" t="s">
        <v>4196</v>
      </c>
      <c r="D410" s="3039">
        <v>67.992599999999996</v>
      </c>
      <c r="E410" s="3035" t="s">
        <v>1377</v>
      </c>
    </row>
    <row r="411" spans="1:5">
      <c r="A411" s="3035">
        <v>410</v>
      </c>
      <c r="B411" s="3035" t="s">
        <v>3230</v>
      </c>
      <c r="C411" s="3035" t="s">
        <v>4197</v>
      </c>
      <c r="D411" s="3039">
        <v>67.992599999999996</v>
      </c>
      <c r="E411" s="3035" t="s">
        <v>1377</v>
      </c>
    </row>
    <row r="412" spans="1:5">
      <c r="A412" s="3035">
        <v>411</v>
      </c>
      <c r="B412" s="3035" t="s">
        <v>3230</v>
      </c>
      <c r="C412" s="3035" t="s">
        <v>4198</v>
      </c>
      <c r="D412" s="3039">
        <v>67.992599999999996</v>
      </c>
      <c r="E412" s="3035" t="s">
        <v>1377</v>
      </c>
    </row>
    <row r="413" spans="1:5">
      <c r="A413" s="3035">
        <v>412</v>
      </c>
      <c r="B413" s="3035" t="s">
        <v>3230</v>
      </c>
      <c r="C413" s="3035" t="s">
        <v>4199</v>
      </c>
      <c r="D413" s="3039">
        <v>61.697000000000003</v>
      </c>
      <c r="E413" s="3035" t="s">
        <v>1377</v>
      </c>
    </row>
    <row r="414" spans="1:5">
      <c r="A414" s="3035">
        <v>413</v>
      </c>
      <c r="B414" s="3035" t="s">
        <v>3230</v>
      </c>
      <c r="C414" s="3035" t="s">
        <v>4200</v>
      </c>
      <c r="D414" s="3039">
        <v>61.697000000000003</v>
      </c>
      <c r="E414" s="3035" t="s">
        <v>1377</v>
      </c>
    </row>
    <row r="415" spans="1:5">
      <c r="A415" s="3035">
        <v>414</v>
      </c>
      <c r="B415" s="3035" t="s">
        <v>3230</v>
      </c>
      <c r="C415" s="3035" t="s">
        <v>4201</v>
      </c>
      <c r="D415" s="3039">
        <v>61.697000000000003</v>
      </c>
      <c r="E415" s="3035" t="s">
        <v>1377</v>
      </c>
    </row>
    <row r="416" spans="1:5">
      <c r="A416" s="3035">
        <v>415</v>
      </c>
      <c r="B416" s="3035" t="s">
        <v>3230</v>
      </c>
      <c r="C416" s="3035" t="s">
        <v>4202</v>
      </c>
      <c r="D416" s="3039">
        <v>61.697000000000003</v>
      </c>
      <c r="E416" s="3035" t="s">
        <v>1377</v>
      </c>
    </row>
    <row r="417" spans="1:5">
      <c r="A417" s="3035">
        <v>416</v>
      </c>
      <c r="B417" s="3035" t="s">
        <v>3230</v>
      </c>
      <c r="C417" s="3035" t="s">
        <v>4203</v>
      </c>
      <c r="D417" s="3039">
        <v>61.697000000000003</v>
      </c>
      <c r="E417" s="3035" t="s">
        <v>1377</v>
      </c>
    </row>
    <row r="418" spans="1:5">
      <c r="A418" s="3035">
        <v>417</v>
      </c>
      <c r="B418" s="3035" t="s">
        <v>3230</v>
      </c>
      <c r="C418" s="3035" t="s">
        <v>4204</v>
      </c>
      <c r="D418" s="3039">
        <v>61.697000000000003</v>
      </c>
      <c r="E418" s="3035" t="s">
        <v>1377</v>
      </c>
    </row>
    <row r="419" spans="1:5">
      <c r="A419" s="3035">
        <v>418</v>
      </c>
      <c r="B419" s="3035" t="s">
        <v>3230</v>
      </c>
      <c r="C419" s="3035" t="s">
        <v>4205</v>
      </c>
      <c r="D419" s="3039">
        <v>61.697000000000003</v>
      </c>
      <c r="E419" s="3035" t="s">
        <v>1377</v>
      </c>
    </row>
    <row r="420" spans="1:5">
      <c r="A420" s="3035">
        <v>419</v>
      </c>
      <c r="B420" s="3035" t="s">
        <v>3230</v>
      </c>
      <c r="C420" s="3035" t="s">
        <v>4206</v>
      </c>
      <c r="D420" s="3039">
        <v>61.697000000000003</v>
      </c>
      <c r="E420" s="3035" t="s">
        <v>1377</v>
      </c>
    </row>
    <row r="421" spans="1:5">
      <c r="A421" s="3035">
        <v>420</v>
      </c>
      <c r="B421" s="3035" t="s">
        <v>3230</v>
      </c>
      <c r="C421" s="3035" t="s">
        <v>4207</v>
      </c>
      <c r="D421" s="3039">
        <v>61.697000000000003</v>
      </c>
      <c r="E421" s="3035" t="s">
        <v>1377</v>
      </c>
    </row>
    <row r="422" spans="1:5">
      <c r="A422" s="3035">
        <v>421</v>
      </c>
      <c r="B422" s="3035" t="s">
        <v>3230</v>
      </c>
      <c r="C422" s="3035" t="s">
        <v>4208</v>
      </c>
      <c r="D422" s="3039">
        <v>61.697000000000003</v>
      </c>
      <c r="E422" s="3035" t="s">
        <v>1377</v>
      </c>
    </row>
    <row r="423" spans="1:5">
      <c r="A423" s="3035">
        <v>422</v>
      </c>
      <c r="B423" s="3035" t="s">
        <v>3230</v>
      </c>
      <c r="C423" s="3035" t="s">
        <v>4209</v>
      </c>
      <c r="D423" s="3039">
        <v>61.697000000000003</v>
      </c>
      <c r="E423" s="3035" t="s">
        <v>1377</v>
      </c>
    </row>
    <row r="424" spans="1:5">
      <c r="A424" s="3035">
        <v>423</v>
      </c>
      <c r="B424" s="3035" t="s">
        <v>3230</v>
      </c>
      <c r="C424" s="3035" t="s">
        <v>4210</v>
      </c>
      <c r="D424" s="3039">
        <v>61.697000000000003</v>
      </c>
      <c r="E424" s="3035" t="s">
        <v>1377</v>
      </c>
    </row>
    <row r="425" spans="1:5">
      <c r="A425" s="3035">
        <v>424</v>
      </c>
      <c r="B425" s="3035" t="s">
        <v>3230</v>
      </c>
      <c r="C425" s="3035" t="s">
        <v>4211</v>
      </c>
      <c r="D425" s="3039">
        <v>61.697000000000003</v>
      </c>
      <c r="E425" s="3035" t="s">
        <v>1377</v>
      </c>
    </row>
    <row r="426" spans="1:5">
      <c r="A426" s="3035">
        <v>425</v>
      </c>
      <c r="B426" s="3035" t="s">
        <v>3230</v>
      </c>
      <c r="C426" s="3035" t="s">
        <v>4212</v>
      </c>
      <c r="D426" s="3039">
        <v>61.697000000000003</v>
      </c>
      <c r="E426" s="3035" t="s">
        <v>1377</v>
      </c>
    </row>
    <row r="427" spans="1:5">
      <c r="A427" s="3035">
        <v>426</v>
      </c>
      <c r="B427" s="3035" t="s">
        <v>3230</v>
      </c>
      <c r="C427" s="3035" t="s">
        <v>4213</v>
      </c>
      <c r="D427" s="3039">
        <v>61.697000000000003</v>
      </c>
      <c r="E427" s="3035" t="s">
        <v>1377</v>
      </c>
    </row>
    <row r="428" spans="1:5">
      <c r="A428" s="3035">
        <v>427</v>
      </c>
      <c r="B428" s="3035" t="s">
        <v>3230</v>
      </c>
      <c r="C428" s="3035" t="s">
        <v>4214</v>
      </c>
      <c r="D428" s="3039">
        <v>61.697000000000003</v>
      </c>
      <c r="E428" s="3035" t="s">
        <v>1377</v>
      </c>
    </row>
    <row r="429" spans="1:5">
      <c r="A429" s="3035">
        <v>428</v>
      </c>
      <c r="B429" s="3035" t="s">
        <v>3230</v>
      </c>
      <c r="C429" s="3035" t="s">
        <v>4215</v>
      </c>
      <c r="D429" s="3039">
        <v>86.832800000000006</v>
      </c>
      <c r="E429" s="3035" t="s">
        <v>1377</v>
      </c>
    </row>
    <row r="430" spans="1:5">
      <c r="A430" s="3035">
        <v>429</v>
      </c>
      <c r="B430" s="3035" t="s">
        <v>3230</v>
      </c>
      <c r="C430" s="3035" t="s">
        <v>4216</v>
      </c>
      <c r="D430" s="3039">
        <v>70.028999999999996</v>
      </c>
      <c r="E430" s="3035" t="s">
        <v>1377</v>
      </c>
    </row>
    <row r="431" spans="1:5">
      <c r="A431" s="3035">
        <v>430</v>
      </c>
      <c r="B431" s="3035" t="s">
        <v>3230</v>
      </c>
      <c r="C431" s="3035" t="s">
        <v>4217</v>
      </c>
      <c r="D431" s="3039">
        <v>74.148300000000006</v>
      </c>
      <c r="E431" s="3035" t="s">
        <v>1377</v>
      </c>
    </row>
    <row r="432" spans="1:5">
      <c r="A432" s="3035">
        <v>431</v>
      </c>
      <c r="B432" s="3035" t="s">
        <v>3230</v>
      </c>
      <c r="C432" s="3035" t="s">
        <v>4218</v>
      </c>
      <c r="D432" s="3039">
        <v>175.0472</v>
      </c>
      <c r="E432" s="3035" t="s">
        <v>1377</v>
      </c>
    </row>
    <row r="433" spans="1:5">
      <c r="A433" s="3035">
        <v>432</v>
      </c>
      <c r="B433" s="3035" t="s">
        <v>3230</v>
      </c>
      <c r="C433" s="3035" t="s">
        <v>4219</v>
      </c>
      <c r="D433" s="3039">
        <v>58.549199999999999</v>
      </c>
      <c r="E433" s="3035" t="s">
        <v>1377</v>
      </c>
    </row>
    <row r="434" spans="1:5">
      <c r="A434" s="3035">
        <v>433</v>
      </c>
      <c r="B434" s="3035" t="s">
        <v>3230</v>
      </c>
      <c r="C434" s="3035" t="s">
        <v>4220</v>
      </c>
      <c r="D434" s="3039">
        <v>58.549199999999999</v>
      </c>
      <c r="E434" s="3035" t="s">
        <v>1377</v>
      </c>
    </row>
    <row r="435" spans="1:5">
      <c r="A435" s="3035">
        <v>434</v>
      </c>
      <c r="B435" s="3035" t="s">
        <v>3230</v>
      </c>
      <c r="C435" s="3035" t="s">
        <v>4221</v>
      </c>
      <c r="D435" s="3039">
        <v>58.549199999999999</v>
      </c>
      <c r="E435" s="3035" t="s">
        <v>1377</v>
      </c>
    </row>
    <row r="436" spans="1:5">
      <c r="A436" s="3035">
        <v>435</v>
      </c>
      <c r="B436" s="3035" t="s">
        <v>3230</v>
      </c>
      <c r="C436" s="3035" t="s">
        <v>4222</v>
      </c>
      <c r="D436" s="3039">
        <v>58.549199999999999</v>
      </c>
      <c r="E436" s="3035" t="s">
        <v>1377</v>
      </c>
    </row>
    <row r="437" spans="1:5">
      <c r="A437" s="3035">
        <v>436</v>
      </c>
      <c r="B437" s="3035" t="s">
        <v>3230</v>
      </c>
      <c r="C437" s="3035" t="s">
        <v>4223</v>
      </c>
      <c r="D437" s="3039">
        <v>67.691800000000001</v>
      </c>
      <c r="E437" s="3035" t="s">
        <v>1377</v>
      </c>
    </row>
    <row r="438" spans="1:5">
      <c r="A438" s="3035">
        <v>437</v>
      </c>
      <c r="B438" s="3035" t="s">
        <v>3230</v>
      </c>
      <c r="C438" s="3035" t="s">
        <v>4224</v>
      </c>
      <c r="D438" s="3039">
        <v>67.691800000000001</v>
      </c>
      <c r="E438" s="3035" t="s">
        <v>1377</v>
      </c>
    </row>
    <row r="439" spans="1:5">
      <c r="A439" s="3035">
        <v>438</v>
      </c>
      <c r="B439" s="3035" t="s">
        <v>3230</v>
      </c>
      <c r="C439" s="3035" t="s">
        <v>4225</v>
      </c>
      <c r="D439" s="3039">
        <v>67.992599999999996</v>
      </c>
      <c r="E439" s="3035" t="s">
        <v>1377</v>
      </c>
    </row>
    <row r="440" spans="1:5">
      <c r="A440" s="3035">
        <v>439</v>
      </c>
      <c r="B440" s="3035" t="s">
        <v>3230</v>
      </c>
      <c r="C440" s="3035" t="s">
        <v>4226</v>
      </c>
      <c r="D440" s="3039">
        <v>67.691800000000001</v>
      </c>
      <c r="E440" s="3035" t="s">
        <v>1377</v>
      </c>
    </row>
    <row r="441" spans="1:5">
      <c r="A441" s="3035">
        <v>440</v>
      </c>
      <c r="B441" s="3035" t="s">
        <v>3230</v>
      </c>
      <c r="C441" s="3035" t="s">
        <v>4227</v>
      </c>
      <c r="D441" s="3039">
        <v>67.303200000000004</v>
      </c>
      <c r="E441" s="3035" t="s">
        <v>1377</v>
      </c>
    </row>
    <row r="442" spans="1:5">
      <c r="A442" s="3035">
        <v>441</v>
      </c>
      <c r="B442" s="3035" t="s">
        <v>3230</v>
      </c>
      <c r="C442" s="3035" t="s">
        <v>4228</v>
      </c>
      <c r="D442" s="3039">
        <v>67.230900000000005</v>
      </c>
      <c r="E442" s="3035" t="s">
        <v>1377</v>
      </c>
    </row>
    <row r="443" spans="1:5">
      <c r="A443" s="3035">
        <v>442</v>
      </c>
      <c r="B443" s="3035" t="s">
        <v>3230</v>
      </c>
      <c r="C443" s="3035" t="s">
        <v>4229</v>
      </c>
      <c r="D443" s="3039">
        <v>67.992599999999996</v>
      </c>
      <c r="E443" s="3035" t="s">
        <v>1377</v>
      </c>
    </row>
    <row r="444" spans="1:5">
      <c r="A444" s="3035">
        <v>443</v>
      </c>
      <c r="B444" s="3035" t="s">
        <v>3230</v>
      </c>
      <c r="C444" s="3035" t="s">
        <v>4230</v>
      </c>
      <c r="D444" s="3039">
        <v>67.992599999999996</v>
      </c>
      <c r="E444" s="3035" t="s">
        <v>1377</v>
      </c>
    </row>
    <row r="445" spans="1:5">
      <c r="A445" s="3035">
        <v>444</v>
      </c>
      <c r="B445" s="3035" t="s">
        <v>3230</v>
      </c>
      <c r="C445" s="3035" t="s">
        <v>4231</v>
      </c>
      <c r="D445" s="3039">
        <v>67.992599999999996</v>
      </c>
      <c r="E445" s="3035" t="s">
        <v>1377</v>
      </c>
    </row>
    <row r="446" spans="1:5">
      <c r="A446" s="3035">
        <v>445</v>
      </c>
      <c r="B446" s="3035" t="s">
        <v>3230</v>
      </c>
      <c r="C446" s="3035" t="s">
        <v>4232</v>
      </c>
      <c r="D446" s="3039">
        <v>67.992599999999996</v>
      </c>
      <c r="E446" s="3035" t="s">
        <v>1377</v>
      </c>
    </row>
    <row r="447" spans="1:5">
      <c r="A447" s="3035">
        <v>446</v>
      </c>
      <c r="B447" s="3035" t="s">
        <v>3230</v>
      </c>
      <c r="C447" s="3035" t="s">
        <v>4233</v>
      </c>
      <c r="D447" s="3039">
        <v>61.697000000000003</v>
      </c>
      <c r="E447" s="3035" t="s">
        <v>1377</v>
      </c>
    </row>
    <row r="448" spans="1:5">
      <c r="A448" s="3035">
        <v>447</v>
      </c>
      <c r="B448" s="3035" t="s">
        <v>3230</v>
      </c>
      <c r="C448" s="3035" t="s">
        <v>4234</v>
      </c>
      <c r="D448" s="3039">
        <v>61.697000000000003</v>
      </c>
      <c r="E448" s="3035" t="s">
        <v>1377</v>
      </c>
    </row>
    <row r="449" spans="1:5">
      <c r="A449" s="3035">
        <v>448</v>
      </c>
      <c r="B449" s="3035" t="s">
        <v>3230</v>
      </c>
      <c r="C449" s="3035" t="s">
        <v>4235</v>
      </c>
      <c r="D449" s="3039">
        <v>61.697000000000003</v>
      </c>
      <c r="E449" s="3035" t="s">
        <v>1377</v>
      </c>
    </row>
    <row r="450" spans="1:5">
      <c r="A450" s="3035">
        <v>449</v>
      </c>
      <c r="B450" s="3035" t="s">
        <v>3230</v>
      </c>
      <c r="C450" s="3035" t="s">
        <v>4236</v>
      </c>
      <c r="D450" s="3039">
        <v>61.697000000000003</v>
      </c>
      <c r="E450" s="3035" t="s">
        <v>1377</v>
      </c>
    </row>
    <row r="451" spans="1:5">
      <c r="A451" s="3035">
        <v>450</v>
      </c>
      <c r="B451" s="3035" t="s">
        <v>3230</v>
      </c>
      <c r="C451" s="3035" t="s">
        <v>4237</v>
      </c>
      <c r="D451" s="3039">
        <v>61.697000000000003</v>
      </c>
      <c r="E451" s="3035" t="s">
        <v>1377</v>
      </c>
    </row>
    <row r="452" spans="1:5">
      <c r="A452" s="3035">
        <v>451</v>
      </c>
      <c r="B452" s="3035" t="s">
        <v>3230</v>
      </c>
      <c r="C452" s="3035" t="s">
        <v>4238</v>
      </c>
      <c r="D452" s="3039">
        <v>61.697000000000003</v>
      </c>
      <c r="E452" s="3035" t="s">
        <v>1377</v>
      </c>
    </row>
    <row r="453" spans="1:5">
      <c r="A453" s="3035">
        <v>452</v>
      </c>
      <c r="B453" s="3035" t="s">
        <v>3230</v>
      </c>
      <c r="C453" s="3035" t="s">
        <v>4239</v>
      </c>
      <c r="D453" s="3039">
        <v>61.697000000000003</v>
      </c>
      <c r="E453" s="3035" t="s">
        <v>1377</v>
      </c>
    </row>
    <row r="454" spans="1:5">
      <c r="A454" s="3035">
        <v>453</v>
      </c>
      <c r="B454" s="3035" t="s">
        <v>3230</v>
      </c>
      <c r="C454" s="3035" t="s">
        <v>4240</v>
      </c>
      <c r="D454" s="3039">
        <v>61.697000000000003</v>
      </c>
      <c r="E454" s="3035" t="s">
        <v>1377</v>
      </c>
    </row>
    <row r="455" spans="1:5">
      <c r="A455" s="3035">
        <v>454</v>
      </c>
      <c r="B455" s="3035" t="s">
        <v>3230</v>
      </c>
      <c r="C455" s="3035" t="s">
        <v>4241</v>
      </c>
      <c r="D455" s="3039">
        <v>61.697000000000003</v>
      </c>
      <c r="E455" s="3035" t="s">
        <v>1377</v>
      </c>
    </row>
    <row r="456" spans="1:5">
      <c r="A456" s="3035">
        <v>455</v>
      </c>
      <c r="B456" s="3035" t="s">
        <v>3230</v>
      </c>
      <c r="C456" s="3035" t="s">
        <v>4242</v>
      </c>
      <c r="D456" s="3039">
        <v>61.697000000000003</v>
      </c>
      <c r="E456" s="3035" t="s">
        <v>1377</v>
      </c>
    </row>
    <row r="457" spans="1:5">
      <c r="A457" s="3035">
        <v>456</v>
      </c>
      <c r="B457" s="3035" t="s">
        <v>3230</v>
      </c>
      <c r="C457" s="3035" t="s">
        <v>4243</v>
      </c>
      <c r="D457" s="3039">
        <v>61.697000000000003</v>
      </c>
      <c r="E457" s="3035" t="s">
        <v>1377</v>
      </c>
    </row>
    <row r="458" spans="1:5">
      <c r="A458" s="3035">
        <v>457</v>
      </c>
      <c r="B458" s="3035" t="s">
        <v>3230</v>
      </c>
      <c r="C458" s="3035" t="s">
        <v>4244</v>
      </c>
      <c r="D458" s="3039">
        <v>61.697000000000003</v>
      </c>
      <c r="E458" s="3035" t="s">
        <v>1377</v>
      </c>
    </row>
    <row r="459" spans="1:5">
      <c r="A459" s="3035">
        <v>458</v>
      </c>
      <c r="B459" s="3035" t="s">
        <v>3230</v>
      </c>
      <c r="C459" s="3035" t="s">
        <v>4245</v>
      </c>
      <c r="D459" s="3039">
        <v>61.697000000000003</v>
      </c>
      <c r="E459" s="3035" t="s">
        <v>1377</v>
      </c>
    </row>
    <row r="460" spans="1:5">
      <c r="A460" s="3035">
        <v>459</v>
      </c>
      <c r="B460" s="3035" t="s">
        <v>3230</v>
      </c>
      <c r="C460" s="3035" t="s">
        <v>4246</v>
      </c>
      <c r="D460" s="3039">
        <v>61.697000000000003</v>
      </c>
      <c r="E460" s="3035" t="s">
        <v>1377</v>
      </c>
    </row>
    <row r="461" spans="1:5">
      <c r="A461" s="3035">
        <v>460</v>
      </c>
      <c r="B461" s="3035" t="s">
        <v>3230</v>
      </c>
      <c r="C461" s="3035" t="s">
        <v>4247</v>
      </c>
      <c r="D461" s="3039">
        <v>61.697000000000003</v>
      </c>
      <c r="E461" s="3035" t="s">
        <v>1377</v>
      </c>
    </row>
    <row r="462" spans="1:5">
      <c r="A462" s="3035">
        <v>461</v>
      </c>
      <c r="B462" s="3035" t="s">
        <v>3230</v>
      </c>
      <c r="C462" s="3035" t="s">
        <v>4248</v>
      </c>
      <c r="D462" s="3039">
        <v>61.697000000000003</v>
      </c>
      <c r="E462" s="3035" t="s">
        <v>1377</v>
      </c>
    </row>
    <row r="463" spans="1:5">
      <c r="A463" s="3035">
        <v>462</v>
      </c>
      <c r="B463" s="3035" t="s">
        <v>3230</v>
      </c>
      <c r="C463" s="3035" t="s">
        <v>4249</v>
      </c>
      <c r="D463" s="3039">
        <v>86.832800000000006</v>
      </c>
      <c r="E463" s="3035" t="s">
        <v>1377</v>
      </c>
    </row>
    <row r="464" spans="1:5">
      <c r="A464" s="3035">
        <v>463</v>
      </c>
      <c r="B464" s="3035" t="s">
        <v>3230</v>
      </c>
      <c r="C464" s="3035" t="s">
        <v>4250</v>
      </c>
      <c r="D464" s="3039">
        <v>70.028999999999996</v>
      </c>
      <c r="E464" s="3035" t="s">
        <v>1377</v>
      </c>
    </row>
    <row r="465" spans="1:5">
      <c r="A465" s="3035">
        <v>464</v>
      </c>
      <c r="B465" s="3035" t="s">
        <v>3230</v>
      </c>
      <c r="C465" s="3035" t="s">
        <v>4251</v>
      </c>
      <c r="D465" s="3039">
        <v>74.148300000000006</v>
      </c>
      <c r="E465" s="3035" t="s">
        <v>1377</v>
      </c>
    </row>
    <row r="466" spans="1:5">
      <c r="A466" s="3035">
        <v>465</v>
      </c>
      <c r="B466" s="3035" t="s">
        <v>3230</v>
      </c>
      <c r="C466" s="3035" t="s">
        <v>4252</v>
      </c>
      <c r="D466" s="3039">
        <v>175.0472</v>
      </c>
      <c r="E466" s="3035" t="s">
        <v>1377</v>
      </c>
    </row>
    <row r="467" spans="1:5">
      <c r="A467" s="3035">
        <v>466</v>
      </c>
      <c r="B467" s="3035" t="s">
        <v>3230</v>
      </c>
      <c r="C467" s="3035" t="s">
        <v>4253</v>
      </c>
      <c r="D467" s="3039">
        <v>58.549199999999999</v>
      </c>
      <c r="E467" s="3035" t="s">
        <v>1377</v>
      </c>
    </row>
    <row r="468" spans="1:5">
      <c r="A468" s="3035">
        <v>467</v>
      </c>
      <c r="B468" s="3035" t="s">
        <v>3230</v>
      </c>
      <c r="C468" s="3035" t="s">
        <v>4254</v>
      </c>
      <c r="D468" s="3039">
        <v>58.549199999999999</v>
      </c>
      <c r="E468" s="3035" t="s">
        <v>1377</v>
      </c>
    </row>
    <row r="469" spans="1:5">
      <c r="A469" s="3035">
        <v>468</v>
      </c>
      <c r="B469" s="3035" t="s">
        <v>3230</v>
      </c>
      <c r="C469" s="3035" t="s">
        <v>4255</v>
      </c>
      <c r="D469" s="3039">
        <v>58.549199999999999</v>
      </c>
      <c r="E469" s="3035" t="s">
        <v>1377</v>
      </c>
    </row>
    <row r="470" spans="1:5">
      <c r="A470" s="3035">
        <v>469</v>
      </c>
      <c r="B470" s="3035" t="s">
        <v>3230</v>
      </c>
      <c r="C470" s="3035" t="s">
        <v>4256</v>
      </c>
      <c r="D470" s="3039">
        <v>58.549199999999999</v>
      </c>
      <c r="E470" s="3035" t="s">
        <v>1377</v>
      </c>
    </row>
    <row r="471" spans="1:5">
      <c r="A471" s="3035">
        <v>470</v>
      </c>
      <c r="B471" s="3035" t="s">
        <v>3230</v>
      </c>
      <c r="C471" s="3035" t="s">
        <v>4257</v>
      </c>
      <c r="D471" s="3039">
        <v>67.691800000000001</v>
      </c>
      <c r="E471" s="3035" t="s">
        <v>1377</v>
      </c>
    </row>
    <row r="472" spans="1:5">
      <c r="A472" s="3035">
        <v>471</v>
      </c>
      <c r="B472" s="3035" t="s">
        <v>3230</v>
      </c>
      <c r="C472" s="3035" t="s">
        <v>4258</v>
      </c>
      <c r="D472" s="3039">
        <v>67.691800000000001</v>
      </c>
      <c r="E472" s="3035" t="s">
        <v>1377</v>
      </c>
    </row>
    <row r="473" spans="1:5">
      <c r="A473" s="3035">
        <v>472</v>
      </c>
      <c r="B473" s="3035" t="s">
        <v>3230</v>
      </c>
      <c r="C473" s="3035" t="s">
        <v>4259</v>
      </c>
      <c r="D473" s="3039">
        <v>67.992599999999996</v>
      </c>
      <c r="E473" s="3035" t="s">
        <v>1377</v>
      </c>
    </row>
    <row r="474" spans="1:5">
      <c r="A474" s="3035">
        <v>473</v>
      </c>
      <c r="B474" s="3035" t="s">
        <v>3230</v>
      </c>
      <c r="C474" s="3035" t="s">
        <v>4260</v>
      </c>
      <c r="D474" s="3039">
        <v>67.691800000000001</v>
      </c>
      <c r="E474" s="3035" t="s">
        <v>1377</v>
      </c>
    </row>
    <row r="475" spans="1:5">
      <c r="A475" s="3035">
        <v>474</v>
      </c>
      <c r="B475" s="3035" t="s">
        <v>3230</v>
      </c>
      <c r="C475" s="3035" t="s">
        <v>4261</v>
      </c>
      <c r="D475" s="3039">
        <v>67.303200000000004</v>
      </c>
      <c r="E475" s="3035" t="s">
        <v>1377</v>
      </c>
    </row>
    <row r="476" spans="1:5">
      <c r="A476" s="3035">
        <v>475</v>
      </c>
      <c r="B476" s="3035" t="s">
        <v>3230</v>
      </c>
      <c r="C476" s="3035" t="s">
        <v>4262</v>
      </c>
      <c r="D476" s="3039">
        <v>67.230900000000005</v>
      </c>
      <c r="E476" s="3035" t="s">
        <v>1377</v>
      </c>
    </row>
    <row r="477" spans="1:5">
      <c r="A477" s="3035">
        <v>476</v>
      </c>
      <c r="B477" s="3035" t="s">
        <v>3230</v>
      </c>
      <c r="C477" s="3035" t="s">
        <v>4263</v>
      </c>
      <c r="D477" s="3039">
        <v>67.992599999999996</v>
      </c>
      <c r="E477" s="3035" t="s">
        <v>1377</v>
      </c>
    </row>
    <row r="478" spans="1:5">
      <c r="A478" s="3035">
        <v>477</v>
      </c>
      <c r="B478" s="3035" t="s">
        <v>3230</v>
      </c>
      <c r="C478" s="3035" t="s">
        <v>4264</v>
      </c>
      <c r="D478" s="3039">
        <v>67.992599999999996</v>
      </c>
      <c r="E478" s="3035" t="s">
        <v>1377</v>
      </c>
    </row>
    <row r="479" spans="1:5">
      <c r="A479" s="3035">
        <v>478</v>
      </c>
      <c r="B479" s="3035" t="s">
        <v>3230</v>
      </c>
      <c r="C479" s="3035" t="s">
        <v>4265</v>
      </c>
      <c r="D479" s="3039">
        <v>67.992599999999996</v>
      </c>
      <c r="E479" s="3035" t="s">
        <v>1377</v>
      </c>
    </row>
    <row r="480" spans="1:5">
      <c r="A480" s="3035">
        <v>479</v>
      </c>
      <c r="B480" s="3035" t="s">
        <v>3230</v>
      </c>
      <c r="C480" s="3035" t="s">
        <v>4266</v>
      </c>
      <c r="D480" s="3039">
        <v>67.992599999999996</v>
      </c>
      <c r="E480" s="3035" t="s">
        <v>1377</v>
      </c>
    </row>
    <row r="481" spans="4:4" ht="13.5">
      <c r="D481" s="3040">
        <f>SUM(D2:D480)</f>
        <v>34121.704500000094</v>
      </c>
    </row>
  </sheetData>
  <phoneticPr fontId="144" type="noConversion"/>
  <pageMargins left="0.75" right="0.75" top="1" bottom="1" header="0.51180555555555551" footer="0.51180555555555551"/>
  <pageSetup paperSize="9" firstPageNumber="42949631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0"/>
  <sheetViews>
    <sheetView zoomScaleSheetLayoutView="100" workbookViewId="0">
      <pane xSplit="1" ySplit="1" topLeftCell="K35" activePane="bottomRight" state="frozen"/>
      <selection activeCell="I15" sqref="I15"/>
      <selection pane="topRight" activeCell="I15" sqref="I15"/>
      <selection pane="bottomLeft" activeCell="I15" sqref="I15"/>
      <selection pane="bottomRight" activeCell="U72" sqref="L69:U72"/>
    </sheetView>
  </sheetViews>
  <sheetFormatPr defaultRowHeight="12"/>
  <cols>
    <col min="1" max="1" width="9" style="3035"/>
    <col min="2" max="2" width="14.875" style="3035" customWidth="1"/>
    <col min="3" max="3" width="33.625" style="3035" customWidth="1"/>
    <col min="4" max="4" width="13.125" style="3035" customWidth="1"/>
    <col min="5" max="5" width="9" style="3035"/>
    <col min="6" max="6" width="11.25" style="3035" bestFit="1" customWidth="1"/>
    <col min="7" max="257" width="9" style="3035"/>
    <col min="258" max="258" width="14.875" style="3035" customWidth="1"/>
    <col min="259" max="259" width="33.625" style="3035" customWidth="1"/>
    <col min="260" max="260" width="13.125" style="3035" customWidth="1"/>
    <col min="261" max="261" width="9" style="3035"/>
    <col min="262" max="262" width="11.25" style="3035" bestFit="1" customWidth="1"/>
    <col min="263" max="513" width="9" style="3035"/>
    <col min="514" max="514" width="14.875" style="3035" customWidth="1"/>
    <col min="515" max="515" width="33.625" style="3035" customWidth="1"/>
    <col min="516" max="516" width="13.125" style="3035" customWidth="1"/>
    <col min="517" max="517" width="9" style="3035"/>
    <col min="518" max="518" width="11.25" style="3035" bestFit="1" customWidth="1"/>
    <col min="519" max="769" width="9" style="3035"/>
    <col min="770" max="770" width="14.875" style="3035" customWidth="1"/>
    <col min="771" max="771" width="33.625" style="3035" customWidth="1"/>
    <col min="772" max="772" width="13.125" style="3035" customWidth="1"/>
    <col min="773" max="773" width="9" style="3035"/>
    <col min="774" max="774" width="11.25" style="3035" bestFit="1" customWidth="1"/>
    <col min="775" max="1025" width="9" style="3035"/>
    <col min="1026" max="1026" width="14.875" style="3035" customWidth="1"/>
    <col min="1027" max="1027" width="33.625" style="3035" customWidth="1"/>
    <col min="1028" max="1028" width="13.125" style="3035" customWidth="1"/>
    <col min="1029" max="1029" width="9" style="3035"/>
    <col min="1030" max="1030" width="11.25" style="3035" bestFit="1" customWidth="1"/>
    <col min="1031" max="1281" width="9" style="3035"/>
    <col min="1282" max="1282" width="14.875" style="3035" customWidth="1"/>
    <col min="1283" max="1283" width="33.625" style="3035" customWidth="1"/>
    <col min="1284" max="1284" width="13.125" style="3035" customWidth="1"/>
    <col min="1285" max="1285" width="9" style="3035"/>
    <col min="1286" max="1286" width="11.25" style="3035" bestFit="1" customWidth="1"/>
    <col min="1287" max="1537" width="9" style="3035"/>
    <col min="1538" max="1538" width="14.875" style="3035" customWidth="1"/>
    <col min="1539" max="1539" width="33.625" style="3035" customWidth="1"/>
    <col min="1540" max="1540" width="13.125" style="3035" customWidth="1"/>
    <col min="1541" max="1541" width="9" style="3035"/>
    <col min="1542" max="1542" width="11.25" style="3035" bestFit="1" customWidth="1"/>
    <col min="1543" max="1793" width="9" style="3035"/>
    <col min="1794" max="1794" width="14.875" style="3035" customWidth="1"/>
    <col min="1795" max="1795" width="33.625" style="3035" customWidth="1"/>
    <col min="1796" max="1796" width="13.125" style="3035" customWidth="1"/>
    <col min="1797" max="1797" width="9" style="3035"/>
    <col min="1798" max="1798" width="11.25" style="3035" bestFit="1" customWidth="1"/>
    <col min="1799" max="2049" width="9" style="3035"/>
    <col min="2050" max="2050" width="14.875" style="3035" customWidth="1"/>
    <col min="2051" max="2051" width="33.625" style="3035" customWidth="1"/>
    <col min="2052" max="2052" width="13.125" style="3035" customWidth="1"/>
    <col min="2053" max="2053" width="9" style="3035"/>
    <col min="2054" max="2054" width="11.25" style="3035" bestFit="1" customWidth="1"/>
    <col min="2055" max="2305" width="9" style="3035"/>
    <col min="2306" max="2306" width="14.875" style="3035" customWidth="1"/>
    <col min="2307" max="2307" width="33.625" style="3035" customWidth="1"/>
    <col min="2308" max="2308" width="13.125" style="3035" customWidth="1"/>
    <col min="2309" max="2309" width="9" style="3035"/>
    <col min="2310" max="2310" width="11.25" style="3035" bestFit="1" customWidth="1"/>
    <col min="2311" max="2561" width="9" style="3035"/>
    <col min="2562" max="2562" width="14.875" style="3035" customWidth="1"/>
    <col min="2563" max="2563" width="33.625" style="3035" customWidth="1"/>
    <col min="2564" max="2564" width="13.125" style="3035" customWidth="1"/>
    <col min="2565" max="2565" width="9" style="3035"/>
    <col min="2566" max="2566" width="11.25" style="3035" bestFit="1" customWidth="1"/>
    <col min="2567" max="2817" width="9" style="3035"/>
    <col min="2818" max="2818" width="14.875" style="3035" customWidth="1"/>
    <col min="2819" max="2819" width="33.625" style="3035" customWidth="1"/>
    <col min="2820" max="2820" width="13.125" style="3035" customWidth="1"/>
    <col min="2821" max="2821" width="9" style="3035"/>
    <col min="2822" max="2822" width="11.25" style="3035" bestFit="1" customWidth="1"/>
    <col min="2823" max="3073" width="9" style="3035"/>
    <col min="3074" max="3074" width="14.875" style="3035" customWidth="1"/>
    <col min="3075" max="3075" width="33.625" style="3035" customWidth="1"/>
    <col min="3076" max="3076" width="13.125" style="3035" customWidth="1"/>
    <col min="3077" max="3077" width="9" style="3035"/>
    <col min="3078" max="3078" width="11.25" style="3035" bestFit="1" customWidth="1"/>
    <col min="3079" max="3329" width="9" style="3035"/>
    <col min="3330" max="3330" width="14.875" style="3035" customWidth="1"/>
    <col min="3331" max="3331" width="33.625" style="3035" customWidth="1"/>
    <col min="3332" max="3332" width="13.125" style="3035" customWidth="1"/>
    <col min="3333" max="3333" width="9" style="3035"/>
    <col min="3334" max="3334" width="11.25" style="3035" bestFit="1" customWidth="1"/>
    <col min="3335" max="3585" width="9" style="3035"/>
    <col min="3586" max="3586" width="14.875" style="3035" customWidth="1"/>
    <col min="3587" max="3587" width="33.625" style="3035" customWidth="1"/>
    <col min="3588" max="3588" width="13.125" style="3035" customWidth="1"/>
    <col min="3589" max="3589" width="9" style="3035"/>
    <col min="3590" max="3590" width="11.25" style="3035" bestFit="1" customWidth="1"/>
    <col min="3591" max="3841" width="9" style="3035"/>
    <col min="3842" max="3842" width="14.875" style="3035" customWidth="1"/>
    <col min="3843" max="3843" width="33.625" style="3035" customWidth="1"/>
    <col min="3844" max="3844" width="13.125" style="3035" customWidth="1"/>
    <col min="3845" max="3845" width="9" style="3035"/>
    <col min="3846" max="3846" width="11.25" style="3035" bestFit="1" customWidth="1"/>
    <col min="3847" max="4097" width="9" style="3035"/>
    <col min="4098" max="4098" width="14.875" style="3035" customWidth="1"/>
    <col min="4099" max="4099" width="33.625" style="3035" customWidth="1"/>
    <col min="4100" max="4100" width="13.125" style="3035" customWidth="1"/>
    <col min="4101" max="4101" width="9" style="3035"/>
    <col min="4102" max="4102" width="11.25" style="3035" bestFit="1" customWidth="1"/>
    <col min="4103" max="4353" width="9" style="3035"/>
    <col min="4354" max="4354" width="14.875" style="3035" customWidth="1"/>
    <col min="4355" max="4355" width="33.625" style="3035" customWidth="1"/>
    <col min="4356" max="4356" width="13.125" style="3035" customWidth="1"/>
    <col min="4357" max="4357" width="9" style="3035"/>
    <col min="4358" max="4358" width="11.25" style="3035" bestFit="1" customWidth="1"/>
    <col min="4359" max="4609" width="9" style="3035"/>
    <col min="4610" max="4610" width="14.875" style="3035" customWidth="1"/>
    <col min="4611" max="4611" width="33.625" style="3035" customWidth="1"/>
    <col min="4612" max="4612" width="13.125" style="3035" customWidth="1"/>
    <col min="4613" max="4613" width="9" style="3035"/>
    <col min="4614" max="4614" width="11.25" style="3035" bestFit="1" customWidth="1"/>
    <col min="4615" max="4865" width="9" style="3035"/>
    <col min="4866" max="4866" width="14.875" style="3035" customWidth="1"/>
    <col min="4867" max="4867" width="33.625" style="3035" customWidth="1"/>
    <col min="4868" max="4868" width="13.125" style="3035" customWidth="1"/>
    <col min="4869" max="4869" width="9" style="3035"/>
    <col min="4870" max="4870" width="11.25" style="3035" bestFit="1" customWidth="1"/>
    <col min="4871" max="5121" width="9" style="3035"/>
    <col min="5122" max="5122" width="14.875" style="3035" customWidth="1"/>
    <col min="5123" max="5123" width="33.625" style="3035" customWidth="1"/>
    <col min="5124" max="5124" width="13.125" style="3035" customWidth="1"/>
    <col min="5125" max="5125" width="9" style="3035"/>
    <col min="5126" max="5126" width="11.25" style="3035" bestFit="1" customWidth="1"/>
    <col min="5127" max="5377" width="9" style="3035"/>
    <col min="5378" max="5378" width="14.875" style="3035" customWidth="1"/>
    <col min="5379" max="5379" width="33.625" style="3035" customWidth="1"/>
    <col min="5380" max="5380" width="13.125" style="3035" customWidth="1"/>
    <col min="5381" max="5381" width="9" style="3035"/>
    <col min="5382" max="5382" width="11.25" style="3035" bestFit="1" customWidth="1"/>
    <col min="5383" max="5633" width="9" style="3035"/>
    <col min="5634" max="5634" width="14.875" style="3035" customWidth="1"/>
    <col min="5635" max="5635" width="33.625" style="3035" customWidth="1"/>
    <col min="5636" max="5636" width="13.125" style="3035" customWidth="1"/>
    <col min="5637" max="5637" width="9" style="3035"/>
    <col min="5638" max="5638" width="11.25" style="3035" bestFit="1" customWidth="1"/>
    <col min="5639" max="5889" width="9" style="3035"/>
    <col min="5890" max="5890" width="14.875" style="3035" customWidth="1"/>
    <col min="5891" max="5891" width="33.625" style="3035" customWidth="1"/>
    <col min="5892" max="5892" width="13.125" style="3035" customWidth="1"/>
    <col min="5893" max="5893" width="9" style="3035"/>
    <col min="5894" max="5894" width="11.25" style="3035" bestFit="1" customWidth="1"/>
    <col min="5895" max="6145" width="9" style="3035"/>
    <col min="6146" max="6146" width="14.875" style="3035" customWidth="1"/>
    <col min="6147" max="6147" width="33.625" style="3035" customWidth="1"/>
    <col min="6148" max="6148" width="13.125" style="3035" customWidth="1"/>
    <col min="6149" max="6149" width="9" style="3035"/>
    <col min="6150" max="6150" width="11.25" style="3035" bestFit="1" customWidth="1"/>
    <col min="6151" max="6401" width="9" style="3035"/>
    <col min="6402" max="6402" width="14.875" style="3035" customWidth="1"/>
    <col min="6403" max="6403" width="33.625" style="3035" customWidth="1"/>
    <col min="6404" max="6404" width="13.125" style="3035" customWidth="1"/>
    <col min="6405" max="6405" width="9" style="3035"/>
    <col min="6406" max="6406" width="11.25" style="3035" bestFit="1" customWidth="1"/>
    <col min="6407" max="6657" width="9" style="3035"/>
    <col min="6658" max="6658" width="14.875" style="3035" customWidth="1"/>
    <col min="6659" max="6659" width="33.625" style="3035" customWidth="1"/>
    <col min="6660" max="6660" width="13.125" style="3035" customWidth="1"/>
    <col min="6661" max="6661" width="9" style="3035"/>
    <col min="6662" max="6662" width="11.25" style="3035" bestFit="1" customWidth="1"/>
    <col min="6663" max="6913" width="9" style="3035"/>
    <col min="6914" max="6914" width="14.875" style="3035" customWidth="1"/>
    <col min="6915" max="6915" width="33.625" style="3035" customWidth="1"/>
    <col min="6916" max="6916" width="13.125" style="3035" customWidth="1"/>
    <col min="6917" max="6917" width="9" style="3035"/>
    <col min="6918" max="6918" width="11.25" style="3035" bestFit="1" customWidth="1"/>
    <col min="6919" max="7169" width="9" style="3035"/>
    <col min="7170" max="7170" width="14.875" style="3035" customWidth="1"/>
    <col min="7171" max="7171" width="33.625" style="3035" customWidth="1"/>
    <col min="7172" max="7172" width="13.125" style="3035" customWidth="1"/>
    <col min="7173" max="7173" width="9" style="3035"/>
    <col min="7174" max="7174" width="11.25" style="3035" bestFit="1" customWidth="1"/>
    <col min="7175" max="7425" width="9" style="3035"/>
    <col min="7426" max="7426" width="14.875" style="3035" customWidth="1"/>
    <col min="7427" max="7427" width="33.625" style="3035" customWidth="1"/>
    <col min="7428" max="7428" width="13.125" style="3035" customWidth="1"/>
    <col min="7429" max="7429" width="9" style="3035"/>
    <col min="7430" max="7430" width="11.25" style="3035" bestFit="1" customWidth="1"/>
    <col min="7431" max="7681" width="9" style="3035"/>
    <col min="7682" max="7682" width="14.875" style="3035" customWidth="1"/>
    <col min="7683" max="7683" width="33.625" style="3035" customWidth="1"/>
    <col min="7684" max="7684" width="13.125" style="3035" customWidth="1"/>
    <col min="7685" max="7685" width="9" style="3035"/>
    <col min="7686" max="7686" width="11.25" style="3035" bestFit="1" customWidth="1"/>
    <col min="7687" max="7937" width="9" style="3035"/>
    <col min="7938" max="7938" width="14.875" style="3035" customWidth="1"/>
    <col min="7939" max="7939" width="33.625" style="3035" customWidth="1"/>
    <col min="7940" max="7940" width="13.125" style="3035" customWidth="1"/>
    <col min="7941" max="7941" width="9" style="3035"/>
    <col min="7942" max="7942" width="11.25" style="3035" bestFit="1" customWidth="1"/>
    <col min="7943" max="8193" width="9" style="3035"/>
    <col min="8194" max="8194" width="14.875" style="3035" customWidth="1"/>
    <col min="8195" max="8195" width="33.625" style="3035" customWidth="1"/>
    <col min="8196" max="8196" width="13.125" style="3035" customWidth="1"/>
    <col min="8197" max="8197" width="9" style="3035"/>
    <col min="8198" max="8198" width="11.25" style="3035" bestFit="1" customWidth="1"/>
    <col min="8199" max="8449" width="9" style="3035"/>
    <col min="8450" max="8450" width="14.875" style="3035" customWidth="1"/>
    <col min="8451" max="8451" width="33.625" style="3035" customWidth="1"/>
    <col min="8452" max="8452" width="13.125" style="3035" customWidth="1"/>
    <col min="8453" max="8453" width="9" style="3035"/>
    <col min="8454" max="8454" width="11.25" style="3035" bestFit="1" customWidth="1"/>
    <col min="8455" max="8705" width="9" style="3035"/>
    <col min="8706" max="8706" width="14.875" style="3035" customWidth="1"/>
    <col min="8707" max="8707" width="33.625" style="3035" customWidth="1"/>
    <col min="8708" max="8708" width="13.125" style="3035" customWidth="1"/>
    <col min="8709" max="8709" width="9" style="3035"/>
    <col min="8710" max="8710" width="11.25" style="3035" bestFit="1" customWidth="1"/>
    <col min="8711" max="8961" width="9" style="3035"/>
    <col min="8962" max="8962" width="14.875" style="3035" customWidth="1"/>
    <col min="8963" max="8963" width="33.625" style="3035" customWidth="1"/>
    <col min="8964" max="8964" width="13.125" style="3035" customWidth="1"/>
    <col min="8965" max="8965" width="9" style="3035"/>
    <col min="8966" max="8966" width="11.25" style="3035" bestFit="1" customWidth="1"/>
    <col min="8967" max="9217" width="9" style="3035"/>
    <col min="9218" max="9218" width="14.875" style="3035" customWidth="1"/>
    <col min="9219" max="9219" width="33.625" style="3035" customWidth="1"/>
    <col min="9220" max="9220" width="13.125" style="3035" customWidth="1"/>
    <col min="9221" max="9221" width="9" style="3035"/>
    <col min="9222" max="9222" width="11.25" style="3035" bestFit="1" customWidth="1"/>
    <col min="9223" max="9473" width="9" style="3035"/>
    <col min="9474" max="9474" width="14.875" style="3035" customWidth="1"/>
    <col min="9475" max="9475" width="33.625" style="3035" customWidth="1"/>
    <col min="9476" max="9476" width="13.125" style="3035" customWidth="1"/>
    <col min="9477" max="9477" width="9" style="3035"/>
    <col min="9478" max="9478" width="11.25" style="3035" bestFit="1" customWidth="1"/>
    <col min="9479" max="9729" width="9" style="3035"/>
    <col min="9730" max="9730" width="14.875" style="3035" customWidth="1"/>
    <col min="9731" max="9731" width="33.625" style="3035" customWidth="1"/>
    <col min="9732" max="9732" width="13.125" style="3035" customWidth="1"/>
    <col min="9733" max="9733" width="9" style="3035"/>
    <col min="9734" max="9734" width="11.25" style="3035" bestFit="1" customWidth="1"/>
    <col min="9735" max="9985" width="9" style="3035"/>
    <col min="9986" max="9986" width="14.875" style="3035" customWidth="1"/>
    <col min="9987" max="9987" width="33.625" style="3035" customWidth="1"/>
    <col min="9988" max="9988" width="13.125" style="3035" customWidth="1"/>
    <col min="9989" max="9989" width="9" style="3035"/>
    <col min="9990" max="9990" width="11.25" style="3035" bestFit="1" customWidth="1"/>
    <col min="9991" max="10241" width="9" style="3035"/>
    <col min="10242" max="10242" width="14.875" style="3035" customWidth="1"/>
    <col min="10243" max="10243" width="33.625" style="3035" customWidth="1"/>
    <col min="10244" max="10244" width="13.125" style="3035" customWidth="1"/>
    <col min="10245" max="10245" width="9" style="3035"/>
    <col min="10246" max="10246" width="11.25" style="3035" bestFit="1" customWidth="1"/>
    <col min="10247" max="10497" width="9" style="3035"/>
    <col min="10498" max="10498" width="14.875" style="3035" customWidth="1"/>
    <col min="10499" max="10499" width="33.625" style="3035" customWidth="1"/>
    <col min="10500" max="10500" width="13.125" style="3035" customWidth="1"/>
    <col min="10501" max="10501" width="9" style="3035"/>
    <col min="10502" max="10502" width="11.25" style="3035" bestFit="1" customWidth="1"/>
    <col min="10503" max="10753" width="9" style="3035"/>
    <col min="10754" max="10754" width="14.875" style="3035" customWidth="1"/>
    <col min="10755" max="10755" width="33.625" style="3035" customWidth="1"/>
    <col min="10756" max="10756" width="13.125" style="3035" customWidth="1"/>
    <col min="10757" max="10757" width="9" style="3035"/>
    <col min="10758" max="10758" width="11.25" style="3035" bestFit="1" customWidth="1"/>
    <col min="10759" max="11009" width="9" style="3035"/>
    <col min="11010" max="11010" width="14.875" style="3035" customWidth="1"/>
    <col min="11011" max="11011" width="33.625" style="3035" customWidth="1"/>
    <col min="11012" max="11012" width="13.125" style="3035" customWidth="1"/>
    <col min="11013" max="11013" width="9" style="3035"/>
    <col min="11014" max="11014" width="11.25" style="3035" bestFit="1" customWidth="1"/>
    <col min="11015" max="11265" width="9" style="3035"/>
    <col min="11266" max="11266" width="14.875" style="3035" customWidth="1"/>
    <col min="11267" max="11267" width="33.625" style="3035" customWidth="1"/>
    <col min="11268" max="11268" width="13.125" style="3035" customWidth="1"/>
    <col min="11269" max="11269" width="9" style="3035"/>
    <col min="11270" max="11270" width="11.25" style="3035" bestFit="1" customWidth="1"/>
    <col min="11271" max="11521" width="9" style="3035"/>
    <col min="11522" max="11522" width="14.875" style="3035" customWidth="1"/>
    <col min="11523" max="11523" width="33.625" style="3035" customWidth="1"/>
    <col min="11524" max="11524" width="13.125" style="3035" customWidth="1"/>
    <col min="11525" max="11525" width="9" style="3035"/>
    <col min="11526" max="11526" width="11.25" style="3035" bestFit="1" customWidth="1"/>
    <col min="11527" max="11777" width="9" style="3035"/>
    <col min="11778" max="11778" width="14.875" style="3035" customWidth="1"/>
    <col min="11779" max="11779" width="33.625" style="3035" customWidth="1"/>
    <col min="11780" max="11780" width="13.125" style="3035" customWidth="1"/>
    <col min="11781" max="11781" width="9" style="3035"/>
    <col min="11782" max="11782" width="11.25" style="3035" bestFit="1" customWidth="1"/>
    <col min="11783" max="12033" width="9" style="3035"/>
    <col min="12034" max="12034" width="14.875" style="3035" customWidth="1"/>
    <col min="12035" max="12035" width="33.625" style="3035" customWidth="1"/>
    <col min="12036" max="12036" width="13.125" style="3035" customWidth="1"/>
    <col min="12037" max="12037" width="9" style="3035"/>
    <col min="12038" max="12038" width="11.25" style="3035" bestFit="1" customWidth="1"/>
    <col min="12039" max="12289" width="9" style="3035"/>
    <col min="12290" max="12290" width="14.875" style="3035" customWidth="1"/>
    <col min="12291" max="12291" width="33.625" style="3035" customWidth="1"/>
    <col min="12292" max="12292" width="13.125" style="3035" customWidth="1"/>
    <col min="12293" max="12293" width="9" style="3035"/>
    <col min="12294" max="12294" width="11.25" style="3035" bestFit="1" customWidth="1"/>
    <col min="12295" max="12545" width="9" style="3035"/>
    <col min="12546" max="12546" width="14.875" style="3035" customWidth="1"/>
    <col min="12547" max="12547" width="33.625" style="3035" customWidth="1"/>
    <col min="12548" max="12548" width="13.125" style="3035" customWidth="1"/>
    <col min="12549" max="12549" width="9" style="3035"/>
    <col min="12550" max="12550" width="11.25" style="3035" bestFit="1" customWidth="1"/>
    <col min="12551" max="12801" width="9" style="3035"/>
    <col min="12802" max="12802" width="14.875" style="3035" customWidth="1"/>
    <col min="12803" max="12803" width="33.625" style="3035" customWidth="1"/>
    <col min="12804" max="12804" width="13.125" style="3035" customWidth="1"/>
    <col min="12805" max="12805" width="9" style="3035"/>
    <col min="12806" max="12806" width="11.25" style="3035" bestFit="1" customWidth="1"/>
    <col min="12807" max="13057" width="9" style="3035"/>
    <col min="13058" max="13058" width="14.875" style="3035" customWidth="1"/>
    <col min="13059" max="13059" width="33.625" style="3035" customWidth="1"/>
    <col min="13060" max="13060" width="13.125" style="3035" customWidth="1"/>
    <col min="13061" max="13061" width="9" style="3035"/>
    <col min="13062" max="13062" width="11.25" style="3035" bestFit="1" customWidth="1"/>
    <col min="13063" max="13313" width="9" style="3035"/>
    <col min="13314" max="13314" width="14.875" style="3035" customWidth="1"/>
    <col min="13315" max="13315" width="33.625" style="3035" customWidth="1"/>
    <col min="13316" max="13316" width="13.125" style="3035" customWidth="1"/>
    <col min="13317" max="13317" width="9" style="3035"/>
    <col min="13318" max="13318" width="11.25" style="3035" bestFit="1" customWidth="1"/>
    <col min="13319" max="13569" width="9" style="3035"/>
    <col min="13570" max="13570" width="14.875" style="3035" customWidth="1"/>
    <col min="13571" max="13571" width="33.625" style="3035" customWidth="1"/>
    <col min="13572" max="13572" width="13.125" style="3035" customWidth="1"/>
    <col min="13573" max="13573" width="9" style="3035"/>
    <col min="13574" max="13574" width="11.25" style="3035" bestFit="1" customWidth="1"/>
    <col min="13575" max="13825" width="9" style="3035"/>
    <col min="13826" max="13826" width="14.875" style="3035" customWidth="1"/>
    <col min="13827" max="13827" width="33.625" style="3035" customWidth="1"/>
    <col min="13828" max="13828" width="13.125" style="3035" customWidth="1"/>
    <col min="13829" max="13829" width="9" style="3035"/>
    <col min="13830" max="13830" width="11.25" style="3035" bestFit="1" customWidth="1"/>
    <col min="13831" max="14081" width="9" style="3035"/>
    <col min="14082" max="14082" width="14.875" style="3035" customWidth="1"/>
    <col min="14083" max="14083" width="33.625" style="3035" customWidth="1"/>
    <col min="14084" max="14084" width="13.125" style="3035" customWidth="1"/>
    <col min="14085" max="14085" width="9" style="3035"/>
    <col min="14086" max="14086" width="11.25" style="3035" bestFit="1" customWidth="1"/>
    <col min="14087" max="14337" width="9" style="3035"/>
    <col min="14338" max="14338" width="14.875" style="3035" customWidth="1"/>
    <col min="14339" max="14339" width="33.625" style="3035" customWidth="1"/>
    <col min="14340" max="14340" width="13.125" style="3035" customWidth="1"/>
    <col min="14341" max="14341" width="9" style="3035"/>
    <col min="14342" max="14342" width="11.25" style="3035" bestFit="1" customWidth="1"/>
    <col min="14343" max="14593" width="9" style="3035"/>
    <col min="14594" max="14594" width="14.875" style="3035" customWidth="1"/>
    <col min="14595" max="14595" width="33.625" style="3035" customWidth="1"/>
    <col min="14596" max="14596" width="13.125" style="3035" customWidth="1"/>
    <col min="14597" max="14597" width="9" style="3035"/>
    <col min="14598" max="14598" width="11.25" style="3035" bestFit="1" customWidth="1"/>
    <col min="14599" max="14849" width="9" style="3035"/>
    <col min="14850" max="14850" width="14.875" style="3035" customWidth="1"/>
    <col min="14851" max="14851" width="33.625" style="3035" customWidth="1"/>
    <col min="14852" max="14852" width="13.125" style="3035" customWidth="1"/>
    <col min="14853" max="14853" width="9" style="3035"/>
    <col min="14854" max="14854" width="11.25" style="3035" bestFit="1" customWidth="1"/>
    <col min="14855" max="15105" width="9" style="3035"/>
    <col min="15106" max="15106" width="14.875" style="3035" customWidth="1"/>
    <col min="15107" max="15107" width="33.625" style="3035" customWidth="1"/>
    <col min="15108" max="15108" width="13.125" style="3035" customWidth="1"/>
    <col min="15109" max="15109" width="9" style="3035"/>
    <col min="15110" max="15110" width="11.25" style="3035" bestFit="1" customWidth="1"/>
    <col min="15111" max="15361" width="9" style="3035"/>
    <col min="15362" max="15362" width="14.875" style="3035" customWidth="1"/>
    <col min="15363" max="15363" width="33.625" style="3035" customWidth="1"/>
    <col min="15364" max="15364" width="13.125" style="3035" customWidth="1"/>
    <col min="15365" max="15365" width="9" style="3035"/>
    <col min="15366" max="15366" width="11.25" style="3035" bestFit="1" customWidth="1"/>
    <col min="15367" max="15617" width="9" style="3035"/>
    <col min="15618" max="15618" width="14.875" style="3035" customWidth="1"/>
    <col min="15619" max="15619" width="33.625" style="3035" customWidth="1"/>
    <col min="15620" max="15620" width="13.125" style="3035" customWidth="1"/>
    <col min="15621" max="15621" width="9" style="3035"/>
    <col min="15622" max="15622" width="11.25" style="3035" bestFit="1" customWidth="1"/>
    <col min="15623" max="15873" width="9" style="3035"/>
    <col min="15874" max="15874" width="14.875" style="3035" customWidth="1"/>
    <col min="15875" max="15875" width="33.625" style="3035" customWidth="1"/>
    <col min="15876" max="15876" width="13.125" style="3035" customWidth="1"/>
    <col min="15877" max="15877" width="9" style="3035"/>
    <col min="15878" max="15878" width="11.25" style="3035" bestFit="1" customWidth="1"/>
    <col min="15879" max="16129" width="9" style="3035"/>
    <col min="16130" max="16130" width="14.875" style="3035" customWidth="1"/>
    <col min="16131" max="16131" width="33.625" style="3035" customWidth="1"/>
    <col min="16132" max="16132" width="13.125" style="3035" customWidth="1"/>
    <col min="16133" max="16133" width="9" style="3035"/>
    <col min="16134" max="16134" width="11.25" style="3035" bestFit="1" customWidth="1"/>
    <col min="16135" max="16384" width="9" style="3035"/>
  </cols>
  <sheetData>
    <row r="1" spans="1:22">
      <c r="B1" s="3036" t="s">
        <v>3226</v>
      </c>
      <c r="C1" s="3036" t="s">
        <v>3227</v>
      </c>
      <c r="D1" s="3036" t="s">
        <v>3228</v>
      </c>
      <c r="E1" s="3036" t="s">
        <v>3229</v>
      </c>
      <c r="I1" s="3044" t="s">
        <v>3069</v>
      </c>
      <c r="J1" s="3044" t="s">
        <v>3058</v>
      </c>
      <c r="K1" s="3044" t="s">
        <v>3060</v>
      </c>
      <c r="L1" s="3044" t="s">
        <v>3058</v>
      </c>
      <c r="M1" s="3044" t="s">
        <v>3061</v>
      </c>
      <c r="N1" s="3044" t="s">
        <v>3058</v>
      </c>
      <c r="O1" s="3044" t="s">
        <v>3062</v>
      </c>
      <c r="P1" s="3044" t="s">
        <v>3058</v>
      </c>
      <c r="Q1" s="3044" t="s">
        <v>3064</v>
      </c>
      <c r="R1" s="3044" t="s">
        <v>3058</v>
      </c>
      <c r="S1" s="3044" t="s">
        <v>3063</v>
      </c>
      <c r="T1" s="3044" t="s">
        <v>3058</v>
      </c>
      <c r="U1" s="3044" t="s">
        <v>4475</v>
      </c>
      <c r="V1" s="3044" t="s">
        <v>3058</v>
      </c>
    </row>
    <row r="2" spans="1:22">
      <c r="A2" s="3035">
        <v>1</v>
      </c>
      <c r="B2" s="3035" t="s">
        <v>3230</v>
      </c>
      <c r="C2" s="3035" t="s">
        <v>4267</v>
      </c>
      <c r="D2" s="3039">
        <v>36.1387</v>
      </c>
      <c r="E2" s="3035" t="s">
        <v>1377</v>
      </c>
      <c r="I2" s="3035" t="s">
        <v>4476</v>
      </c>
      <c r="J2" s="3039">
        <v>90.895499999999998</v>
      </c>
      <c r="K2" s="3035" t="s">
        <v>4489</v>
      </c>
      <c r="L2" s="3039">
        <v>65.936000000000007</v>
      </c>
      <c r="M2" s="3035" t="s">
        <v>4490</v>
      </c>
      <c r="N2" s="3039">
        <v>55.353200000000001</v>
      </c>
      <c r="S2" s="3035" t="s">
        <v>4492</v>
      </c>
      <c r="T2" s="3039">
        <v>56.398499999999999</v>
      </c>
      <c r="U2" s="3035" t="s">
        <v>4520</v>
      </c>
      <c r="V2" s="3039">
        <v>36.1387</v>
      </c>
    </row>
    <row r="3" spans="1:22">
      <c r="A3" s="3035">
        <v>2</v>
      </c>
      <c r="B3" s="3035" t="s">
        <v>3230</v>
      </c>
      <c r="C3" s="3035" t="s">
        <v>4268</v>
      </c>
      <c r="D3" s="3039">
        <v>39.678899999999999</v>
      </c>
      <c r="E3" s="3035" t="s">
        <v>1377</v>
      </c>
      <c r="I3" s="3035" t="s">
        <v>4477</v>
      </c>
      <c r="J3" s="3039">
        <v>58.702199999999998</v>
      </c>
      <c r="M3" s="3035" t="s">
        <v>4491</v>
      </c>
      <c r="N3" s="3039">
        <v>55.061399999999999</v>
      </c>
      <c r="S3" s="3035" t="s">
        <v>4493</v>
      </c>
      <c r="T3" s="3039">
        <v>56.398499999999999</v>
      </c>
      <c r="U3" s="3035" t="s">
        <v>4521</v>
      </c>
      <c r="V3" s="3039">
        <v>39.678899999999999</v>
      </c>
    </row>
    <row r="4" spans="1:22">
      <c r="A4" s="3035">
        <v>3</v>
      </c>
      <c r="B4" s="3035" t="s">
        <v>3230</v>
      </c>
      <c r="C4" s="3035" t="s">
        <v>4269</v>
      </c>
      <c r="D4" s="3039">
        <v>39.086599999999997</v>
      </c>
      <c r="E4" s="3035" t="s">
        <v>1377</v>
      </c>
      <c r="I4" s="3035" t="s">
        <v>4478</v>
      </c>
      <c r="J4" s="3039">
        <v>58.702199999999998</v>
      </c>
      <c r="S4" s="3035" t="s">
        <v>4494</v>
      </c>
      <c r="T4" s="3039">
        <v>56.690199999999997</v>
      </c>
      <c r="U4" s="3035" t="s">
        <v>4522</v>
      </c>
      <c r="V4" s="3039">
        <v>39.086599999999997</v>
      </c>
    </row>
    <row r="5" spans="1:22">
      <c r="A5" s="3035">
        <v>4</v>
      </c>
      <c r="B5" s="3035" t="s">
        <v>3230</v>
      </c>
      <c r="C5" s="3035" t="s">
        <v>4270</v>
      </c>
      <c r="D5" s="3039">
        <v>39.086599999999997</v>
      </c>
      <c r="E5" s="3035" t="s">
        <v>1377</v>
      </c>
      <c r="I5" s="3035" t="s">
        <v>4479</v>
      </c>
      <c r="J5" s="3039">
        <v>59.003</v>
      </c>
      <c r="S5" s="3035" t="s">
        <v>4495</v>
      </c>
      <c r="T5" s="3039">
        <v>56.690199999999997</v>
      </c>
      <c r="U5" s="3035" t="s">
        <v>4523</v>
      </c>
      <c r="V5" s="3039">
        <v>39.086599999999997</v>
      </c>
    </row>
    <row r="6" spans="1:22">
      <c r="A6" s="3035">
        <v>5</v>
      </c>
      <c r="B6" s="3035" t="s">
        <v>3230</v>
      </c>
      <c r="C6" s="3035" t="s">
        <v>4271</v>
      </c>
      <c r="D6" s="3039">
        <v>39.086599999999997</v>
      </c>
      <c r="E6" s="3035" t="s">
        <v>1377</v>
      </c>
      <c r="I6" s="3035" t="s">
        <v>4480</v>
      </c>
      <c r="J6" s="3039">
        <v>59.003</v>
      </c>
      <c r="S6" s="3035" t="s">
        <v>4496</v>
      </c>
      <c r="T6" s="3039">
        <v>56.398499999999999</v>
      </c>
      <c r="U6" s="3035" t="s">
        <v>4524</v>
      </c>
      <c r="V6" s="3039">
        <v>39.086599999999997</v>
      </c>
    </row>
    <row r="7" spans="1:22">
      <c r="A7" s="3035">
        <v>6</v>
      </c>
      <c r="B7" s="3035" t="s">
        <v>3230</v>
      </c>
      <c r="C7" s="3035" t="s">
        <v>4272</v>
      </c>
      <c r="D7" s="3039">
        <v>39.086599999999997</v>
      </c>
      <c r="E7" s="3035" t="s">
        <v>1377</v>
      </c>
      <c r="I7" s="3035" t="s">
        <v>4481</v>
      </c>
      <c r="J7" s="3039">
        <v>59.003</v>
      </c>
      <c r="S7" s="3035" t="s">
        <v>4497</v>
      </c>
      <c r="T7" s="3039">
        <v>56.398499999999999</v>
      </c>
      <c r="U7" s="3035" t="s">
        <v>4525</v>
      </c>
      <c r="V7" s="3039">
        <v>39.086599999999997</v>
      </c>
    </row>
    <row r="8" spans="1:22">
      <c r="A8" s="3035">
        <v>7</v>
      </c>
      <c r="B8" s="3035" t="s">
        <v>3230</v>
      </c>
      <c r="C8" s="3035" t="s">
        <v>4273</v>
      </c>
      <c r="D8" s="3039">
        <v>39.086599999999997</v>
      </c>
      <c r="E8" s="3035" t="s">
        <v>1377</v>
      </c>
      <c r="I8" s="3035" t="s">
        <v>4482</v>
      </c>
      <c r="J8" s="3039">
        <v>105.28959999999999</v>
      </c>
      <c r="S8" s="3035" t="s">
        <v>4498</v>
      </c>
      <c r="T8" s="3039">
        <v>56.690199999999997</v>
      </c>
      <c r="U8" s="3035" t="s">
        <v>4526</v>
      </c>
      <c r="V8" s="3039">
        <v>39.086599999999997</v>
      </c>
    </row>
    <row r="9" spans="1:22">
      <c r="A9" s="3035">
        <v>8</v>
      </c>
      <c r="B9" s="3035" t="s">
        <v>3230</v>
      </c>
      <c r="C9" s="3035" t="s">
        <v>4274</v>
      </c>
      <c r="D9" s="3039">
        <v>39.086599999999997</v>
      </c>
      <c r="E9" s="3035" t="s">
        <v>1377</v>
      </c>
      <c r="I9" s="3037" t="s">
        <v>4483</v>
      </c>
      <c r="J9" s="3038">
        <v>57.072899999999997</v>
      </c>
      <c r="S9" s="3035" t="s">
        <v>4499</v>
      </c>
      <c r="T9" s="3039">
        <v>56.690199999999997</v>
      </c>
      <c r="U9" s="3035" t="s">
        <v>4527</v>
      </c>
      <c r="V9" s="3039">
        <v>39.086599999999997</v>
      </c>
    </row>
    <row r="10" spans="1:22">
      <c r="A10" s="3035">
        <v>9</v>
      </c>
      <c r="B10" s="3035" t="s">
        <v>3230</v>
      </c>
      <c r="C10" s="3035" t="s">
        <v>4275</v>
      </c>
      <c r="D10" s="3039">
        <v>55.579700000000003</v>
      </c>
      <c r="E10" s="3035" t="s">
        <v>1377</v>
      </c>
      <c r="I10" s="3037" t="s">
        <v>4484</v>
      </c>
      <c r="J10" s="3038">
        <v>56.772199999999998</v>
      </c>
      <c r="S10" s="3035" t="s">
        <v>4500</v>
      </c>
      <c r="T10" s="3039">
        <v>88.156499999999994</v>
      </c>
      <c r="U10" s="3035" t="s">
        <v>4528</v>
      </c>
      <c r="V10" s="3039">
        <v>55.579700000000003</v>
      </c>
    </row>
    <row r="11" spans="1:22">
      <c r="A11" s="3035">
        <v>10</v>
      </c>
      <c r="B11" s="3035" t="s">
        <v>3230</v>
      </c>
      <c r="C11" s="3035" t="s">
        <v>4276</v>
      </c>
      <c r="D11" s="3039">
        <v>25.432500000000001</v>
      </c>
      <c r="E11" s="3035" t="s">
        <v>1377</v>
      </c>
      <c r="I11" s="3037" t="s">
        <v>4485</v>
      </c>
      <c r="J11" s="3038">
        <v>57.072899999999997</v>
      </c>
      <c r="S11" s="3035" t="s">
        <v>4501</v>
      </c>
      <c r="T11" s="3039">
        <v>56.933300000000003</v>
      </c>
      <c r="U11" s="3035" t="s">
        <v>4529</v>
      </c>
      <c r="V11" s="3039">
        <v>25.432500000000001</v>
      </c>
    </row>
    <row r="12" spans="1:22">
      <c r="A12" s="3035">
        <v>11</v>
      </c>
      <c r="B12" s="3035" t="s">
        <v>3230</v>
      </c>
      <c r="C12" s="3035" t="s">
        <v>4277</v>
      </c>
      <c r="D12" s="3039">
        <v>35.8294</v>
      </c>
      <c r="E12" s="3035" t="s">
        <v>1377</v>
      </c>
      <c r="I12" s="3037" t="s">
        <v>4486</v>
      </c>
      <c r="J12" s="3038">
        <v>57.072899999999997</v>
      </c>
      <c r="S12" s="3035" t="s">
        <v>4502</v>
      </c>
      <c r="T12" s="3039">
        <v>56.933300000000003</v>
      </c>
      <c r="U12" s="3035" t="s">
        <v>4530</v>
      </c>
      <c r="V12" s="3039">
        <v>35.8294</v>
      </c>
    </row>
    <row r="13" spans="1:22">
      <c r="A13" s="3035">
        <v>12</v>
      </c>
      <c r="B13" s="3035" t="s">
        <v>3230</v>
      </c>
      <c r="C13" s="3035" t="s">
        <v>4278</v>
      </c>
      <c r="D13" s="3039">
        <v>33.986899999999999</v>
      </c>
      <c r="E13" s="3035" t="s">
        <v>1377</v>
      </c>
      <c r="I13" s="3037" t="s">
        <v>4487</v>
      </c>
      <c r="J13" s="3038">
        <v>60.5319</v>
      </c>
      <c r="S13" s="3035" t="s">
        <v>4503</v>
      </c>
      <c r="T13" s="3039">
        <v>57.225000000000001</v>
      </c>
      <c r="U13" s="3035" t="s">
        <v>4531</v>
      </c>
      <c r="V13" s="3039">
        <v>33.986899999999999</v>
      </c>
    </row>
    <row r="14" spans="1:22">
      <c r="A14" s="3035">
        <v>13</v>
      </c>
      <c r="B14" s="3035" t="s">
        <v>3230</v>
      </c>
      <c r="C14" s="3035" t="s">
        <v>4279</v>
      </c>
      <c r="D14" s="3039">
        <v>25.243500000000001</v>
      </c>
      <c r="E14" s="3035" t="s">
        <v>1377</v>
      </c>
      <c r="I14" s="3037" t="s">
        <v>4488</v>
      </c>
      <c r="J14" s="3038">
        <v>67.9846</v>
      </c>
      <c r="S14" s="3035" t="s">
        <v>4504</v>
      </c>
      <c r="T14" s="3039">
        <v>57.225000000000001</v>
      </c>
      <c r="U14" s="3035" t="s">
        <v>4532</v>
      </c>
      <c r="V14" s="3039">
        <v>25.243500000000001</v>
      </c>
    </row>
    <row r="15" spans="1:22">
      <c r="A15" s="3035">
        <v>14</v>
      </c>
      <c r="B15" s="3035" t="s">
        <v>3230</v>
      </c>
      <c r="C15" s="3035" t="s">
        <v>4280</v>
      </c>
      <c r="D15" s="3039">
        <v>25.786300000000001</v>
      </c>
      <c r="E15" s="3035" t="s">
        <v>1377</v>
      </c>
      <c r="S15" s="3035" t="s">
        <v>4505</v>
      </c>
      <c r="T15" s="3039">
        <v>57.225000000000001</v>
      </c>
      <c r="U15" s="3035" t="s">
        <v>4533</v>
      </c>
      <c r="V15" s="3039">
        <v>25.786300000000001</v>
      </c>
    </row>
    <row r="16" spans="1:22">
      <c r="A16" s="3035">
        <v>15</v>
      </c>
      <c r="B16" s="3035" t="s">
        <v>3230</v>
      </c>
      <c r="C16" s="3035" t="s">
        <v>4281</v>
      </c>
      <c r="D16" s="3039">
        <v>41.491199999999999</v>
      </c>
      <c r="E16" s="3035" t="s">
        <v>1377</v>
      </c>
      <c r="S16" s="3035" t="s">
        <v>4506</v>
      </c>
      <c r="T16" s="3039">
        <v>102.1169</v>
      </c>
      <c r="U16" s="3035" t="s">
        <v>4534</v>
      </c>
      <c r="V16" s="3039">
        <v>41.491199999999999</v>
      </c>
    </row>
    <row r="17" spans="1:22">
      <c r="A17" s="3035">
        <v>16</v>
      </c>
      <c r="B17" s="3035" t="s">
        <v>3230</v>
      </c>
      <c r="C17" s="3035" t="s">
        <v>4282</v>
      </c>
      <c r="D17" s="3039">
        <v>38.181899999999999</v>
      </c>
      <c r="E17" s="3035" t="s">
        <v>1377</v>
      </c>
      <c r="S17" s="3035" t="s">
        <v>4507</v>
      </c>
      <c r="T17" s="3039">
        <v>55.353200000000001</v>
      </c>
      <c r="U17" s="3035" t="s">
        <v>4535</v>
      </c>
      <c r="V17" s="3039">
        <v>38.181899999999999</v>
      </c>
    </row>
    <row r="18" spans="1:22">
      <c r="A18" s="3035">
        <v>17</v>
      </c>
      <c r="B18" s="3035" t="s">
        <v>3230</v>
      </c>
      <c r="C18" s="3035" t="s">
        <v>4283</v>
      </c>
      <c r="D18" s="3039">
        <v>38.181899999999999</v>
      </c>
      <c r="E18" s="3035" t="s">
        <v>1377</v>
      </c>
      <c r="S18" s="3035" t="s">
        <v>4508</v>
      </c>
      <c r="T18" s="3039">
        <v>55.061399999999999</v>
      </c>
      <c r="U18" s="3035" t="s">
        <v>4536</v>
      </c>
      <c r="V18" s="3039">
        <v>38.181899999999999</v>
      </c>
    </row>
    <row r="19" spans="1:22">
      <c r="A19" s="3035">
        <v>18</v>
      </c>
      <c r="B19" s="3035" t="s">
        <v>3230</v>
      </c>
      <c r="C19" s="3035" t="s">
        <v>4284</v>
      </c>
      <c r="D19" s="3039">
        <v>38.181899999999999</v>
      </c>
      <c r="E19" s="3035" t="s">
        <v>1377</v>
      </c>
      <c r="S19" s="3035" t="s">
        <v>4509</v>
      </c>
      <c r="T19" s="3039">
        <v>55.353200000000001</v>
      </c>
      <c r="U19" s="3035" t="s">
        <v>4537</v>
      </c>
      <c r="V19" s="3039">
        <v>38.181899999999999</v>
      </c>
    </row>
    <row r="20" spans="1:22">
      <c r="A20" s="3035">
        <v>19</v>
      </c>
      <c r="B20" s="3035" t="s">
        <v>3230</v>
      </c>
      <c r="C20" s="3035" t="s">
        <v>4285</v>
      </c>
      <c r="D20" s="3039">
        <v>38.181899999999999</v>
      </c>
      <c r="E20" s="3035" t="s">
        <v>1377</v>
      </c>
      <c r="S20" s="3035" t="s">
        <v>4510</v>
      </c>
      <c r="T20" s="3039">
        <v>55.353200000000001</v>
      </c>
      <c r="U20" s="3035" t="s">
        <v>4538</v>
      </c>
      <c r="V20" s="3039">
        <v>38.181899999999999</v>
      </c>
    </row>
    <row r="21" spans="1:22">
      <c r="A21" s="3035">
        <v>20</v>
      </c>
      <c r="B21" s="3035" t="s">
        <v>3230</v>
      </c>
      <c r="C21" s="3035" t="s">
        <v>4286</v>
      </c>
      <c r="D21" s="3039">
        <v>38.181899999999999</v>
      </c>
      <c r="E21" s="3035" t="s">
        <v>1377</v>
      </c>
      <c r="S21" s="3035" t="s">
        <v>4511</v>
      </c>
      <c r="T21" s="3039">
        <v>55.061399999999999</v>
      </c>
      <c r="U21" s="3035" t="s">
        <v>4539</v>
      </c>
      <c r="V21" s="3039">
        <v>38.181899999999999</v>
      </c>
    </row>
    <row r="22" spans="1:22">
      <c r="A22" s="3035">
        <v>21</v>
      </c>
      <c r="B22" s="3035" t="s">
        <v>3230</v>
      </c>
      <c r="C22" s="3035" t="s">
        <v>4287</v>
      </c>
      <c r="D22" s="3039">
        <v>38.181899999999999</v>
      </c>
      <c r="E22" s="3035" t="s">
        <v>1377</v>
      </c>
      <c r="S22" s="3035" t="s">
        <v>4512</v>
      </c>
      <c r="T22" s="3039">
        <v>55.061399999999999</v>
      </c>
      <c r="U22" s="3035" t="s">
        <v>4540</v>
      </c>
      <c r="V22" s="3039">
        <v>38.181899999999999</v>
      </c>
    </row>
    <row r="23" spans="1:22">
      <c r="A23" s="3035">
        <v>22</v>
      </c>
      <c r="B23" s="3035" t="s">
        <v>3230</v>
      </c>
      <c r="C23" s="3035" t="s">
        <v>4288</v>
      </c>
      <c r="D23" s="3039">
        <v>38.181899999999999</v>
      </c>
      <c r="E23" s="3035" t="s">
        <v>1377</v>
      </c>
      <c r="S23" s="3035" t="s">
        <v>4513</v>
      </c>
      <c r="T23" s="3039">
        <v>55.353200000000001</v>
      </c>
      <c r="U23" s="3035" t="s">
        <v>4541</v>
      </c>
      <c r="V23" s="3039">
        <v>38.181899999999999</v>
      </c>
    </row>
    <row r="24" spans="1:22">
      <c r="A24" s="3035">
        <v>23</v>
      </c>
      <c r="B24" s="3035" t="s">
        <v>3230</v>
      </c>
      <c r="C24" s="3035" t="s">
        <v>4289</v>
      </c>
      <c r="D24" s="3039">
        <v>55.025100000000002</v>
      </c>
      <c r="E24" s="3035" t="s">
        <v>1377</v>
      </c>
      <c r="S24" s="3035" t="s">
        <v>4514</v>
      </c>
      <c r="T24" s="3039">
        <v>55.353200000000001</v>
      </c>
      <c r="U24" s="3035" t="s">
        <v>4542</v>
      </c>
      <c r="V24" s="3039">
        <v>55.025100000000002</v>
      </c>
    </row>
    <row r="25" spans="1:22">
      <c r="A25" s="3035">
        <v>24</v>
      </c>
      <c r="B25" s="3035" t="s">
        <v>3230</v>
      </c>
      <c r="C25" s="3035" t="s">
        <v>4290</v>
      </c>
      <c r="D25" s="3039">
        <v>51.457500000000003</v>
      </c>
      <c r="E25" s="3035" t="s">
        <v>1377</v>
      </c>
      <c r="S25" s="3035" t="s">
        <v>4515</v>
      </c>
      <c r="T25" s="3039">
        <v>57.869199999999999</v>
      </c>
      <c r="U25" s="3035" t="s">
        <v>4543</v>
      </c>
      <c r="V25" s="3039">
        <v>51.457500000000003</v>
      </c>
    </row>
    <row r="26" spans="1:22">
      <c r="A26" s="3035">
        <v>25</v>
      </c>
      <c r="B26" s="3035" t="s">
        <v>3230</v>
      </c>
      <c r="C26" s="3035" t="s">
        <v>4291</v>
      </c>
      <c r="D26" s="3039">
        <v>58.7667</v>
      </c>
      <c r="E26" s="3035" t="s">
        <v>1377</v>
      </c>
      <c r="S26" s="3035" t="s">
        <v>4516</v>
      </c>
      <c r="T26" s="3039">
        <v>55.353200000000001</v>
      </c>
      <c r="U26" s="3035" t="s">
        <v>4544</v>
      </c>
      <c r="V26" s="3039">
        <v>58.7667</v>
      </c>
    </row>
    <row r="27" spans="1:22">
      <c r="A27" s="3035">
        <v>26</v>
      </c>
      <c r="B27" s="3035" t="s">
        <v>3230</v>
      </c>
      <c r="C27" s="3035" t="s">
        <v>4292</v>
      </c>
      <c r="D27" s="3039">
        <v>44.619500000000002</v>
      </c>
      <c r="E27" s="3035" t="s">
        <v>1377</v>
      </c>
      <c r="S27" s="3035" t="s">
        <v>4517</v>
      </c>
      <c r="T27" s="3039">
        <v>55.353200000000001</v>
      </c>
      <c r="U27" s="3035" t="s">
        <v>4545</v>
      </c>
      <c r="V27" s="3039">
        <v>44.619500000000002</v>
      </c>
    </row>
    <row r="28" spans="1:22">
      <c r="A28" s="3035">
        <v>27</v>
      </c>
      <c r="B28" s="3035" t="s">
        <v>3230</v>
      </c>
      <c r="C28" s="3035" t="s">
        <v>4293</v>
      </c>
      <c r="D28" s="3039">
        <v>44.619500000000002</v>
      </c>
      <c r="E28" s="3035" t="s">
        <v>1377</v>
      </c>
      <c r="S28" s="3035" t="s">
        <v>4518</v>
      </c>
      <c r="T28" s="3039">
        <v>65.936000000000007</v>
      </c>
      <c r="U28" s="3035" t="s">
        <v>4546</v>
      </c>
      <c r="V28" s="3039">
        <v>44.619500000000002</v>
      </c>
    </row>
    <row r="29" spans="1:22">
      <c r="A29" s="3035">
        <v>28</v>
      </c>
      <c r="B29" s="3035" t="s">
        <v>3230</v>
      </c>
      <c r="C29" s="3035" t="s">
        <v>4294</v>
      </c>
      <c r="D29" s="3039">
        <v>36.147500000000001</v>
      </c>
      <c r="E29" s="3035" t="s">
        <v>1377</v>
      </c>
      <c r="S29" s="3035" t="s">
        <v>4519</v>
      </c>
      <c r="T29" s="3039">
        <v>65.936000000000007</v>
      </c>
      <c r="U29" s="3035" t="s">
        <v>4547</v>
      </c>
      <c r="V29" s="3039">
        <v>36.147500000000001</v>
      </c>
    </row>
    <row r="30" spans="1:22">
      <c r="A30" s="3035">
        <v>29</v>
      </c>
      <c r="B30" s="3035" t="s">
        <v>3230</v>
      </c>
      <c r="C30" s="3035" t="s">
        <v>4295</v>
      </c>
      <c r="D30" s="3039">
        <v>112.2637</v>
      </c>
      <c r="E30" s="3035" t="s">
        <v>1377</v>
      </c>
      <c r="H30" s="3035" t="s">
        <v>4472</v>
      </c>
      <c r="J30" s="3035">
        <f>SUM(J2:J14)</f>
        <v>847.10589999999991</v>
      </c>
      <c r="L30" s="3035">
        <f>SUM(L2)</f>
        <v>65.936000000000007</v>
      </c>
      <c r="N30" s="3035">
        <f>SUM(N2:N3)</f>
        <v>110.41460000000001</v>
      </c>
      <c r="T30" s="3035">
        <f>SUM(T2:T29)</f>
        <v>1670.5676000000003</v>
      </c>
      <c r="U30" s="3035" t="s">
        <v>4548</v>
      </c>
      <c r="V30" s="3039">
        <v>112.2637</v>
      </c>
    </row>
    <row r="31" spans="1:22">
      <c r="A31" s="3035">
        <v>30</v>
      </c>
      <c r="B31" s="3035" t="s">
        <v>3230</v>
      </c>
      <c r="C31" s="3035" t="s">
        <v>4296</v>
      </c>
      <c r="D31" s="3039">
        <v>112.5994</v>
      </c>
      <c r="E31" s="3035" t="s">
        <v>1377</v>
      </c>
      <c r="H31" s="3035" t="s">
        <v>4473</v>
      </c>
      <c r="I31" s="3035">
        <f>J30+L30+N30+P30+R30+T30</f>
        <v>2694.0241000000005</v>
      </c>
      <c r="U31" s="3035" t="s">
        <v>4549</v>
      </c>
      <c r="V31" s="3039">
        <v>112.5994</v>
      </c>
    </row>
    <row r="32" spans="1:22">
      <c r="A32" s="3035">
        <v>31</v>
      </c>
      <c r="B32" s="3035" t="s">
        <v>3230</v>
      </c>
      <c r="C32" s="3035" t="s">
        <v>4297</v>
      </c>
      <c r="D32" s="3039">
        <v>115.2454</v>
      </c>
      <c r="E32" s="3035" t="s">
        <v>1377</v>
      </c>
      <c r="U32" s="3035" t="s">
        <v>4550</v>
      </c>
      <c r="V32" s="3039">
        <v>115.2454</v>
      </c>
    </row>
    <row r="33" spans="1:22">
      <c r="A33" s="3035">
        <v>32</v>
      </c>
      <c r="B33" s="3035" t="s">
        <v>3230</v>
      </c>
      <c r="C33" s="3035" t="s">
        <v>4298</v>
      </c>
      <c r="D33" s="3039">
        <v>115.2454</v>
      </c>
      <c r="E33" s="3035" t="s">
        <v>1377</v>
      </c>
      <c r="U33" s="3035" t="s">
        <v>4551</v>
      </c>
      <c r="V33" s="3039">
        <v>115.2454</v>
      </c>
    </row>
    <row r="34" spans="1:22">
      <c r="A34" s="3035">
        <v>33</v>
      </c>
      <c r="B34" s="3035" t="s">
        <v>3230</v>
      </c>
      <c r="C34" s="3035" t="s">
        <v>4299</v>
      </c>
      <c r="D34" s="3039">
        <v>199.4117</v>
      </c>
      <c r="E34" s="3035" t="s">
        <v>1377</v>
      </c>
      <c r="U34" s="3035" t="s">
        <v>4552</v>
      </c>
      <c r="V34" s="3039">
        <v>199.4117</v>
      </c>
    </row>
    <row r="35" spans="1:22">
      <c r="A35" s="3035">
        <v>34</v>
      </c>
      <c r="B35" s="3035" t="s">
        <v>3230</v>
      </c>
      <c r="C35" s="3035" t="s">
        <v>4300</v>
      </c>
      <c r="D35" s="3039">
        <v>132.18940000000001</v>
      </c>
      <c r="E35" s="3035" t="s">
        <v>1377</v>
      </c>
      <c r="U35" s="3035" t="s">
        <v>4553</v>
      </c>
      <c r="V35" s="3039">
        <v>132.18940000000001</v>
      </c>
    </row>
    <row r="36" spans="1:22">
      <c r="A36" s="3035">
        <v>35</v>
      </c>
      <c r="B36" s="3035" t="s">
        <v>3230</v>
      </c>
      <c r="C36" s="3035" t="s">
        <v>4301</v>
      </c>
      <c r="D36" s="3039">
        <v>132.18940000000001</v>
      </c>
      <c r="E36" s="3035" t="s">
        <v>1377</v>
      </c>
      <c r="U36" s="3035" t="s">
        <v>4554</v>
      </c>
      <c r="V36" s="3039">
        <v>132.18940000000001</v>
      </c>
    </row>
    <row r="37" spans="1:22">
      <c r="A37" s="3035">
        <v>36</v>
      </c>
      <c r="B37" s="3035" t="s">
        <v>3230</v>
      </c>
      <c r="C37" s="3035" t="s">
        <v>4302</v>
      </c>
      <c r="D37" s="3039">
        <v>188.45400000000001</v>
      </c>
      <c r="E37" s="3035" t="s">
        <v>1377</v>
      </c>
      <c r="U37" s="3035" t="s">
        <v>4555</v>
      </c>
      <c r="V37" s="3039">
        <v>188.45400000000001</v>
      </c>
    </row>
    <row r="38" spans="1:22">
      <c r="A38" s="3035">
        <v>37</v>
      </c>
      <c r="B38" s="3035" t="s">
        <v>3230</v>
      </c>
      <c r="C38" s="3035" t="s">
        <v>4303</v>
      </c>
      <c r="D38" s="3039">
        <v>143.2807</v>
      </c>
      <c r="E38" s="3035" t="s">
        <v>1377</v>
      </c>
      <c r="U38" s="3035" t="s">
        <v>4556</v>
      </c>
      <c r="V38" s="3039">
        <v>143.2807</v>
      </c>
    </row>
    <row r="39" spans="1:22">
      <c r="A39" s="3035">
        <v>38</v>
      </c>
      <c r="B39" s="3035" t="s">
        <v>3230</v>
      </c>
      <c r="C39" s="3035" t="s">
        <v>4304</v>
      </c>
      <c r="D39" s="3039">
        <v>112.57769999999999</v>
      </c>
      <c r="E39" s="3035" t="s">
        <v>1377</v>
      </c>
      <c r="U39" s="3035" t="s">
        <v>4557</v>
      </c>
      <c r="V39" s="3039">
        <v>112.57769999999999</v>
      </c>
    </row>
    <row r="40" spans="1:22">
      <c r="A40" s="3035">
        <v>39</v>
      </c>
      <c r="B40" s="3035" t="s">
        <v>3230</v>
      </c>
      <c r="C40" s="3035" t="s">
        <v>4305</v>
      </c>
      <c r="D40" s="3039">
        <v>112.57769999999999</v>
      </c>
      <c r="E40" s="3035" t="s">
        <v>1377</v>
      </c>
      <c r="U40" s="3035" t="s">
        <v>4558</v>
      </c>
      <c r="V40" s="3039">
        <v>112.57769999999999</v>
      </c>
    </row>
    <row r="41" spans="1:22">
      <c r="A41" s="3035">
        <v>40</v>
      </c>
      <c r="B41" s="3035" t="s">
        <v>3230</v>
      </c>
      <c r="C41" s="3035" t="s">
        <v>4306</v>
      </c>
      <c r="D41" s="3039">
        <v>91.129199999999997</v>
      </c>
      <c r="E41" s="3035" t="s">
        <v>1377</v>
      </c>
      <c r="U41" s="3035" t="s">
        <v>4559</v>
      </c>
      <c r="V41" s="3039">
        <v>91.129199999999997</v>
      </c>
    </row>
    <row r="42" spans="1:22">
      <c r="A42" s="3035">
        <v>41</v>
      </c>
      <c r="B42" s="3035" t="s">
        <v>3230</v>
      </c>
      <c r="C42" s="3035" t="s">
        <v>4307</v>
      </c>
      <c r="D42" s="3039">
        <v>57.7318</v>
      </c>
      <c r="E42" s="3035" t="s">
        <v>1377</v>
      </c>
      <c r="U42" s="3035" t="s">
        <v>4560</v>
      </c>
      <c r="V42" s="3039">
        <v>57.7318</v>
      </c>
    </row>
    <row r="43" spans="1:22">
      <c r="A43" s="3035">
        <v>42</v>
      </c>
      <c r="B43" s="3035" t="s">
        <v>3230</v>
      </c>
      <c r="C43" s="3035" t="s">
        <v>4308</v>
      </c>
      <c r="D43" s="3039">
        <v>58.5685</v>
      </c>
      <c r="E43" s="3035" t="s">
        <v>1377</v>
      </c>
      <c r="U43" s="3035" t="s">
        <v>4561</v>
      </c>
      <c r="V43" s="3039">
        <v>58.5685</v>
      </c>
    </row>
    <row r="44" spans="1:22">
      <c r="A44" s="3035">
        <v>43</v>
      </c>
      <c r="B44" s="3035" t="s">
        <v>3230</v>
      </c>
      <c r="C44" s="3035" t="s">
        <v>4309</v>
      </c>
      <c r="D44" s="3039">
        <v>63.900599999999997</v>
      </c>
      <c r="E44" s="3035" t="s">
        <v>1377</v>
      </c>
      <c r="U44" s="3035" t="s">
        <v>4562</v>
      </c>
      <c r="V44" s="3039">
        <v>63.900599999999997</v>
      </c>
    </row>
    <row r="45" spans="1:22">
      <c r="A45" s="3035">
        <v>44</v>
      </c>
      <c r="B45" s="3035" t="s">
        <v>3230</v>
      </c>
      <c r="C45" s="3035" t="s">
        <v>4310</v>
      </c>
      <c r="D45" s="3039">
        <v>128.53829999999999</v>
      </c>
      <c r="E45" s="3035" t="s">
        <v>1377</v>
      </c>
      <c r="U45" s="3035" t="s">
        <v>4563</v>
      </c>
      <c r="V45" s="3039">
        <v>128.53829999999999</v>
      </c>
    </row>
    <row r="46" spans="1:22">
      <c r="A46" s="3035">
        <v>53</v>
      </c>
      <c r="B46" s="3035" t="s">
        <v>3230</v>
      </c>
      <c r="C46" s="3035" t="s">
        <v>4311</v>
      </c>
      <c r="D46" s="3039">
        <v>90.895499999999998</v>
      </c>
      <c r="E46" s="3035" t="s">
        <v>1377</v>
      </c>
      <c r="V46" s="3035">
        <f>SUM(V2:V45)</f>
        <v>2987.4986999999996</v>
      </c>
    </row>
    <row r="47" spans="1:22">
      <c r="A47" s="3035">
        <v>54</v>
      </c>
      <c r="B47" s="3035" t="s">
        <v>3230</v>
      </c>
      <c r="C47" s="3035" t="s">
        <v>4312</v>
      </c>
      <c r="D47" s="3039">
        <v>58.702199999999998</v>
      </c>
      <c r="E47" s="3035" t="s">
        <v>1377</v>
      </c>
    </row>
    <row r="48" spans="1:22">
      <c r="A48" s="3035">
        <v>55</v>
      </c>
      <c r="B48" s="3035" t="s">
        <v>3230</v>
      </c>
      <c r="C48" s="3035" t="s">
        <v>4313</v>
      </c>
      <c r="D48" s="3039">
        <v>58.702199999999998</v>
      </c>
      <c r="E48" s="3035" t="s">
        <v>1377</v>
      </c>
    </row>
    <row r="49" spans="1:5">
      <c r="A49" s="3035">
        <v>56</v>
      </c>
      <c r="B49" s="3035" t="s">
        <v>3230</v>
      </c>
      <c r="C49" s="3035" t="s">
        <v>4314</v>
      </c>
      <c r="D49" s="3039">
        <v>59.003</v>
      </c>
      <c r="E49" s="3035" t="s">
        <v>1377</v>
      </c>
    </row>
    <row r="50" spans="1:5">
      <c r="A50" s="3035">
        <v>57</v>
      </c>
      <c r="B50" s="3035" t="s">
        <v>3230</v>
      </c>
      <c r="C50" s="3035" t="s">
        <v>4315</v>
      </c>
      <c r="D50" s="3039">
        <v>59.003</v>
      </c>
      <c r="E50" s="3035" t="s">
        <v>1377</v>
      </c>
    </row>
    <row r="51" spans="1:5">
      <c r="A51" s="3035">
        <v>58</v>
      </c>
      <c r="B51" s="3035" t="s">
        <v>3230</v>
      </c>
      <c r="C51" s="3035" t="s">
        <v>4316</v>
      </c>
      <c r="D51" s="3039">
        <v>59.003</v>
      </c>
      <c r="E51" s="3035" t="s">
        <v>1377</v>
      </c>
    </row>
    <row r="52" spans="1:5">
      <c r="A52" s="3035">
        <v>59</v>
      </c>
      <c r="B52" s="3035" t="s">
        <v>3230</v>
      </c>
      <c r="C52" s="3035" t="s">
        <v>4317</v>
      </c>
      <c r="D52" s="3039">
        <v>105.28959999999999</v>
      </c>
      <c r="E52" s="3035" t="s">
        <v>1377</v>
      </c>
    </row>
    <row r="53" spans="1:5" s="3037" customFormat="1">
      <c r="A53" s="3037">
        <v>60</v>
      </c>
      <c r="B53" s="3037" t="s">
        <v>3230</v>
      </c>
      <c r="C53" s="3037" t="s">
        <v>4318</v>
      </c>
      <c r="D53" s="3038">
        <v>57.072899999999997</v>
      </c>
      <c r="E53" s="3037" t="s">
        <v>1377</v>
      </c>
    </row>
    <row r="54" spans="1:5" s="3037" customFormat="1">
      <c r="A54" s="3037">
        <v>62</v>
      </c>
      <c r="B54" s="3037" t="s">
        <v>3230</v>
      </c>
      <c r="C54" s="3037" t="s">
        <v>4319</v>
      </c>
      <c r="D54" s="3038">
        <v>56.772199999999998</v>
      </c>
      <c r="E54" s="3037" t="s">
        <v>1377</v>
      </c>
    </row>
    <row r="55" spans="1:5" s="3037" customFormat="1">
      <c r="A55" s="3037">
        <v>63</v>
      </c>
      <c r="B55" s="3037" t="s">
        <v>3230</v>
      </c>
      <c r="C55" s="3037" t="s">
        <v>4320</v>
      </c>
      <c r="D55" s="3038">
        <v>57.072899999999997</v>
      </c>
      <c r="E55" s="3037" t="s">
        <v>1377</v>
      </c>
    </row>
    <row r="56" spans="1:5" s="3037" customFormat="1">
      <c r="A56" s="3037">
        <v>64</v>
      </c>
      <c r="B56" s="3037" t="s">
        <v>3230</v>
      </c>
      <c r="C56" s="3037" t="s">
        <v>4321</v>
      </c>
      <c r="D56" s="3038">
        <v>57.072899999999997</v>
      </c>
      <c r="E56" s="3037" t="s">
        <v>1377</v>
      </c>
    </row>
    <row r="57" spans="1:5" s="3037" customFormat="1">
      <c r="A57" s="3037">
        <v>70</v>
      </c>
      <c r="B57" s="3037" t="s">
        <v>3230</v>
      </c>
      <c r="C57" s="3037" t="s">
        <v>4322</v>
      </c>
      <c r="D57" s="3038">
        <v>60.5319</v>
      </c>
      <c r="E57" s="3037" t="s">
        <v>1377</v>
      </c>
    </row>
    <row r="58" spans="1:5" s="3037" customFormat="1">
      <c r="A58" s="3037">
        <v>71</v>
      </c>
      <c r="B58" s="3037" t="s">
        <v>3230</v>
      </c>
      <c r="C58" s="3037" t="s">
        <v>4323</v>
      </c>
      <c r="D58" s="3038">
        <v>67.9846</v>
      </c>
      <c r="E58" s="3037" t="s">
        <v>1377</v>
      </c>
    </row>
    <row r="59" spans="1:5">
      <c r="A59" s="3035">
        <v>101</v>
      </c>
      <c r="B59" s="3035" t="s">
        <v>3230</v>
      </c>
      <c r="C59" s="3035" t="s">
        <v>4324</v>
      </c>
      <c r="D59" s="3039">
        <v>65.936000000000007</v>
      </c>
      <c r="E59" s="3035" t="s">
        <v>1377</v>
      </c>
    </row>
    <row r="60" spans="1:5">
      <c r="A60" s="3035">
        <v>117</v>
      </c>
      <c r="B60" s="3035" t="s">
        <v>3230</v>
      </c>
      <c r="C60" s="3035" t="s">
        <v>4325</v>
      </c>
      <c r="D60" s="3039">
        <v>55.353200000000001</v>
      </c>
      <c r="E60" s="3035" t="s">
        <v>1377</v>
      </c>
    </row>
    <row r="61" spans="1:5">
      <c r="A61" s="3035">
        <v>118</v>
      </c>
      <c r="B61" s="3035" t="s">
        <v>3230</v>
      </c>
      <c r="C61" s="3035" t="s">
        <v>4326</v>
      </c>
      <c r="D61" s="3039">
        <v>55.061399999999999</v>
      </c>
      <c r="E61" s="3035" t="s">
        <v>1377</v>
      </c>
    </row>
    <row r="62" spans="1:5">
      <c r="A62" s="3035">
        <v>182</v>
      </c>
      <c r="B62" s="3035" t="s">
        <v>3230</v>
      </c>
      <c r="C62" s="3035" t="s">
        <v>4327</v>
      </c>
      <c r="D62" s="3039">
        <v>55.353200000000001</v>
      </c>
      <c r="E62" s="3035" t="s">
        <v>1377</v>
      </c>
    </row>
    <row r="63" spans="1:5">
      <c r="A63" s="3035">
        <v>199</v>
      </c>
      <c r="B63" s="3035" t="s">
        <v>3230</v>
      </c>
      <c r="C63" s="3035" t="s">
        <v>4328</v>
      </c>
      <c r="D63" s="3039">
        <v>56.933300000000003</v>
      </c>
      <c r="E63" s="3035" t="s">
        <v>1377</v>
      </c>
    </row>
    <row r="64" spans="1:5">
      <c r="A64" s="3035">
        <v>201</v>
      </c>
      <c r="B64" s="3035" t="s">
        <v>3230</v>
      </c>
      <c r="C64" s="3035" t="s">
        <v>4329</v>
      </c>
      <c r="D64" s="3039">
        <v>57.225000000000001</v>
      </c>
      <c r="E64" s="3035" t="s">
        <v>1377</v>
      </c>
    </row>
    <row r="65" spans="1:5">
      <c r="A65" s="3035">
        <v>202</v>
      </c>
      <c r="B65" s="3035" t="s">
        <v>3230</v>
      </c>
      <c r="C65" s="3035" t="s">
        <v>4330</v>
      </c>
      <c r="D65" s="3039">
        <v>57.225000000000001</v>
      </c>
      <c r="E65" s="3035" t="s">
        <v>1377</v>
      </c>
    </row>
    <row r="66" spans="1:5">
      <c r="A66" s="3035">
        <v>204</v>
      </c>
      <c r="B66" s="3035" t="s">
        <v>3230</v>
      </c>
      <c r="C66" s="3035" t="s">
        <v>4331</v>
      </c>
      <c r="D66" s="3039">
        <v>55.353200000000001</v>
      </c>
      <c r="E66" s="3035" t="s">
        <v>1377</v>
      </c>
    </row>
    <row r="67" spans="1:5">
      <c r="A67" s="3035">
        <v>205</v>
      </c>
      <c r="B67" s="3035" t="s">
        <v>3230</v>
      </c>
      <c r="C67" s="3035" t="s">
        <v>4332</v>
      </c>
      <c r="D67" s="3039">
        <v>55.061399999999999</v>
      </c>
      <c r="E67" s="3035" t="s">
        <v>1377</v>
      </c>
    </row>
    <row r="68" spans="1:5">
      <c r="A68" s="3035">
        <v>206</v>
      </c>
      <c r="B68" s="3035" t="s">
        <v>3230</v>
      </c>
      <c r="C68" s="3035" t="s">
        <v>4333</v>
      </c>
      <c r="D68" s="3039">
        <v>55.061399999999999</v>
      </c>
      <c r="E68" s="3035" t="s">
        <v>1377</v>
      </c>
    </row>
    <row r="69" spans="1:5">
      <c r="A69" s="3035">
        <v>207</v>
      </c>
      <c r="B69" s="3035" t="s">
        <v>3230</v>
      </c>
      <c r="C69" s="3035" t="s">
        <v>4334</v>
      </c>
      <c r="D69" s="3039">
        <v>55.353200000000001</v>
      </c>
      <c r="E69" s="3035" t="s">
        <v>1377</v>
      </c>
    </row>
    <row r="70" spans="1:5">
      <c r="A70" s="3035">
        <v>208</v>
      </c>
      <c r="B70" s="3035" t="s">
        <v>3230</v>
      </c>
      <c r="C70" s="3035" t="s">
        <v>4335</v>
      </c>
      <c r="D70" s="3039">
        <v>55.353200000000001</v>
      </c>
      <c r="E70" s="3035" t="s">
        <v>1377</v>
      </c>
    </row>
    <row r="71" spans="1:5">
      <c r="A71" s="3035">
        <v>211</v>
      </c>
      <c r="B71" s="3035" t="s">
        <v>3230</v>
      </c>
      <c r="C71" s="3035" t="s">
        <v>4336</v>
      </c>
      <c r="D71" s="3039">
        <v>55.353200000000001</v>
      </c>
      <c r="E71" s="3035" t="s">
        <v>1377</v>
      </c>
    </row>
    <row r="72" spans="1:5">
      <c r="A72" s="3035">
        <v>276</v>
      </c>
      <c r="B72" s="3035" t="s">
        <v>3230</v>
      </c>
      <c r="C72" s="3035" t="s">
        <v>4337</v>
      </c>
      <c r="D72" s="3039">
        <v>56.398499999999999</v>
      </c>
      <c r="E72" s="3035" t="s">
        <v>1377</v>
      </c>
    </row>
    <row r="73" spans="1:5">
      <c r="A73" s="3035">
        <v>277</v>
      </c>
      <c r="B73" s="3035" t="s">
        <v>3230</v>
      </c>
      <c r="C73" s="3035" t="s">
        <v>4338</v>
      </c>
      <c r="D73" s="3039">
        <v>56.398499999999999</v>
      </c>
      <c r="E73" s="3035" t="s">
        <v>1377</v>
      </c>
    </row>
    <row r="74" spans="1:5">
      <c r="A74" s="3035">
        <v>278</v>
      </c>
      <c r="B74" s="3035" t="s">
        <v>3230</v>
      </c>
      <c r="C74" s="3035" t="s">
        <v>4339</v>
      </c>
      <c r="D74" s="3039">
        <v>56.690199999999997</v>
      </c>
      <c r="E74" s="3035" t="s">
        <v>1377</v>
      </c>
    </row>
    <row r="75" spans="1:5">
      <c r="A75" s="3035">
        <v>279</v>
      </c>
      <c r="B75" s="3035" t="s">
        <v>3230</v>
      </c>
      <c r="C75" s="3035" t="s">
        <v>4340</v>
      </c>
      <c r="D75" s="3039">
        <v>56.690199999999997</v>
      </c>
      <c r="E75" s="3035" t="s">
        <v>1377</v>
      </c>
    </row>
    <row r="76" spans="1:5">
      <c r="A76" s="3035">
        <v>280</v>
      </c>
      <c r="B76" s="3035" t="s">
        <v>3230</v>
      </c>
      <c r="C76" s="3035" t="s">
        <v>4341</v>
      </c>
      <c r="D76" s="3039">
        <v>56.398499999999999</v>
      </c>
      <c r="E76" s="3035" t="s">
        <v>1377</v>
      </c>
    </row>
    <row r="77" spans="1:5">
      <c r="A77" s="3035">
        <v>281</v>
      </c>
      <c r="B77" s="3035" t="s">
        <v>3230</v>
      </c>
      <c r="C77" s="3035" t="s">
        <v>4342</v>
      </c>
      <c r="D77" s="3039">
        <v>56.398499999999999</v>
      </c>
      <c r="E77" s="3035" t="s">
        <v>1377</v>
      </c>
    </row>
    <row r="78" spans="1:5">
      <c r="A78" s="3035">
        <v>282</v>
      </c>
      <c r="B78" s="3035" t="s">
        <v>3230</v>
      </c>
      <c r="C78" s="3035" t="s">
        <v>4343</v>
      </c>
      <c r="D78" s="3039">
        <v>56.690199999999997</v>
      </c>
      <c r="E78" s="3035" t="s">
        <v>1377</v>
      </c>
    </row>
    <row r="79" spans="1:5">
      <c r="A79" s="3035">
        <v>283</v>
      </c>
      <c r="B79" s="3035" t="s">
        <v>3230</v>
      </c>
      <c r="C79" s="3035" t="s">
        <v>4344</v>
      </c>
      <c r="D79" s="3039">
        <v>56.690199999999997</v>
      </c>
      <c r="E79" s="3035" t="s">
        <v>1377</v>
      </c>
    </row>
    <row r="80" spans="1:5">
      <c r="A80" s="3035">
        <v>284</v>
      </c>
      <c r="B80" s="3035" t="s">
        <v>3230</v>
      </c>
      <c r="C80" s="3035" t="s">
        <v>4345</v>
      </c>
      <c r="D80" s="3039">
        <v>88.156499999999994</v>
      </c>
      <c r="E80" s="3035" t="s">
        <v>1377</v>
      </c>
    </row>
    <row r="81" spans="1:5">
      <c r="A81" s="3035">
        <v>285</v>
      </c>
      <c r="B81" s="3035" t="s">
        <v>3230</v>
      </c>
      <c r="C81" s="3035" t="s">
        <v>4346</v>
      </c>
      <c r="D81" s="3039">
        <v>56.933300000000003</v>
      </c>
      <c r="E81" s="3035" t="s">
        <v>1377</v>
      </c>
    </row>
    <row r="82" spans="1:5">
      <c r="A82" s="3035">
        <v>286</v>
      </c>
      <c r="B82" s="3035" t="s">
        <v>3230</v>
      </c>
      <c r="C82" s="3035" t="s">
        <v>4347</v>
      </c>
      <c r="D82" s="3039">
        <v>56.933300000000003</v>
      </c>
      <c r="E82" s="3035" t="s">
        <v>1377</v>
      </c>
    </row>
    <row r="83" spans="1:5">
      <c r="A83" s="3035">
        <v>287</v>
      </c>
      <c r="B83" s="3035" t="s">
        <v>3230</v>
      </c>
      <c r="C83" s="3035" t="s">
        <v>4348</v>
      </c>
      <c r="D83" s="3039">
        <v>57.225000000000001</v>
      </c>
      <c r="E83" s="3035" t="s">
        <v>1377</v>
      </c>
    </row>
    <row r="84" spans="1:5">
      <c r="A84" s="3035">
        <v>288</v>
      </c>
      <c r="B84" s="3035" t="s">
        <v>3230</v>
      </c>
      <c r="C84" s="3035" t="s">
        <v>4349</v>
      </c>
      <c r="D84" s="3039">
        <v>57.225000000000001</v>
      </c>
      <c r="E84" s="3035" t="s">
        <v>1377</v>
      </c>
    </row>
    <row r="85" spans="1:5">
      <c r="A85" s="3035">
        <v>289</v>
      </c>
      <c r="B85" s="3035" t="s">
        <v>3230</v>
      </c>
      <c r="C85" s="3035" t="s">
        <v>4350</v>
      </c>
      <c r="D85" s="3039">
        <v>57.225000000000001</v>
      </c>
      <c r="E85" s="3035" t="s">
        <v>1377</v>
      </c>
    </row>
    <row r="86" spans="1:5">
      <c r="A86" s="3035">
        <v>290</v>
      </c>
      <c r="B86" s="3035" t="s">
        <v>3230</v>
      </c>
      <c r="C86" s="3035" t="s">
        <v>4351</v>
      </c>
      <c r="D86" s="3039">
        <v>102.1169</v>
      </c>
      <c r="E86" s="3035" t="s">
        <v>1377</v>
      </c>
    </row>
    <row r="87" spans="1:5">
      <c r="A87" s="3035">
        <v>291</v>
      </c>
      <c r="B87" s="3035" t="s">
        <v>3230</v>
      </c>
      <c r="C87" s="3035" t="s">
        <v>4352</v>
      </c>
      <c r="D87" s="3039">
        <v>55.353200000000001</v>
      </c>
      <c r="E87" s="3035" t="s">
        <v>1377</v>
      </c>
    </row>
    <row r="88" spans="1:5">
      <c r="A88" s="3035">
        <v>293</v>
      </c>
      <c r="B88" s="3035" t="s">
        <v>3230</v>
      </c>
      <c r="C88" s="3035" t="s">
        <v>4353</v>
      </c>
      <c r="D88" s="3039">
        <v>55.061399999999999</v>
      </c>
      <c r="E88" s="3035" t="s">
        <v>1377</v>
      </c>
    </row>
    <row r="89" spans="1:5">
      <c r="A89" s="3035">
        <v>294</v>
      </c>
      <c r="B89" s="3035" t="s">
        <v>3230</v>
      </c>
      <c r="C89" s="3035" t="s">
        <v>4354</v>
      </c>
      <c r="D89" s="3039">
        <v>55.353200000000001</v>
      </c>
      <c r="E89" s="3035" t="s">
        <v>1377</v>
      </c>
    </row>
    <row r="90" spans="1:5">
      <c r="A90" s="3035">
        <v>295</v>
      </c>
      <c r="B90" s="3035" t="s">
        <v>3230</v>
      </c>
      <c r="C90" s="3035" t="s">
        <v>4355</v>
      </c>
      <c r="D90" s="3039">
        <v>55.353200000000001</v>
      </c>
      <c r="E90" s="3035" t="s">
        <v>1377</v>
      </c>
    </row>
    <row r="91" spans="1:5">
      <c r="A91" s="3035">
        <v>296</v>
      </c>
      <c r="B91" s="3035" t="s">
        <v>3230</v>
      </c>
      <c r="C91" s="3035" t="s">
        <v>4356</v>
      </c>
      <c r="D91" s="3039">
        <v>55.061399999999999</v>
      </c>
      <c r="E91" s="3035" t="s">
        <v>1377</v>
      </c>
    </row>
    <row r="92" spans="1:5">
      <c r="A92" s="3035">
        <v>297</v>
      </c>
      <c r="B92" s="3035" t="s">
        <v>3230</v>
      </c>
      <c r="C92" s="3035" t="s">
        <v>4357</v>
      </c>
      <c r="D92" s="3039">
        <v>55.061399999999999</v>
      </c>
      <c r="E92" s="3035" t="s">
        <v>1377</v>
      </c>
    </row>
    <row r="93" spans="1:5">
      <c r="A93" s="3035">
        <v>298</v>
      </c>
      <c r="B93" s="3035" t="s">
        <v>3230</v>
      </c>
      <c r="C93" s="3035" t="s">
        <v>4358</v>
      </c>
      <c r="D93" s="3039">
        <v>55.353200000000001</v>
      </c>
      <c r="E93" s="3035" t="s">
        <v>1377</v>
      </c>
    </row>
    <row r="94" spans="1:5">
      <c r="A94" s="3035">
        <v>299</v>
      </c>
      <c r="B94" s="3035" t="s">
        <v>3230</v>
      </c>
      <c r="C94" s="3035" t="s">
        <v>4359</v>
      </c>
      <c r="D94" s="3039">
        <v>55.353200000000001</v>
      </c>
      <c r="E94" s="3035" t="s">
        <v>1377</v>
      </c>
    </row>
    <row r="95" spans="1:5">
      <c r="A95" s="3035">
        <v>300</v>
      </c>
      <c r="B95" s="3035" t="s">
        <v>3230</v>
      </c>
      <c r="C95" s="3035" t="s">
        <v>4360</v>
      </c>
      <c r="D95" s="3039">
        <v>57.869199999999999</v>
      </c>
      <c r="E95" s="3035" t="s">
        <v>1377</v>
      </c>
    </row>
    <row r="96" spans="1:5">
      <c r="A96" s="3035">
        <v>301</v>
      </c>
      <c r="B96" s="3035" t="s">
        <v>3230</v>
      </c>
      <c r="C96" s="3035" t="s">
        <v>4361</v>
      </c>
      <c r="D96" s="3039">
        <v>55.353200000000001</v>
      </c>
      <c r="E96" s="3035" t="s">
        <v>1377</v>
      </c>
    </row>
    <row r="97" spans="1:5">
      <c r="A97" s="3035">
        <v>302</v>
      </c>
      <c r="B97" s="3035" t="s">
        <v>3230</v>
      </c>
      <c r="C97" s="3035" t="s">
        <v>4362</v>
      </c>
      <c r="D97" s="3039">
        <v>55.353200000000001</v>
      </c>
      <c r="E97" s="3035" t="s">
        <v>1377</v>
      </c>
    </row>
    <row r="98" spans="1:5">
      <c r="A98" s="3035">
        <v>303</v>
      </c>
      <c r="B98" s="3035" t="s">
        <v>3230</v>
      </c>
      <c r="C98" s="3035" t="s">
        <v>4363</v>
      </c>
      <c r="D98" s="3039">
        <v>65.936000000000007</v>
      </c>
      <c r="E98" s="3035" t="s">
        <v>1377</v>
      </c>
    </row>
    <row r="99" spans="1:5">
      <c r="A99" s="3035">
        <v>304</v>
      </c>
      <c r="B99" s="3035" t="s">
        <v>3230</v>
      </c>
      <c r="C99" s="3035" t="s">
        <v>4364</v>
      </c>
      <c r="D99" s="3039">
        <v>65.936000000000007</v>
      </c>
      <c r="E99" s="3035" t="s">
        <v>1377</v>
      </c>
    </row>
    <row r="100" spans="1:5">
      <c r="A100" s="3035">
        <v>305</v>
      </c>
      <c r="B100" s="3035" t="s">
        <v>3230</v>
      </c>
      <c r="C100" s="3035" t="s">
        <v>4365</v>
      </c>
      <c r="D100" s="3039">
        <v>56.398499999999999</v>
      </c>
      <c r="E100" s="3035" t="s">
        <v>1377</v>
      </c>
    </row>
    <row r="101" spans="1:5">
      <c r="A101" s="3035">
        <v>306</v>
      </c>
      <c r="B101" s="3035" t="s">
        <v>3230</v>
      </c>
      <c r="C101" s="3035" t="s">
        <v>4366</v>
      </c>
      <c r="D101" s="3039">
        <v>56.398499999999999</v>
      </c>
      <c r="E101" s="3035" t="s">
        <v>1377</v>
      </c>
    </row>
    <row r="102" spans="1:5">
      <c r="A102" s="3035">
        <v>307</v>
      </c>
      <c r="B102" s="3035" t="s">
        <v>3230</v>
      </c>
      <c r="C102" s="3035" t="s">
        <v>4367</v>
      </c>
      <c r="D102" s="3039">
        <v>56.690199999999997</v>
      </c>
      <c r="E102" s="3035" t="s">
        <v>1377</v>
      </c>
    </row>
    <row r="103" spans="1:5">
      <c r="A103" s="3035">
        <v>308</v>
      </c>
      <c r="B103" s="3035" t="s">
        <v>3230</v>
      </c>
      <c r="C103" s="3035" t="s">
        <v>4368</v>
      </c>
      <c r="D103" s="3039">
        <v>56.690199999999997</v>
      </c>
      <c r="E103" s="3035" t="s">
        <v>1377</v>
      </c>
    </row>
    <row r="104" spans="1:5">
      <c r="A104" s="3035">
        <v>309</v>
      </c>
      <c r="B104" s="3035" t="s">
        <v>3230</v>
      </c>
      <c r="C104" s="3035" t="s">
        <v>4369</v>
      </c>
      <c r="D104" s="3039">
        <v>56.398499999999999</v>
      </c>
      <c r="E104" s="3035" t="s">
        <v>1377</v>
      </c>
    </row>
    <row r="105" spans="1:5">
      <c r="A105" s="3035">
        <v>310</v>
      </c>
      <c r="B105" s="3035" t="s">
        <v>3230</v>
      </c>
      <c r="C105" s="3035" t="s">
        <v>4370</v>
      </c>
      <c r="D105" s="3039">
        <v>56.398499999999999</v>
      </c>
      <c r="E105" s="3035" t="s">
        <v>1377</v>
      </c>
    </row>
    <row r="106" spans="1:5">
      <c r="A106" s="3035">
        <v>311</v>
      </c>
      <c r="B106" s="3035" t="s">
        <v>3230</v>
      </c>
      <c r="C106" s="3035" t="s">
        <v>4371</v>
      </c>
      <c r="D106" s="3039">
        <v>56.690199999999997</v>
      </c>
      <c r="E106" s="3035" t="s">
        <v>1377</v>
      </c>
    </row>
    <row r="107" spans="1:5">
      <c r="A107" s="3035">
        <v>312</v>
      </c>
      <c r="B107" s="3035" t="s">
        <v>3230</v>
      </c>
      <c r="C107" s="3035" t="s">
        <v>4372</v>
      </c>
      <c r="D107" s="3039">
        <v>56.690199999999997</v>
      </c>
      <c r="E107" s="3035" t="s">
        <v>1377</v>
      </c>
    </row>
    <row r="108" spans="1:5">
      <c r="A108" s="3035">
        <v>313</v>
      </c>
      <c r="B108" s="3035" t="s">
        <v>3230</v>
      </c>
      <c r="C108" s="3035" t="s">
        <v>4373</v>
      </c>
      <c r="D108" s="3039">
        <v>88.156499999999994</v>
      </c>
      <c r="E108" s="3035" t="s">
        <v>1377</v>
      </c>
    </row>
    <row r="109" spans="1:5">
      <c r="A109" s="3035">
        <v>314</v>
      </c>
      <c r="B109" s="3035" t="s">
        <v>3230</v>
      </c>
      <c r="C109" s="3035" t="s">
        <v>4374</v>
      </c>
      <c r="D109" s="3039">
        <v>56.933300000000003</v>
      </c>
      <c r="E109" s="3035" t="s">
        <v>1377</v>
      </c>
    </row>
    <row r="110" spans="1:5">
      <c r="A110" s="3035">
        <v>315</v>
      </c>
      <c r="B110" s="3035" t="s">
        <v>3230</v>
      </c>
      <c r="C110" s="3035" t="s">
        <v>4375</v>
      </c>
      <c r="D110" s="3039">
        <v>56.933300000000003</v>
      </c>
      <c r="E110" s="3035" t="s">
        <v>1377</v>
      </c>
    </row>
    <row r="111" spans="1:5">
      <c r="A111" s="3035">
        <v>316</v>
      </c>
      <c r="B111" s="3035" t="s">
        <v>3230</v>
      </c>
      <c r="C111" s="3035" t="s">
        <v>4376</v>
      </c>
      <c r="D111" s="3039">
        <v>57.225000000000001</v>
      </c>
      <c r="E111" s="3035" t="s">
        <v>1377</v>
      </c>
    </row>
    <row r="112" spans="1:5">
      <c r="A112" s="3035">
        <v>317</v>
      </c>
      <c r="B112" s="3035" t="s">
        <v>3230</v>
      </c>
      <c r="C112" s="3035" t="s">
        <v>4377</v>
      </c>
      <c r="D112" s="3039">
        <v>57.225000000000001</v>
      </c>
      <c r="E112" s="3035" t="s">
        <v>1377</v>
      </c>
    </row>
    <row r="113" spans="1:5">
      <c r="A113" s="3035">
        <v>318</v>
      </c>
      <c r="B113" s="3035" t="s">
        <v>3230</v>
      </c>
      <c r="C113" s="3035" t="s">
        <v>4378</v>
      </c>
      <c r="D113" s="3039">
        <v>57.225000000000001</v>
      </c>
      <c r="E113" s="3035" t="s">
        <v>1377</v>
      </c>
    </row>
    <row r="114" spans="1:5">
      <c r="A114" s="3035">
        <v>319</v>
      </c>
      <c r="B114" s="3035" t="s">
        <v>3230</v>
      </c>
      <c r="C114" s="3035" t="s">
        <v>4379</v>
      </c>
      <c r="D114" s="3039">
        <v>102.1169</v>
      </c>
      <c r="E114" s="3035" t="s">
        <v>1377</v>
      </c>
    </row>
    <row r="115" spans="1:5">
      <c r="A115" s="3035">
        <v>320</v>
      </c>
      <c r="B115" s="3035" t="s">
        <v>3230</v>
      </c>
      <c r="C115" s="3035" t="s">
        <v>4380</v>
      </c>
      <c r="D115" s="3039">
        <v>55.353200000000001</v>
      </c>
      <c r="E115" s="3035" t="s">
        <v>1377</v>
      </c>
    </row>
    <row r="116" spans="1:5">
      <c r="A116" s="3035">
        <v>321</v>
      </c>
      <c r="B116" s="3035" t="s">
        <v>3230</v>
      </c>
      <c r="C116" s="3035" t="s">
        <v>4381</v>
      </c>
      <c r="D116" s="3039">
        <v>55.061399999999999</v>
      </c>
      <c r="E116" s="3035" t="s">
        <v>1377</v>
      </c>
    </row>
    <row r="117" spans="1:5">
      <c r="A117" s="3035">
        <v>322</v>
      </c>
      <c r="B117" s="3035" t="s">
        <v>3230</v>
      </c>
      <c r="C117" s="3035" t="s">
        <v>4382</v>
      </c>
      <c r="D117" s="3039">
        <v>55.061399999999999</v>
      </c>
      <c r="E117" s="3035" t="s">
        <v>1377</v>
      </c>
    </row>
    <row r="118" spans="1:5">
      <c r="A118" s="3035">
        <v>323</v>
      </c>
      <c r="B118" s="3035" t="s">
        <v>3230</v>
      </c>
      <c r="C118" s="3035" t="s">
        <v>4383</v>
      </c>
      <c r="D118" s="3039">
        <v>55.353200000000001</v>
      </c>
      <c r="E118" s="3035" t="s">
        <v>1377</v>
      </c>
    </row>
    <row r="119" spans="1:5">
      <c r="A119" s="3035">
        <v>324</v>
      </c>
      <c r="B119" s="3035" t="s">
        <v>3230</v>
      </c>
      <c r="C119" s="3035" t="s">
        <v>4384</v>
      </c>
      <c r="D119" s="3039">
        <v>55.353200000000001</v>
      </c>
      <c r="E119" s="3035" t="s">
        <v>1377</v>
      </c>
    </row>
    <row r="120" spans="1:5">
      <c r="A120" s="3035">
        <v>325</v>
      </c>
      <c r="B120" s="3035" t="s">
        <v>3230</v>
      </c>
      <c r="C120" s="3035" t="s">
        <v>4385</v>
      </c>
      <c r="D120" s="3039">
        <v>55.061399999999999</v>
      </c>
      <c r="E120" s="3035" t="s">
        <v>1377</v>
      </c>
    </row>
    <row r="121" spans="1:5">
      <c r="A121" s="3035">
        <v>326</v>
      </c>
      <c r="B121" s="3035" t="s">
        <v>3230</v>
      </c>
      <c r="C121" s="3035" t="s">
        <v>4386</v>
      </c>
      <c r="D121" s="3039">
        <v>55.061399999999999</v>
      </c>
      <c r="E121" s="3035" t="s">
        <v>1377</v>
      </c>
    </row>
    <row r="122" spans="1:5">
      <c r="A122" s="3035">
        <v>327</v>
      </c>
      <c r="B122" s="3035" t="s">
        <v>3230</v>
      </c>
      <c r="C122" s="3035" t="s">
        <v>4387</v>
      </c>
      <c r="D122" s="3039">
        <v>55.353200000000001</v>
      </c>
      <c r="E122" s="3035" t="s">
        <v>1377</v>
      </c>
    </row>
    <row r="123" spans="1:5">
      <c r="A123" s="3035">
        <v>328</v>
      </c>
      <c r="B123" s="3035" t="s">
        <v>3230</v>
      </c>
      <c r="C123" s="3035" t="s">
        <v>4388</v>
      </c>
      <c r="D123" s="3039">
        <v>55.353200000000001</v>
      </c>
      <c r="E123" s="3035" t="s">
        <v>1377</v>
      </c>
    </row>
    <row r="124" spans="1:5">
      <c r="A124" s="3035">
        <v>329</v>
      </c>
      <c r="B124" s="3035" t="s">
        <v>3230</v>
      </c>
      <c r="C124" s="3035" t="s">
        <v>4389</v>
      </c>
      <c r="D124" s="3039">
        <v>57.869199999999999</v>
      </c>
      <c r="E124" s="3035" t="s">
        <v>1377</v>
      </c>
    </row>
    <row r="125" spans="1:5">
      <c r="A125" s="3035">
        <v>330</v>
      </c>
      <c r="B125" s="3035" t="s">
        <v>3230</v>
      </c>
      <c r="C125" s="3035" t="s">
        <v>4390</v>
      </c>
      <c r="D125" s="3039">
        <v>55.353200000000001</v>
      </c>
      <c r="E125" s="3035" t="s">
        <v>1377</v>
      </c>
    </row>
    <row r="126" spans="1:5">
      <c r="A126" s="3035">
        <v>331</v>
      </c>
      <c r="B126" s="3035" t="s">
        <v>3230</v>
      </c>
      <c r="C126" s="3035" t="s">
        <v>4391</v>
      </c>
      <c r="D126" s="3039">
        <v>55.353200000000001</v>
      </c>
      <c r="E126" s="3035" t="s">
        <v>1377</v>
      </c>
    </row>
    <row r="127" spans="1:5">
      <c r="A127" s="3035">
        <v>332</v>
      </c>
      <c r="B127" s="3035" t="s">
        <v>3230</v>
      </c>
      <c r="C127" s="3035" t="s">
        <v>4392</v>
      </c>
      <c r="D127" s="3039">
        <v>65.936000000000007</v>
      </c>
      <c r="E127" s="3035" t="s">
        <v>1377</v>
      </c>
    </row>
    <row r="128" spans="1:5">
      <c r="A128" s="3035">
        <v>333</v>
      </c>
      <c r="B128" s="3035" t="s">
        <v>3230</v>
      </c>
      <c r="C128" s="3035" t="s">
        <v>4393</v>
      </c>
      <c r="D128" s="3039">
        <v>65.936000000000007</v>
      </c>
      <c r="E128" s="3035" t="s">
        <v>1377</v>
      </c>
    </row>
    <row r="129" spans="1:5">
      <c r="A129" s="3035">
        <v>334</v>
      </c>
      <c r="B129" s="3035" t="s">
        <v>3230</v>
      </c>
      <c r="C129" s="3035" t="s">
        <v>4394</v>
      </c>
      <c r="D129" s="3039">
        <v>56.398499999999999</v>
      </c>
      <c r="E129" s="3035" t="s">
        <v>1377</v>
      </c>
    </row>
    <row r="130" spans="1:5">
      <c r="A130" s="3035">
        <v>335</v>
      </c>
      <c r="B130" s="3035" t="s">
        <v>3230</v>
      </c>
      <c r="C130" s="3035" t="s">
        <v>4395</v>
      </c>
      <c r="D130" s="3039">
        <v>56.398499999999999</v>
      </c>
      <c r="E130" s="3035" t="s">
        <v>1377</v>
      </c>
    </row>
    <row r="131" spans="1:5">
      <c r="A131" s="3035">
        <v>336</v>
      </c>
      <c r="B131" s="3035" t="s">
        <v>3230</v>
      </c>
      <c r="C131" s="3035" t="s">
        <v>4396</v>
      </c>
      <c r="D131" s="3039">
        <v>56.690199999999997</v>
      </c>
      <c r="E131" s="3035" t="s">
        <v>1377</v>
      </c>
    </row>
    <row r="132" spans="1:5">
      <c r="A132" s="3035">
        <v>337</v>
      </c>
      <c r="B132" s="3035" t="s">
        <v>3230</v>
      </c>
      <c r="C132" s="3035" t="s">
        <v>4397</v>
      </c>
      <c r="D132" s="3039">
        <v>56.690199999999997</v>
      </c>
      <c r="E132" s="3035" t="s">
        <v>1377</v>
      </c>
    </row>
    <row r="133" spans="1:5">
      <c r="A133" s="3035">
        <v>338</v>
      </c>
      <c r="B133" s="3035" t="s">
        <v>3230</v>
      </c>
      <c r="C133" s="3035" t="s">
        <v>4398</v>
      </c>
      <c r="D133" s="3039">
        <v>56.398499999999999</v>
      </c>
      <c r="E133" s="3035" t="s">
        <v>1377</v>
      </c>
    </row>
    <row r="134" spans="1:5">
      <c r="A134" s="3035">
        <v>339</v>
      </c>
      <c r="B134" s="3035" t="s">
        <v>3230</v>
      </c>
      <c r="C134" s="3035" t="s">
        <v>4399</v>
      </c>
      <c r="D134" s="3039">
        <v>56.398499999999999</v>
      </c>
      <c r="E134" s="3035" t="s">
        <v>1377</v>
      </c>
    </row>
    <row r="135" spans="1:5">
      <c r="A135" s="3035">
        <v>340</v>
      </c>
      <c r="B135" s="3035" t="s">
        <v>3230</v>
      </c>
      <c r="C135" s="3035" t="s">
        <v>4400</v>
      </c>
      <c r="D135" s="3039">
        <v>56.690199999999997</v>
      </c>
      <c r="E135" s="3035" t="s">
        <v>1377</v>
      </c>
    </row>
    <row r="136" spans="1:5">
      <c r="A136" s="3035">
        <v>341</v>
      </c>
      <c r="B136" s="3035" t="s">
        <v>3230</v>
      </c>
      <c r="C136" s="3035" t="s">
        <v>4401</v>
      </c>
      <c r="D136" s="3039">
        <v>56.690199999999997</v>
      </c>
      <c r="E136" s="3035" t="s">
        <v>1377</v>
      </c>
    </row>
    <row r="137" spans="1:5">
      <c r="A137" s="3035">
        <v>342</v>
      </c>
      <c r="B137" s="3035" t="s">
        <v>3230</v>
      </c>
      <c r="C137" s="3035" t="s">
        <v>4402</v>
      </c>
      <c r="D137" s="3039">
        <v>88.156499999999994</v>
      </c>
      <c r="E137" s="3035" t="s">
        <v>1377</v>
      </c>
    </row>
    <row r="138" spans="1:5">
      <c r="A138" s="3035">
        <v>343</v>
      </c>
      <c r="B138" s="3035" t="s">
        <v>3230</v>
      </c>
      <c r="C138" s="3035" t="s">
        <v>4403</v>
      </c>
      <c r="D138" s="3039">
        <v>56.933300000000003</v>
      </c>
      <c r="E138" s="3035" t="s">
        <v>1377</v>
      </c>
    </row>
    <row r="139" spans="1:5">
      <c r="A139" s="3035">
        <v>344</v>
      </c>
      <c r="B139" s="3035" t="s">
        <v>3230</v>
      </c>
      <c r="C139" s="3035" t="s">
        <v>4404</v>
      </c>
      <c r="D139" s="3039">
        <v>56.933300000000003</v>
      </c>
      <c r="E139" s="3035" t="s">
        <v>1377</v>
      </c>
    </row>
    <row r="140" spans="1:5">
      <c r="A140" s="3035">
        <v>345</v>
      </c>
      <c r="B140" s="3035" t="s">
        <v>3230</v>
      </c>
      <c r="C140" s="3035" t="s">
        <v>4405</v>
      </c>
      <c r="D140" s="3039">
        <v>57.225000000000001</v>
      </c>
      <c r="E140" s="3035" t="s">
        <v>1377</v>
      </c>
    </row>
    <row r="141" spans="1:5">
      <c r="A141" s="3035">
        <v>346</v>
      </c>
      <c r="B141" s="3035" t="s">
        <v>3230</v>
      </c>
      <c r="C141" s="3035" t="s">
        <v>4406</v>
      </c>
      <c r="D141" s="3039">
        <v>57.225000000000001</v>
      </c>
      <c r="E141" s="3035" t="s">
        <v>1377</v>
      </c>
    </row>
    <row r="142" spans="1:5">
      <c r="A142" s="3035">
        <v>347</v>
      </c>
      <c r="B142" s="3035" t="s">
        <v>3230</v>
      </c>
      <c r="C142" s="3035" t="s">
        <v>4407</v>
      </c>
      <c r="D142" s="3039">
        <v>57.225000000000001</v>
      </c>
      <c r="E142" s="3035" t="s">
        <v>1377</v>
      </c>
    </row>
    <row r="143" spans="1:5">
      <c r="A143" s="3035">
        <v>348</v>
      </c>
      <c r="B143" s="3035" t="s">
        <v>3230</v>
      </c>
      <c r="C143" s="3035" t="s">
        <v>4408</v>
      </c>
      <c r="D143" s="3039">
        <v>102.1169</v>
      </c>
      <c r="E143" s="3035" t="s">
        <v>1377</v>
      </c>
    </row>
    <row r="144" spans="1:5">
      <c r="A144" s="3035">
        <v>349</v>
      </c>
      <c r="B144" s="3035" t="s">
        <v>3230</v>
      </c>
      <c r="C144" s="3035" t="s">
        <v>4409</v>
      </c>
      <c r="D144" s="3039">
        <v>55.353200000000001</v>
      </c>
      <c r="E144" s="3035" t="s">
        <v>1377</v>
      </c>
    </row>
    <row r="145" spans="1:5">
      <c r="A145" s="3035">
        <v>350</v>
      </c>
      <c r="B145" s="3035" t="s">
        <v>3230</v>
      </c>
      <c r="C145" s="3035" t="s">
        <v>4410</v>
      </c>
      <c r="D145" s="3039">
        <v>55.061399999999999</v>
      </c>
      <c r="E145" s="3035" t="s">
        <v>1377</v>
      </c>
    </row>
    <row r="146" spans="1:5">
      <c r="A146" s="3035">
        <v>351</v>
      </c>
      <c r="B146" s="3035" t="s">
        <v>3230</v>
      </c>
      <c r="C146" s="3035" t="s">
        <v>4411</v>
      </c>
      <c r="D146" s="3039">
        <v>55.061399999999999</v>
      </c>
      <c r="E146" s="3035" t="s">
        <v>1377</v>
      </c>
    </row>
    <row r="147" spans="1:5">
      <c r="A147" s="3035">
        <v>352</v>
      </c>
      <c r="B147" s="3035" t="s">
        <v>3230</v>
      </c>
      <c r="C147" s="3035" t="s">
        <v>4412</v>
      </c>
      <c r="D147" s="3039">
        <v>55.353200000000001</v>
      </c>
      <c r="E147" s="3035" t="s">
        <v>1377</v>
      </c>
    </row>
    <row r="148" spans="1:5">
      <c r="A148" s="3035">
        <v>353</v>
      </c>
      <c r="B148" s="3035" t="s">
        <v>3230</v>
      </c>
      <c r="C148" s="3035" t="s">
        <v>4413</v>
      </c>
      <c r="D148" s="3039">
        <v>55.353200000000001</v>
      </c>
      <c r="E148" s="3035" t="s">
        <v>1377</v>
      </c>
    </row>
    <row r="149" spans="1:5">
      <c r="A149" s="3035">
        <v>354</v>
      </c>
      <c r="B149" s="3035" t="s">
        <v>3230</v>
      </c>
      <c r="C149" s="3035" t="s">
        <v>4414</v>
      </c>
      <c r="D149" s="3039">
        <v>55.061399999999999</v>
      </c>
      <c r="E149" s="3035" t="s">
        <v>1377</v>
      </c>
    </row>
    <row r="150" spans="1:5">
      <c r="A150" s="3035">
        <v>355</v>
      </c>
      <c r="B150" s="3035" t="s">
        <v>3230</v>
      </c>
      <c r="C150" s="3035" t="s">
        <v>4415</v>
      </c>
      <c r="D150" s="3039">
        <v>55.061399999999999</v>
      </c>
      <c r="E150" s="3035" t="s">
        <v>1377</v>
      </c>
    </row>
    <row r="151" spans="1:5">
      <c r="A151" s="3035">
        <v>356</v>
      </c>
      <c r="B151" s="3035" t="s">
        <v>3230</v>
      </c>
      <c r="C151" s="3035" t="s">
        <v>4416</v>
      </c>
      <c r="D151" s="3039">
        <v>55.353200000000001</v>
      </c>
      <c r="E151" s="3035" t="s">
        <v>1377</v>
      </c>
    </row>
    <row r="152" spans="1:5">
      <c r="A152" s="3035">
        <v>357</v>
      </c>
      <c r="B152" s="3035" t="s">
        <v>3230</v>
      </c>
      <c r="C152" s="3035" t="s">
        <v>4417</v>
      </c>
      <c r="D152" s="3039">
        <v>55.353200000000001</v>
      </c>
      <c r="E152" s="3035" t="s">
        <v>1377</v>
      </c>
    </row>
    <row r="153" spans="1:5">
      <c r="A153" s="3035">
        <v>358</v>
      </c>
      <c r="B153" s="3035" t="s">
        <v>3230</v>
      </c>
      <c r="C153" s="3035" t="s">
        <v>4418</v>
      </c>
      <c r="D153" s="3039">
        <v>57.869199999999999</v>
      </c>
      <c r="E153" s="3035" t="s">
        <v>1377</v>
      </c>
    </row>
    <row r="154" spans="1:5">
      <c r="A154" s="3035">
        <v>359</v>
      </c>
      <c r="B154" s="3035" t="s">
        <v>3230</v>
      </c>
      <c r="C154" s="3035" t="s">
        <v>4419</v>
      </c>
      <c r="D154" s="3039">
        <v>55.353200000000001</v>
      </c>
      <c r="E154" s="3035" t="s">
        <v>1377</v>
      </c>
    </row>
    <row r="155" spans="1:5">
      <c r="A155" s="3035">
        <v>360</v>
      </c>
      <c r="B155" s="3035" t="s">
        <v>3230</v>
      </c>
      <c r="C155" s="3035" t="s">
        <v>4420</v>
      </c>
      <c r="D155" s="3039">
        <v>55.353200000000001</v>
      </c>
      <c r="E155" s="3035" t="s">
        <v>1377</v>
      </c>
    </row>
    <row r="156" spans="1:5">
      <c r="A156" s="3035">
        <v>361</v>
      </c>
      <c r="B156" s="3035" t="s">
        <v>3230</v>
      </c>
      <c r="C156" s="3035" t="s">
        <v>4421</v>
      </c>
      <c r="D156" s="3039">
        <v>65.936000000000007</v>
      </c>
      <c r="E156" s="3035" t="s">
        <v>1377</v>
      </c>
    </row>
    <row r="157" spans="1:5">
      <c r="A157" s="3035">
        <v>362</v>
      </c>
      <c r="B157" s="3035" t="s">
        <v>3230</v>
      </c>
      <c r="C157" s="3035" t="s">
        <v>4422</v>
      </c>
      <c r="D157" s="3039">
        <v>65.936000000000007</v>
      </c>
      <c r="E157" s="3035" t="s">
        <v>1377</v>
      </c>
    </row>
    <row r="158" spans="1:5">
      <c r="A158" s="3035">
        <v>363</v>
      </c>
      <c r="B158" s="3035" t="s">
        <v>3230</v>
      </c>
      <c r="C158" s="3035" t="s">
        <v>4423</v>
      </c>
      <c r="D158" s="3039">
        <v>56.398499999999999</v>
      </c>
      <c r="E158" s="3035" t="s">
        <v>1377</v>
      </c>
    </row>
    <row r="159" spans="1:5">
      <c r="A159" s="3035">
        <v>364</v>
      </c>
      <c r="B159" s="3035" t="s">
        <v>3230</v>
      </c>
      <c r="C159" s="3035" t="s">
        <v>4424</v>
      </c>
      <c r="D159" s="3039">
        <v>56.398499999999999</v>
      </c>
      <c r="E159" s="3035" t="s">
        <v>1377</v>
      </c>
    </row>
    <row r="160" spans="1:5">
      <c r="A160" s="3035">
        <v>365</v>
      </c>
      <c r="B160" s="3035" t="s">
        <v>3230</v>
      </c>
      <c r="C160" s="3035" t="s">
        <v>4425</v>
      </c>
      <c r="D160" s="3039">
        <v>56.690199999999997</v>
      </c>
      <c r="E160" s="3035" t="s">
        <v>1377</v>
      </c>
    </row>
    <row r="161" spans="1:5">
      <c r="A161" s="3035">
        <v>366</v>
      </c>
      <c r="B161" s="3035" t="s">
        <v>3230</v>
      </c>
      <c r="C161" s="3035" t="s">
        <v>4426</v>
      </c>
      <c r="D161" s="3039">
        <v>56.690199999999997</v>
      </c>
      <c r="E161" s="3035" t="s">
        <v>1377</v>
      </c>
    </row>
    <row r="162" spans="1:5">
      <c r="A162" s="3035">
        <v>367</v>
      </c>
      <c r="B162" s="3035" t="s">
        <v>3230</v>
      </c>
      <c r="C162" s="3035" t="s">
        <v>4427</v>
      </c>
      <c r="D162" s="3039">
        <v>56.398499999999999</v>
      </c>
      <c r="E162" s="3035" t="s">
        <v>1377</v>
      </c>
    </row>
    <row r="163" spans="1:5">
      <c r="A163" s="3035">
        <v>368</v>
      </c>
      <c r="B163" s="3035" t="s">
        <v>3230</v>
      </c>
      <c r="C163" s="3035" t="s">
        <v>4428</v>
      </c>
      <c r="D163" s="3039">
        <v>56.398499999999999</v>
      </c>
      <c r="E163" s="3035" t="s">
        <v>1377</v>
      </c>
    </row>
    <row r="164" spans="1:5">
      <c r="A164" s="3035">
        <v>369</v>
      </c>
      <c r="B164" s="3035" t="s">
        <v>3230</v>
      </c>
      <c r="C164" s="3035" t="s">
        <v>4429</v>
      </c>
      <c r="D164" s="3039">
        <v>56.690199999999997</v>
      </c>
      <c r="E164" s="3035" t="s">
        <v>1377</v>
      </c>
    </row>
    <row r="165" spans="1:5">
      <c r="A165" s="3035">
        <v>370</v>
      </c>
      <c r="B165" s="3035" t="s">
        <v>3230</v>
      </c>
      <c r="C165" s="3035" t="s">
        <v>4430</v>
      </c>
      <c r="D165" s="3039">
        <v>56.690199999999997</v>
      </c>
      <c r="E165" s="3035" t="s">
        <v>1377</v>
      </c>
    </row>
    <row r="166" spans="1:5">
      <c r="A166" s="3035">
        <v>371</v>
      </c>
      <c r="B166" s="3035" t="s">
        <v>3230</v>
      </c>
      <c r="C166" s="3035" t="s">
        <v>4431</v>
      </c>
      <c r="D166" s="3039">
        <v>88.156499999999994</v>
      </c>
      <c r="E166" s="3035" t="s">
        <v>1377</v>
      </c>
    </row>
    <row r="167" spans="1:5">
      <c r="A167" s="3035">
        <v>374</v>
      </c>
      <c r="B167" s="3035" t="s">
        <v>3230</v>
      </c>
      <c r="C167" s="3035" t="s">
        <v>4432</v>
      </c>
      <c r="D167" s="3039">
        <v>57.225000000000001</v>
      </c>
      <c r="E167" s="3035" t="s">
        <v>1377</v>
      </c>
    </row>
    <row r="168" spans="1:5">
      <c r="A168" s="3035">
        <v>375</v>
      </c>
      <c r="B168" s="3035" t="s">
        <v>3230</v>
      </c>
      <c r="C168" s="3035" t="s">
        <v>4433</v>
      </c>
      <c r="D168" s="3039">
        <v>57.225000000000001</v>
      </c>
      <c r="E168" s="3035" t="s">
        <v>1377</v>
      </c>
    </row>
    <row r="169" spans="1:5">
      <c r="A169" s="3035">
        <v>376</v>
      </c>
      <c r="B169" s="3035" t="s">
        <v>3230</v>
      </c>
      <c r="C169" s="3035" t="s">
        <v>4434</v>
      </c>
      <c r="D169" s="3039">
        <v>57.225000000000001</v>
      </c>
      <c r="E169" s="3035" t="s">
        <v>1377</v>
      </c>
    </row>
    <row r="170" spans="1:5">
      <c r="A170" s="3035">
        <v>378</v>
      </c>
      <c r="B170" s="3035" t="s">
        <v>3230</v>
      </c>
      <c r="C170" s="3035" t="s">
        <v>4435</v>
      </c>
      <c r="D170" s="3039">
        <v>55.353200000000001</v>
      </c>
      <c r="E170" s="3035" t="s">
        <v>1377</v>
      </c>
    </row>
    <row r="171" spans="1:5">
      <c r="A171" s="3035">
        <v>379</v>
      </c>
      <c r="B171" s="3035" t="s">
        <v>3230</v>
      </c>
      <c r="C171" s="3035" t="s">
        <v>4436</v>
      </c>
      <c r="D171" s="3039">
        <v>55.061399999999999</v>
      </c>
      <c r="E171" s="3035" t="s">
        <v>1377</v>
      </c>
    </row>
    <row r="172" spans="1:5">
      <c r="A172" s="3035">
        <v>380</v>
      </c>
      <c r="B172" s="3035" t="s">
        <v>3230</v>
      </c>
      <c r="C172" s="3035" t="s">
        <v>4437</v>
      </c>
      <c r="D172" s="3039">
        <v>55.061399999999999</v>
      </c>
      <c r="E172" s="3035" t="s">
        <v>1377</v>
      </c>
    </row>
    <row r="173" spans="1:5">
      <c r="A173" s="3035">
        <v>381</v>
      </c>
      <c r="B173" s="3035" t="s">
        <v>3230</v>
      </c>
      <c r="C173" s="3035" t="s">
        <v>4438</v>
      </c>
      <c r="D173" s="3039">
        <v>55.353200000000001</v>
      </c>
      <c r="E173" s="3035" t="s">
        <v>1377</v>
      </c>
    </row>
    <row r="174" spans="1:5">
      <c r="A174" s="3035">
        <v>382</v>
      </c>
      <c r="B174" s="3035" t="s">
        <v>3230</v>
      </c>
      <c r="C174" s="3035" t="s">
        <v>4439</v>
      </c>
      <c r="D174" s="3039">
        <v>55.353200000000001</v>
      </c>
      <c r="E174" s="3035" t="s">
        <v>1377</v>
      </c>
    </row>
    <row r="175" spans="1:5">
      <c r="A175" s="3035">
        <v>383</v>
      </c>
      <c r="B175" s="3035" t="s">
        <v>3230</v>
      </c>
      <c r="C175" s="3035" t="s">
        <v>4440</v>
      </c>
      <c r="D175" s="3039">
        <v>55.061399999999999</v>
      </c>
      <c r="E175" s="3035" t="s">
        <v>1377</v>
      </c>
    </row>
    <row r="176" spans="1:5">
      <c r="A176" s="3035">
        <v>384</v>
      </c>
      <c r="B176" s="3035" t="s">
        <v>3230</v>
      </c>
      <c r="C176" s="3035" t="s">
        <v>4441</v>
      </c>
      <c r="D176" s="3039">
        <v>55.061399999999999</v>
      </c>
      <c r="E176" s="3035" t="s">
        <v>1377</v>
      </c>
    </row>
    <row r="177" spans="1:5">
      <c r="A177" s="3035">
        <v>385</v>
      </c>
      <c r="B177" s="3035" t="s">
        <v>3230</v>
      </c>
      <c r="C177" s="3035" t="s">
        <v>4442</v>
      </c>
      <c r="D177" s="3039">
        <v>55.353200000000001</v>
      </c>
      <c r="E177" s="3035" t="s">
        <v>1377</v>
      </c>
    </row>
    <row r="178" spans="1:5">
      <c r="A178" s="3035">
        <v>386</v>
      </c>
      <c r="B178" s="3035" t="s">
        <v>3230</v>
      </c>
      <c r="C178" s="3035" t="s">
        <v>4443</v>
      </c>
      <c r="D178" s="3039">
        <v>55.353200000000001</v>
      </c>
      <c r="E178" s="3035" t="s">
        <v>1377</v>
      </c>
    </row>
    <row r="179" spans="1:5">
      <c r="A179" s="3035">
        <v>387</v>
      </c>
      <c r="B179" s="3035" t="s">
        <v>3230</v>
      </c>
      <c r="C179" s="3035" t="s">
        <v>4444</v>
      </c>
      <c r="D179" s="3039">
        <v>57.869199999999999</v>
      </c>
      <c r="E179" s="3035" t="s">
        <v>1377</v>
      </c>
    </row>
    <row r="180" spans="1:5">
      <c r="A180" s="3035">
        <v>388</v>
      </c>
      <c r="B180" s="3035" t="s">
        <v>3230</v>
      </c>
      <c r="C180" s="3035" t="s">
        <v>4445</v>
      </c>
      <c r="D180" s="3039">
        <v>55.353200000000001</v>
      </c>
      <c r="E180" s="3035" t="s">
        <v>1377</v>
      </c>
    </row>
    <row r="181" spans="1:5">
      <c r="A181" s="3035">
        <v>389</v>
      </c>
      <c r="B181" s="3035" t="s">
        <v>3230</v>
      </c>
      <c r="C181" s="3035" t="s">
        <v>4446</v>
      </c>
      <c r="D181" s="3039">
        <v>55.353200000000001</v>
      </c>
      <c r="E181" s="3035" t="s">
        <v>1377</v>
      </c>
    </row>
    <row r="182" spans="1:5">
      <c r="A182" s="3035">
        <v>390</v>
      </c>
      <c r="B182" s="3035" t="s">
        <v>3230</v>
      </c>
      <c r="C182" s="3035" t="s">
        <v>4447</v>
      </c>
      <c r="D182" s="3039">
        <v>65.936000000000007</v>
      </c>
      <c r="E182" s="3035" t="s">
        <v>1377</v>
      </c>
    </row>
    <row r="183" spans="1:5">
      <c r="A183" s="3035">
        <v>391</v>
      </c>
      <c r="B183" s="3035" t="s">
        <v>3230</v>
      </c>
      <c r="C183" s="3035" t="s">
        <v>4448</v>
      </c>
      <c r="D183" s="3039">
        <v>65.936000000000007</v>
      </c>
      <c r="E183" s="3035" t="s">
        <v>1377</v>
      </c>
    </row>
    <row r="184" spans="1:5">
      <c r="A184" s="3035">
        <v>393</v>
      </c>
      <c r="B184" s="3035" t="s">
        <v>3230</v>
      </c>
      <c r="C184" s="3035" t="s">
        <v>4449</v>
      </c>
      <c r="D184" s="3039">
        <v>56.398499999999999</v>
      </c>
      <c r="E184" s="3035" t="s">
        <v>1377</v>
      </c>
    </row>
    <row r="185" spans="1:5">
      <c r="A185" s="3035">
        <v>394</v>
      </c>
      <c r="B185" s="3035" t="s">
        <v>3230</v>
      </c>
      <c r="C185" s="3035" t="s">
        <v>4450</v>
      </c>
      <c r="D185" s="3039">
        <v>56.690199999999997</v>
      </c>
      <c r="E185" s="3035" t="s">
        <v>1377</v>
      </c>
    </row>
    <row r="186" spans="1:5">
      <c r="A186" s="3035">
        <v>395</v>
      </c>
      <c r="B186" s="3035" t="s">
        <v>3230</v>
      </c>
      <c r="C186" s="3035" t="s">
        <v>4451</v>
      </c>
      <c r="D186" s="3039">
        <v>56.690199999999997</v>
      </c>
      <c r="E186" s="3035" t="s">
        <v>1377</v>
      </c>
    </row>
    <row r="187" spans="1:5">
      <c r="A187" s="3035">
        <v>396</v>
      </c>
      <c r="B187" s="3035" t="s">
        <v>3230</v>
      </c>
      <c r="C187" s="3035" t="s">
        <v>4452</v>
      </c>
      <c r="D187" s="3039">
        <v>56.398499999999999</v>
      </c>
      <c r="E187" s="3035" t="s">
        <v>1377</v>
      </c>
    </row>
    <row r="188" spans="1:5">
      <c r="A188" s="3035">
        <v>397</v>
      </c>
      <c r="B188" s="3035" t="s">
        <v>3230</v>
      </c>
      <c r="C188" s="3035" t="s">
        <v>4453</v>
      </c>
      <c r="D188" s="3039">
        <v>56.398499999999999</v>
      </c>
      <c r="E188" s="3035" t="s">
        <v>1377</v>
      </c>
    </row>
    <row r="189" spans="1:5">
      <c r="A189" s="3035">
        <v>398</v>
      </c>
      <c r="B189" s="3035" t="s">
        <v>3230</v>
      </c>
      <c r="C189" s="3035" t="s">
        <v>4454</v>
      </c>
      <c r="D189" s="3039">
        <v>56.690199999999997</v>
      </c>
      <c r="E189" s="3035" t="s">
        <v>1377</v>
      </c>
    </row>
    <row r="190" spans="1:5">
      <c r="A190" s="3035">
        <v>399</v>
      </c>
      <c r="B190" s="3035" t="s">
        <v>3230</v>
      </c>
      <c r="C190" s="3035" t="s">
        <v>4455</v>
      </c>
      <c r="D190" s="3039">
        <v>56.690199999999997</v>
      </c>
      <c r="E190" s="3035" t="s">
        <v>1377</v>
      </c>
    </row>
    <row r="191" spans="1:5">
      <c r="A191" s="3035">
        <v>402</v>
      </c>
      <c r="B191" s="3035" t="s">
        <v>3230</v>
      </c>
      <c r="C191" s="3035" t="s">
        <v>4456</v>
      </c>
      <c r="D191" s="3039">
        <v>56.933300000000003</v>
      </c>
      <c r="E191" s="3035" t="s">
        <v>1377</v>
      </c>
    </row>
    <row r="192" spans="1:5">
      <c r="A192" s="3035">
        <v>404</v>
      </c>
      <c r="B192" s="3035" t="s">
        <v>3230</v>
      </c>
      <c r="C192" s="3035" t="s">
        <v>4457</v>
      </c>
      <c r="D192" s="3039">
        <v>57.225000000000001</v>
      </c>
      <c r="E192" s="3035" t="s">
        <v>1377</v>
      </c>
    </row>
    <row r="193" spans="1:5">
      <c r="A193" s="3035">
        <v>405</v>
      </c>
      <c r="B193" s="3035" t="s">
        <v>3230</v>
      </c>
      <c r="C193" s="3035" t="s">
        <v>4458</v>
      </c>
      <c r="D193" s="3039">
        <v>57.225000000000001</v>
      </c>
      <c r="E193" s="3035" t="s">
        <v>1377</v>
      </c>
    </row>
    <row r="194" spans="1:5">
      <c r="A194" s="3035">
        <v>407</v>
      </c>
      <c r="B194" s="3035" t="s">
        <v>3230</v>
      </c>
      <c r="C194" s="3035" t="s">
        <v>4459</v>
      </c>
      <c r="D194" s="3039">
        <v>55.353200000000001</v>
      </c>
      <c r="E194" s="3035" t="s">
        <v>1377</v>
      </c>
    </row>
    <row r="195" spans="1:5">
      <c r="A195" s="3035">
        <v>408</v>
      </c>
      <c r="B195" s="3035" t="s">
        <v>3230</v>
      </c>
      <c r="C195" s="3035" t="s">
        <v>4460</v>
      </c>
      <c r="D195" s="3039">
        <v>55.061399999999999</v>
      </c>
      <c r="E195" s="3035" t="s">
        <v>1377</v>
      </c>
    </row>
    <row r="196" spans="1:5">
      <c r="A196" s="3035">
        <v>409</v>
      </c>
      <c r="B196" s="3035" t="s">
        <v>3230</v>
      </c>
      <c r="C196" s="3035" t="s">
        <v>4461</v>
      </c>
      <c r="D196" s="3039">
        <v>55.061399999999999</v>
      </c>
      <c r="E196" s="3035" t="s">
        <v>1377</v>
      </c>
    </row>
    <row r="197" spans="1:5">
      <c r="A197" s="3035">
        <v>410</v>
      </c>
      <c r="B197" s="3035" t="s">
        <v>3230</v>
      </c>
      <c r="C197" s="3035" t="s">
        <v>4462</v>
      </c>
      <c r="D197" s="3039">
        <v>55.353200000000001</v>
      </c>
      <c r="E197" s="3035" t="s">
        <v>1377</v>
      </c>
    </row>
    <row r="198" spans="1:5">
      <c r="A198" s="3035">
        <v>411</v>
      </c>
      <c r="B198" s="3035" t="s">
        <v>3230</v>
      </c>
      <c r="C198" s="3035" t="s">
        <v>4463</v>
      </c>
      <c r="D198" s="3039">
        <v>55.353200000000001</v>
      </c>
      <c r="E198" s="3035" t="s">
        <v>1377</v>
      </c>
    </row>
    <row r="199" spans="1:5">
      <c r="A199" s="3035">
        <v>412</v>
      </c>
      <c r="B199" s="3035" t="s">
        <v>3230</v>
      </c>
      <c r="C199" s="3035" t="s">
        <v>4464</v>
      </c>
      <c r="D199" s="3039">
        <v>55.061399999999999</v>
      </c>
      <c r="E199" s="3035" t="s">
        <v>1377</v>
      </c>
    </row>
    <row r="200" spans="1:5">
      <c r="A200" s="3035">
        <v>413</v>
      </c>
      <c r="B200" s="3035" t="s">
        <v>3230</v>
      </c>
      <c r="C200" s="3035" t="s">
        <v>4465</v>
      </c>
      <c r="D200" s="3039">
        <v>55.061399999999999</v>
      </c>
      <c r="E200" s="3035" t="s">
        <v>1377</v>
      </c>
    </row>
    <row r="201" spans="1:5">
      <c r="A201" s="3035">
        <v>416</v>
      </c>
      <c r="B201" s="3035" t="s">
        <v>3230</v>
      </c>
      <c r="C201" s="3035" t="s">
        <v>4466</v>
      </c>
      <c r="D201" s="3039">
        <v>57.869199999999999</v>
      </c>
      <c r="E201" s="3035" t="s">
        <v>1377</v>
      </c>
    </row>
    <row r="202" spans="1:5">
      <c r="A202" s="3035">
        <v>417</v>
      </c>
      <c r="B202" s="3035" t="s">
        <v>3230</v>
      </c>
      <c r="C202" s="3035" t="s">
        <v>4467</v>
      </c>
      <c r="D202" s="3039">
        <v>55.353200000000001</v>
      </c>
      <c r="E202" s="3035" t="s">
        <v>1377</v>
      </c>
    </row>
    <row r="203" spans="1:5">
      <c r="A203" s="3035">
        <v>418</v>
      </c>
      <c r="B203" s="3035" t="s">
        <v>3230</v>
      </c>
      <c r="C203" s="3035" t="s">
        <v>4468</v>
      </c>
      <c r="D203" s="3039">
        <v>55.353200000000001</v>
      </c>
      <c r="E203" s="3035" t="s">
        <v>1377</v>
      </c>
    </row>
    <row r="204" spans="1:5">
      <c r="A204" s="3035">
        <v>419</v>
      </c>
      <c r="B204" s="3035" t="s">
        <v>3230</v>
      </c>
      <c r="C204" s="3035" t="s">
        <v>4469</v>
      </c>
      <c r="D204" s="3039">
        <v>65.936000000000007</v>
      </c>
      <c r="E204" s="3035" t="s">
        <v>1377</v>
      </c>
    </row>
    <row r="205" spans="1:5">
      <c r="A205" s="3035">
        <v>420</v>
      </c>
      <c r="B205" s="3035" t="s">
        <v>3230</v>
      </c>
      <c r="C205" s="3035" t="s">
        <v>4470</v>
      </c>
      <c r="D205" s="3039">
        <v>65.936000000000007</v>
      </c>
      <c r="E205" s="3035" t="s">
        <v>1377</v>
      </c>
    </row>
    <row r="206" spans="1:5">
      <c r="D206" s="3041">
        <f>SUM(D2:D205)</f>
        <v>12454.790799999975</v>
      </c>
    </row>
    <row r="210" spans="4:6">
      <c r="D210" s="3041">
        <f>'[1]自编B-1栋'!D559+'[1]自编B-2栋'!D481+'自编B-3栋'!D206</f>
        <v>73865.868500000215</v>
      </c>
      <c r="E210" s="3035">
        <v>11166</v>
      </c>
      <c r="F210" s="3042">
        <f>E210*D210/10000</f>
        <v>82478.628767100236</v>
      </c>
    </row>
  </sheetData>
  <autoFilter ref="A1:H205"/>
  <phoneticPr fontId="144" type="noConversion"/>
  <pageMargins left="0.75" right="0.75" top="1" bottom="1" header="0.51180555555555551" footer="0.51180555555555551"/>
  <pageSetup paperSize="9" firstPageNumber="4294963191"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9" style="2269"/>
    <col min="68" max="16384" width="9" style="2270"/>
  </cols>
  <sheetData>
    <row r="1" spans="1:67" ht="19.5" thickBot="1">
      <c r="A1" s="2267" t="s">
        <v>1968</v>
      </c>
      <c r="B1" s="730"/>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1969</v>
      </c>
      <c r="B2" s="1265">
        <f>项目基本情况!D3</f>
        <v>43321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1976</v>
      </c>
      <c r="B5" s="2285" t="s">
        <v>1977</v>
      </c>
      <c r="C5" s="2286" t="s">
        <v>1978</v>
      </c>
      <c r="D5" s="2287" t="s">
        <v>1979</v>
      </c>
      <c r="E5" s="1267" t="s">
        <v>1980</v>
      </c>
      <c r="F5" s="2288" t="s">
        <v>1981</v>
      </c>
      <c r="G5" s="1267" t="s">
        <v>1982</v>
      </c>
      <c r="H5" s="1267" t="s">
        <v>1983</v>
      </c>
      <c r="I5" s="1267" t="s">
        <v>1984</v>
      </c>
      <c r="J5" s="2289" t="s">
        <v>1985</v>
      </c>
      <c r="K5" s="2290" t="s">
        <v>1986</v>
      </c>
      <c r="L5" s="2291" t="s">
        <v>1987</v>
      </c>
      <c r="M5" s="2292" t="s">
        <v>1988</v>
      </c>
      <c r="N5" s="2293" t="s">
        <v>1989</v>
      </c>
      <c r="O5" s="2291"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69" t="s">
        <v>2010</v>
      </c>
      <c r="AP5" s="1248" t="s">
        <v>2011</v>
      </c>
      <c r="AQ5" s="2300" t="s">
        <v>2012</v>
      </c>
      <c r="AR5" s="2300" t="s">
        <v>2013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二期商业</v>
      </c>
      <c r="B6" s="2302" t="str">
        <f>IF(A6=0,"","经营性")</f>
        <v>经营性</v>
      </c>
      <c r="C6" s="2303" t="s">
        <v>1377</v>
      </c>
      <c r="D6" s="1050">
        <f>SUMIF(项目基本情况!D$12:I$12,C6,项目基本情况!D$14:I$14)</f>
        <v>40</v>
      </c>
      <c r="E6" s="1047">
        <f>IF(B6="","",SUMIF(项目基本情况!D$12:I$12,C6,项目基本情况!D$13:I$13))</f>
        <v>56823</v>
      </c>
      <c r="F6" s="72">
        <f>SUMIF(项目基本情况!D$12:I$12,C6,项目基本情况!D$15:I$15)</f>
        <v>36.99</v>
      </c>
      <c r="G6" s="73">
        <f t="shared" ref="G6:G13" si="0">IF(ISERROR(ROUND(POWER(1+H6,D6-F6)*(POWER(1+H6,F6)-1)/(POWER(1+H6,D6)-1),3)),0,ROUND(POWER(1+H6,D6-F6)*(POWER(1+H6,F6)-1)/(POWER(1+H6,D6)-1),3))</f>
        <v>0.97399999999999998</v>
      </c>
      <c r="H6" s="800">
        <v>0.05</v>
      </c>
      <c r="I6" s="800">
        <v>5.5E-2</v>
      </c>
      <c r="J6" s="74">
        <v>8.5000000000000006E-2</v>
      </c>
      <c r="K6" s="1250">
        <f>SUMIF('数据-汇总表'!C$19:C$33,A6,'数据-汇总表'!E$19:E$33)</f>
        <v>10500.04</v>
      </c>
      <c r="L6" s="3389">
        <v>2800</v>
      </c>
      <c r="M6" s="75">
        <f t="shared" ref="M6:M14" si="1">ROUND(K6*L6/10000,0)</f>
        <v>2940</v>
      </c>
      <c r="N6" s="799">
        <v>0.99</v>
      </c>
      <c r="O6" s="75">
        <f>IF($N$5="成新度","——",ROUND(M6*N6,0))</f>
        <v>2911</v>
      </c>
      <c r="P6" s="76">
        <f>IF($N$5="成新度","——",M6-O6)</f>
        <v>29</v>
      </c>
      <c r="Q6" s="3393">
        <v>0.15</v>
      </c>
      <c r="R6" s="77">
        <f ca="1">SUMIF('数据-汇总表'!C$19:C$33,A6,'数据-汇总表'!R$19:R$27)</f>
        <v>1576.41</v>
      </c>
      <c r="S6" s="54">
        <f>IF('数据-汇总表'!$I$17="按面积比例",SUMIF('数据-汇总表'!C$19:C$33,A6,'数据-汇总表'!K$19:K$33),SUMIF('数据-汇总表'!C$19:C$33,A6,'数据-汇总表'!N$19:N$33))</f>
        <v>0</v>
      </c>
      <c r="T6" s="1442">
        <f>ROUND($L$14*S6/10000,0)</f>
        <v>0</v>
      </c>
      <c r="U6" s="78">
        <v>4.5</v>
      </c>
      <c r="V6" s="3390">
        <v>3.5000000000000003E-2</v>
      </c>
      <c r="W6" s="3390">
        <v>0.1</v>
      </c>
      <c r="X6" s="1260"/>
      <c r="Y6" s="3005">
        <v>1</v>
      </c>
      <c r="Z6" s="81"/>
      <c r="AA6" s="74"/>
      <c r="AB6" s="74"/>
      <c r="AC6" s="1260"/>
      <c r="AD6" s="82"/>
      <c r="AE6" s="1261">
        <f ca="1">IF(AN6="",0,SUMIF(INDIRECT("'"&amp;AN6&amp;"'"&amp;"!E:E"),$AE$5,INDIRECT("'"&amp;AN6&amp;"'"&amp;"!F:F")))</f>
        <v>36.79</v>
      </c>
      <c r="AF6" s="1803"/>
      <c r="AG6" s="146">
        <f>IF(AF6="",0,AE6-AF6)</f>
        <v>0</v>
      </c>
      <c r="AH6" s="83"/>
      <c r="AI6" s="85">
        <v>365</v>
      </c>
      <c r="AJ6" s="86"/>
      <c r="AK6" s="87">
        <v>1.4999999999999999E-2</v>
      </c>
      <c r="AL6" s="88">
        <v>1.5E-3</v>
      </c>
      <c r="AM6" s="89">
        <v>0.01</v>
      </c>
      <c r="AN6" s="2304" t="s">
        <v>3153</v>
      </c>
      <c r="AO6" s="55">
        <f ca="1">SUMIF(INDIRECT("'"&amp;AN6&amp;"'"&amp;"!A:A"),"总价",INDIRECT("'"&amp;AN6&amp;"'"&amp;"!B:B"))</f>
        <v>30202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二期B3#3-6、10、11层精装公寓（未售）</v>
      </c>
      <c r="B7" s="2302" t="str">
        <f t="shared" ref="B7:B13" si="2">IF(A7=0,"","经营性")</f>
        <v>经营性</v>
      </c>
      <c r="C7" s="2303" t="s">
        <v>1377</v>
      </c>
      <c r="D7" s="1050">
        <f>SUMIF(项目基本情况!D$12:I$12,C7,项目基本情况!D$14:I$14)</f>
        <v>40</v>
      </c>
      <c r="E7" s="1047">
        <f>IF(B7="","",SUMIF(项目基本情况!D$12:I$12,C7,项目基本情况!D$13:I$13))</f>
        <v>56823</v>
      </c>
      <c r="F7" s="72">
        <f>SUMIF(项目基本情况!D$12:I$12,C7,项目基本情况!D$15:I$15)</f>
        <v>36.99</v>
      </c>
      <c r="G7" s="73">
        <f t="shared" si="0"/>
        <v>0.97399999999999998</v>
      </c>
      <c r="H7" s="800">
        <v>0.05</v>
      </c>
      <c r="I7" s="800">
        <v>5.5E-2</v>
      </c>
      <c r="J7" s="74">
        <v>8.5000000000000006E-2</v>
      </c>
      <c r="K7" s="1250">
        <f>SUMIF('数据-汇总表'!C$19:C$33,A7,'数据-汇总表'!E$19:E$33)</f>
        <v>13722.48</v>
      </c>
      <c r="L7" s="3389">
        <v>3500</v>
      </c>
      <c r="M7" s="75">
        <f t="shared" si="1"/>
        <v>4803</v>
      </c>
      <c r="N7" s="799">
        <v>0.65</v>
      </c>
      <c r="O7" s="75">
        <f t="shared" ref="O7:O14" si="3">IF($N$5="成新度","——",ROUND(M7*N7,0))</f>
        <v>3122</v>
      </c>
      <c r="P7" s="76">
        <f t="shared" ref="P7:P14" si="4">IF($N$5="成新度","——",M7-O7)</f>
        <v>1681</v>
      </c>
      <c r="Q7" s="3393">
        <v>0.1</v>
      </c>
      <c r="R7" s="77">
        <f ca="1">SUMIF('数据-汇总表'!C$19:C$33,A7,'数据-汇总表'!R$19:R$27)</f>
        <v>2060.1999999999998</v>
      </c>
      <c r="S7" s="54">
        <f>IF('数据-汇总表'!$I$17="按面积比例",SUMIF('数据-汇总表'!C$19:C$33,A7,'数据-汇总表'!K$19:K$33),SUMIF('数据-汇总表'!C$19:C$33,A7,'数据-汇总表'!N$19:N$33))</f>
        <v>0</v>
      </c>
      <c r="T7" s="1442">
        <f t="shared" ref="T7:T13" si="5">ROUND($L$14*S7/10000,0)</f>
        <v>0</v>
      </c>
      <c r="U7" s="78"/>
      <c r="V7" s="79"/>
      <c r="W7" s="79"/>
      <c r="X7" s="1260"/>
      <c r="Y7" s="3005">
        <v>1</v>
      </c>
      <c r="Z7" s="81"/>
      <c r="AA7" s="74"/>
      <c r="AB7" s="74"/>
      <c r="AC7" s="1260"/>
      <c r="AD7" s="82"/>
      <c r="AE7" s="1261">
        <f t="shared" ref="AE7:AE13" ca="1" si="6">IF(AN7="",0,SUMIF(INDIRECT("'"&amp;AN7&amp;"'"&amp;"!E:E"),$AE$5,INDIRECT("'"&amp;AN7&amp;"'"&amp;"!F:F")))</f>
        <v>0</v>
      </c>
      <c r="AF7" s="1803"/>
      <c r="AG7" s="146">
        <f t="shared" ref="AG7:AG13" si="7">IF(AF7="",0,AE7-AF7)</f>
        <v>0</v>
      </c>
      <c r="AH7" s="83"/>
      <c r="AI7" s="85"/>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二期B1#、B3#简装公寓（未售）</v>
      </c>
      <c r="B8" s="2302" t="str">
        <f t="shared" si="2"/>
        <v>经营性</v>
      </c>
      <c r="C8" s="2303" t="s">
        <v>1377</v>
      </c>
      <c r="D8" s="1050">
        <f>SUMIF(项目基本情况!D$12:I$12,C8,项目基本情况!D$14:I$14)</f>
        <v>40</v>
      </c>
      <c r="E8" s="1047">
        <f>IF(B8="","",SUMIF(项目基本情况!D$12:I$12,C8,项目基本情况!D$13:I$13))</f>
        <v>56823</v>
      </c>
      <c r="F8" s="72">
        <f>SUMIF(项目基本情况!D$12:I$12,C8,项目基本情况!D$15:I$15)</f>
        <v>36.99</v>
      </c>
      <c r="G8" s="73">
        <f t="shared" si="0"/>
        <v>0.97399999999999998</v>
      </c>
      <c r="H8" s="800">
        <v>0.05</v>
      </c>
      <c r="I8" s="800">
        <v>5.5E-2</v>
      </c>
      <c r="J8" s="74">
        <v>8.5000000000000006E-2</v>
      </c>
      <c r="K8" s="1250">
        <f>SUMIF('数据-汇总表'!C$19:C$33,A8,'数据-汇总表'!E$19:E$33)</f>
        <v>19639.79</v>
      </c>
      <c r="L8" s="3389">
        <v>3000</v>
      </c>
      <c r="M8" s="75">
        <f>ROUND(K8*L8/10000,0)</f>
        <v>5892</v>
      </c>
      <c r="N8" s="799">
        <v>0.7</v>
      </c>
      <c r="O8" s="75">
        <f t="shared" si="3"/>
        <v>4124</v>
      </c>
      <c r="P8" s="76">
        <f t="shared" si="4"/>
        <v>1768</v>
      </c>
      <c r="Q8" s="3393">
        <v>0.1</v>
      </c>
      <c r="R8" s="77">
        <f ca="1">SUMIF('数据-汇总表'!C$19:C$33,A8,'数据-汇总表'!R$19:R$27)</f>
        <v>2948.59</v>
      </c>
      <c r="S8" s="54">
        <f>IF('数据-汇总表'!$I$17="按面积比例",SUMIF('数据-汇总表'!C$19:C$33,A8,'数据-汇总表'!K$19:K$33),SUMIF('数据-汇总表'!C$19:C$33,A8,'数据-汇总表'!N$19:N$33))</f>
        <v>0</v>
      </c>
      <c r="T8" s="1442">
        <f t="shared" si="5"/>
        <v>0</v>
      </c>
      <c r="U8" s="802"/>
      <c r="V8" s="803"/>
      <c r="W8" s="803"/>
      <c r="X8" s="1260"/>
      <c r="Y8" s="3005">
        <v>1</v>
      </c>
      <c r="Z8" s="81"/>
      <c r="AA8" s="74"/>
      <c r="AB8" s="74"/>
      <c r="AC8" s="1260"/>
      <c r="AD8" s="82"/>
      <c r="AE8" s="1261">
        <f t="shared" ca="1" si="6"/>
        <v>0</v>
      </c>
      <c r="AF8" s="1803"/>
      <c r="AG8" s="146">
        <f t="shared" si="7"/>
        <v>0</v>
      </c>
      <c r="AH8" s="804"/>
      <c r="AI8" s="85"/>
      <c r="AJ8" s="86"/>
      <c r="AK8" s="805">
        <v>1.4999999999999999E-2</v>
      </c>
      <c r="AL8" s="806">
        <v>1.5E-3</v>
      </c>
      <c r="AM8" s="807">
        <v>0.01</v>
      </c>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二期B2#办公（未售）</v>
      </c>
      <c r="B9" s="2302" t="str">
        <f t="shared" si="2"/>
        <v>经营性</v>
      </c>
      <c r="C9" s="2303" t="s">
        <v>1377</v>
      </c>
      <c r="D9" s="1050">
        <f>SUMIF(项目基本情况!D$12:I$12,C9,项目基本情况!D$14:I$14)</f>
        <v>40</v>
      </c>
      <c r="E9" s="1047">
        <f>IF(B9="","",SUMIF(项目基本情况!D$12:I$12,C9,项目基本情况!D$13:I$13))</f>
        <v>56823</v>
      </c>
      <c r="F9" s="72">
        <f>SUMIF(项目基本情况!D$12:I$12,C9,项目基本情况!D$15:I$15)</f>
        <v>36.99</v>
      </c>
      <c r="G9" s="73">
        <f t="shared" si="0"/>
        <v>0.97399999999999998</v>
      </c>
      <c r="H9" s="74">
        <v>0.05</v>
      </c>
      <c r="I9" s="74">
        <v>5.5E-2</v>
      </c>
      <c r="J9" s="74">
        <v>8.5000000000000006E-2</v>
      </c>
      <c r="K9" s="1250">
        <f>SUMIF('数据-汇总表'!C$19:C$33,A9,'数据-汇总表'!E$19:E$33)</f>
        <v>30003.56</v>
      </c>
      <c r="L9" s="3389">
        <v>3000</v>
      </c>
      <c r="M9" s="75">
        <f t="shared" si="1"/>
        <v>9001</v>
      </c>
      <c r="N9" s="799">
        <v>0.7</v>
      </c>
      <c r="O9" s="75">
        <f t="shared" si="3"/>
        <v>6301</v>
      </c>
      <c r="P9" s="76">
        <f t="shared" si="4"/>
        <v>2700</v>
      </c>
      <c r="Q9" s="3394">
        <v>0.1</v>
      </c>
      <c r="R9" s="77">
        <f ca="1">SUMIF('数据-汇总表'!C$19:C$33,A9,'数据-汇总表'!R$19:R$27)</f>
        <v>4504.53</v>
      </c>
      <c r="S9" s="54">
        <f>IF('数据-汇总表'!$I$17="按面积比例",SUMIF('数据-汇总表'!C$19:C$33,A9,'数据-汇总表'!K$19:K$33),SUMIF('数据-汇总表'!C$19:C$33,A9,'数据-汇总表'!N$19:N$33))</f>
        <v>0</v>
      </c>
      <c r="T9" s="1442">
        <f t="shared" si="5"/>
        <v>0</v>
      </c>
      <c r="U9" s="78">
        <v>4</v>
      </c>
      <c r="V9" s="79">
        <v>0.03</v>
      </c>
      <c r="W9" s="79">
        <v>0.15</v>
      </c>
      <c r="X9" s="1260"/>
      <c r="Y9" s="3005">
        <v>1</v>
      </c>
      <c r="Z9" s="81"/>
      <c r="AA9" s="74"/>
      <c r="AB9" s="74"/>
      <c r="AC9" s="1260"/>
      <c r="AD9" s="82"/>
      <c r="AE9" s="1261">
        <f t="shared" ca="1" si="6"/>
        <v>36.79</v>
      </c>
      <c r="AF9" s="1803"/>
      <c r="AG9" s="146">
        <f t="shared" si="7"/>
        <v>0</v>
      </c>
      <c r="AH9" s="83"/>
      <c r="AI9" s="85">
        <v>365</v>
      </c>
      <c r="AJ9" s="86"/>
      <c r="AK9" s="87">
        <v>1.4999999999999999E-2</v>
      </c>
      <c r="AL9" s="88">
        <v>1.5E-3</v>
      </c>
      <c r="AM9" s="89">
        <v>0.01</v>
      </c>
      <c r="AN9" s="2304" t="s">
        <v>3155</v>
      </c>
      <c r="AO9" s="55">
        <f t="shared" ca="1" si="8"/>
        <v>66401</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hidden="1">
      <c r="A10" s="2301">
        <f>'数据-汇总表'!C23</f>
        <v>0</v>
      </c>
      <c r="B10" s="2302" t="str">
        <f t="shared" si="2"/>
        <v/>
      </c>
      <c r="C10" s="3001" t="s">
        <v>3209</v>
      </c>
      <c r="D10" s="1050">
        <f>SUMIF(项目基本情况!D$12:I$12,C10,项目基本情况!D$14:I$14)</f>
        <v>40</v>
      </c>
      <c r="E10" s="1047" t="str">
        <f>IF(B10="","",SUMIF(项目基本情况!D$12:I$12,C10,项目基本情况!D$13:I$13))</f>
        <v/>
      </c>
      <c r="F10" s="72">
        <f>SUMIF(项目基本情况!D$12:I$12,C10,项目基本情况!D$15:I$15)</f>
        <v>36.99</v>
      </c>
      <c r="G10" s="73">
        <f t="shared" si="0"/>
        <v>0.96699999999999997</v>
      </c>
      <c r="H10" s="74">
        <v>0.04</v>
      </c>
      <c r="I10" s="74">
        <v>4.4999999999999998E-2</v>
      </c>
      <c r="J10" s="74">
        <v>8.5000000000000006E-2</v>
      </c>
      <c r="K10" s="1250">
        <f>SUMIF('数据-汇总表'!C$19:C$33,A10,'数据-汇总表'!E$19:E$33)</f>
        <v>0</v>
      </c>
      <c r="L10" s="801"/>
      <c r="M10" s="75">
        <f t="shared" si="1"/>
        <v>0</v>
      </c>
      <c r="N10" s="799">
        <v>0.95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v>1.5</v>
      </c>
      <c r="V10" s="79">
        <v>0.03</v>
      </c>
      <c r="W10" s="79">
        <v>0.15</v>
      </c>
      <c r="X10" s="1260"/>
      <c r="Y10" s="3005">
        <v>1</v>
      </c>
      <c r="Z10" s="81"/>
      <c r="AA10" s="74"/>
      <c r="AB10" s="74"/>
      <c r="AC10" s="1260"/>
      <c r="AD10" s="82"/>
      <c r="AE10" s="1261">
        <f t="shared" ca="1" si="6"/>
        <v>0</v>
      </c>
      <c r="AF10" s="1803"/>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hidden="1">
      <c r="A11" s="2301">
        <f>'数据-汇总表'!C24</f>
        <v>0</v>
      </c>
      <c r="B11" s="2302" t="str">
        <f t="shared" si="2"/>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0"/>
        <v>0</v>
      </c>
      <c r="H11" s="74"/>
      <c r="I11" s="74"/>
      <c r="J11" s="74"/>
      <c r="K11" s="1250">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hidden="1">
      <c r="A12" s="2301">
        <f>'数据-汇总表'!C25</f>
        <v>0</v>
      </c>
      <c r="B12" s="2302" t="str">
        <f t="shared" si="2"/>
        <v/>
      </c>
      <c r="C12" s="2303"/>
      <c r="D12" s="1050">
        <f>SUMIF(项目基本情况!D$12:I$12,C12,项目基本情况!D$14:I$14)</f>
        <v>0</v>
      </c>
      <c r="E12" s="1047" t="str">
        <f>IF(B12="","",SUMIF(项目基本情况!D$12:I$12,C12,项目基本情况!D$13:I$13))</f>
        <v/>
      </c>
      <c r="F12" s="72">
        <f>SUMIF(项目基本情况!D$12:I$12,C12,项目基本情况!D$15:I$15)</f>
        <v>0</v>
      </c>
      <c r="G12" s="73">
        <f t="shared" si="0"/>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hidden="1">
      <c r="A13" s="2301">
        <f>'数据-汇总表'!C26</f>
        <v>0</v>
      </c>
      <c r="B13" s="2302" t="str">
        <f t="shared" si="2"/>
        <v/>
      </c>
      <c r="C13" s="2303"/>
      <c r="D13" s="1050">
        <f>SUMIF(项目基本情况!D$12:I$12,C13,项目基本情况!D$14:I$14)</f>
        <v>0</v>
      </c>
      <c r="E13" s="1047" t="str">
        <f>IF(B13="","",SUMIF(项目基本情况!D$12:I$12,C13,项目基本情况!D$13:I$13))</f>
        <v/>
      </c>
      <c r="F13" s="72">
        <f>SUMIF(项目基本情况!D$12:I$12,C13,项目基本情况!D$15:I$15)</f>
        <v>0</v>
      </c>
      <c r="G13" s="73">
        <f t="shared" si="0"/>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hidden="1">
      <c r="A14" s="2306" t="s">
        <v>2014</v>
      </c>
      <c r="B14" s="2302" t="s">
        <v>2015</v>
      </c>
      <c r="C14" s="2307" t="s">
        <v>2014</v>
      </c>
      <c r="D14" s="1050"/>
      <c r="E14" s="1047"/>
      <c r="F14" s="72"/>
      <c r="G14" s="73"/>
      <c r="H14" s="1249"/>
      <c r="I14" s="1249"/>
      <c r="J14" s="1249"/>
      <c r="K14" s="1250">
        <f>SUMIF('数据-汇总表'!C$19:C$33,A14,'数据-汇总表'!E$19:E$33)</f>
        <v>0</v>
      </c>
      <c r="L14" s="91"/>
      <c r="M14" s="75">
        <f t="shared" si="1"/>
        <v>0</v>
      </c>
      <c r="N14" s="92">
        <v>0.95</v>
      </c>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1"/>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hidden="1">
      <c r="A15" s="2306" t="s">
        <v>2016</v>
      </c>
      <c r="B15" s="2302" t="s">
        <v>2015</v>
      </c>
      <c r="C15" s="2307"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1"/>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2018</v>
      </c>
      <c r="B16" s="97"/>
      <c r="C16" s="1004"/>
      <c r="D16" s="2309"/>
      <c r="E16" s="97"/>
      <c r="F16" s="97"/>
      <c r="G16" s="98">
        <f>ROUND(SUMPRODUCT(G6:G13,K6:K13)/SUMPRODUCT((G6:G13&gt;0)*(K6:K13)),3)</f>
        <v>0.97399999999999998</v>
      </c>
      <c r="H16" s="99">
        <f>ROUND(SUMPRODUCT(H6:H13,K6:K13)/SUMPRODUCT((H6:H13&gt;0)*(K6:K13)),3)</f>
        <v>0.05</v>
      </c>
      <c r="I16" s="100"/>
      <c r="J16" s="100"/>
      <c r="K16" s="101">
        <f>SUM(K6:K15)</f>
        <v>73865.87</v>
      </c>
      <c r="L16" s="102">
        <f>ROUND(M16*10000/SUM(K6:K14),0)</f>
        <v>3064</v>
      </c>
      <c r="M16" s="102">
        <f>SUM(M6:M14)</f>
        <v>22636</v>
      </c>
      <c r="N16" s="103">
        <f>ROUND(SUMPRODUCT(M6:M14,N6:N14)/M16,3)</f>
        <v>0.72699999999999998</v>
      </c>
      <c r="O16" s="102">
        <f>SUM(O6:O14)</f>
        <v>16458</v>
      </c>
      <c r="P16" s="102">
        <f>SUM(P6:P14)</f>
        <v>6178</v>
      </c>
      <c r="Q16" s="104">
        <f>ROUND(SUMPRODUCT(Q6:Q13,K6:K13)/SUMPRODUCT((Q6:Q13&gt;0)*(K6:K13)),2)</f>
        <v>0.11</v>
      </c>
      <c r="R16" s="1254">
        <f ca="1">SUM(R6:R13)</f>
        <v>11089.73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0"/>
      <c r="D17" s="2268"/>
      <c r="E17" s="2268"/>
      <c r="F17" s="1580"/>
      <c r="G17" s="1580"/>
      <c r="H17" s="1580"/>
      <c r="I17" s="1580"/>
      <c r="J17" s="1580"/>
      <c r="K17" s="3019"/>
      <c r="L17" s="3020" t="s">
        <v>3214</v>
      </c>
      <c r="M17" s="3020" t="s">
        <v>3215</v>
      </c>
      <c r="N17" s="3021" t="s">
        <v>3216</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5"/>
      <c r="C18" s="2272"/>
      <c r="D18" s="2273"/>
      <c r="E18" s="2272"/>
      <c r="F18" s="2272"/>
      <c r="G18" s="2272"/>
      <c r="H18" s="2272"/>
      <c r="I18" s="2272"/>
      <c r="J18" s="2272"/>
      <c r="K18" s="3022" t="s">
        <v>3210</v>
      </c>
      <c r="L18" s="3023" t="s">
        <v>3211</v>
      </c>
      <c r="M18" s="3023" t="s">
        <v>3212</v>
      </c>
      <c r="N18" s="3024" t="s">
        <v>3213</v>
      </c>
      <c r="O18" s="1580"/>
      <c r="P18" s="1580"/>
      <c r="Q18" s="1580"/>
      <c r="R18" s="1580"/>
      <c r="S18" s="1580"/>
      <c r="T18" s="3009"/>
      <c r="U18" s="3010"/>
      <c r="V18" s="3010"/>
      <c r="W18" s="3011" t="s">
        <v>3225</v>
      </c>
      <c r="X18" s="3010"/>
      <c r="Y18" s="3011" t="s">
        <v>3224</v>
      </c>
      <c r="Z18" s="3012"/>
      <c r="AA18" s="1580"/>
      <c r="AB18" s="1580"/>
      <c r="AC18" s="1580"/>
      <c r="AD18" s="1580"/>
      <c r="AE18" s="1580"/>
      <c r="AF18" s="1580"/>
      <c r="AG18" s="1580"/>
      <c r="AH18" s="1580"/>
      <c r="AI18" s="1580"/>
      <c r="AJ18" s="1580"/>
      <c r="AK18" s="1580"/>
      <c r="AL18" s="1580"/>
      <c r="AM18" s="1580"/>
    </row>
    <row r="19" spans="1:67" ht="14.25">
      <c r="A19" s="2311" t="s">
        <v>2020</v>
      </c>
      <c r="B19" s="112">
        <v>0</v>
      </c>
      <c r="C19" s="2272" t="s">
        <v>2021</v>
      </c>
      <c r="D19" s="2273"/>
      <c r="E19" s="2272"/>
      <c r="F19" s="2272"/>
      <c r="G19" s="2272"/>
      <c r="H19" s="2272"/>
      <c r="I19" s="2272"/>
      <c r="J19" s="2272"/>
      <c r="K19" s="167"/>
      <c r="L19" s="167"/>
      <c r="M19" s="1580"/>
      <c r="N19" s="1580"/>
      <c r="O19" s="1580"/>
      <c r="P19" s="1580"/>
      <c r="Q19" s="1580"/>
      <c r="R19" s="1580"/>
      <c r="S19" s="1580"/>
      <c r="T19" s="3013" t="s">
        <v>3222</v>
      </c>
      <c r="U19" s="3014">
        <v>4054.9385000000002</v>
      </c>
      <c r="V19" s="3014">
        <v>1</v>
      </c>
      <c r="W19" s="3014">
        <v>32000</v>
      </c>
      <c r="X19" s="3014">
        <f>W19*U19/10000</f>
        <v>12975.8032</v>
      </c>
      <c r="Y19" s="3014">
        <v>5</v>
      </c>
      <c r="Z19" s="3015">
        <f>Y19*U19</f>
        <v>20274.692500000001</v>
      </c>
      <c r="AA19" s="1580"/>
      <c r="AB19" s="1580"/>
      <c r="AC19" s="1580"/>
      <c r="AD19" s="1580"/>
      <c r="AE19" s="1580"/>
      <c r="AF19" s="1580"/>
      <c r="AG19" s="1580"/>
      <c r="AH19" s="1580"/>
      <c r="AI19" s="1580"/>
      <c r="AJ19" s="1580"/>
      <c r="AK19" s="1580"/>
      <c r="AL19" s="1580"/>
      <c r="AM19" s="1580"/>
    </row>
    <row r="20" spans="1:67" ht="14.25">
      <c r="A20" s="2312" t="s">
        <v>2022</v>
      </c>
      <c r="B20" s="113">
        <v>2</v>
      </c>
      <c r="C20" s="2272" t="s">
        <v>2023</v>
      </c>
      <c r="D20" s="2273"/>
      <c r="E20" s="2272"/>
      <c r="F20" s="2272"/>
      <c r="G20" s="2272"/>
      <c r="H20" s="2272"/>
      <c r="I20" s="2272"/>
      <c r="J20" s="2272"/>
      <c r="K20" s="167"/>
      <c r="L20" s="167"/>
      <c r="M20" s="1580"/>
      <c r="N20" s="1580"/>
      <c r="O20" s="1580"/>
      <c r="P20" s="1580"/>
      <c r="Q20" s="1580"/>
      <c r="R20" s="1580"/>
      <c r="S20" s="1580"/>
      <c r="T20" s="3013" t="s">
        <v>3223</v>
      </c>
      <c r="U20" s="3014">
        <v>6445.1053000000002</v>
      </c>
      <c r="V20" s="3014">
        <v>0.7</v>
      </c>
      <c r="W20" s="3014">
        <f>W19*V20</f>
        <v>22400</v>
      </c>
      <c r="X20" s="3014">
        <f>W20*U20/10000</f>
        <v>14437.035872</v>
      </c>
      <c r="Y20" s="3014">
        <f>Y19*V20</f>
        <v>3.5</v>
      </c>
      <c r="Z20" s="3015">
        <f>Y20*U20</f>
        <v>22557.868549999999</v>
      </c>
      <c r="AA20" s="1580"/>
      <c r="AB20" s="1580"/>
      <c r="AC20" s="1580"/>
      <c r="AD20" s="1580"/>
      <c r="AE20" s="1580"/>
      <c r="AF20" s="1580"/>
      <c r="AG20" s="1580"/>
      <c r="AH20" s="1580"/>
      <c r="AI20" s="1580"/>
      <c r="AJ20" s="1580"/>
      <c r="AK20" s="1580"/>
      <c r="AL20" s="1580"/>
      <c r="AM20" s="1580"/>
    </row>
    <row r="21" spans="1:67" ht="15" thickBot="1">
      <c r="A21" s="2313" t="s">
        <v>2024</v>
      </c>
      <c r="B21" s="3392">
        <v>1.8</v>
      </c>
      <c r="C21" s="2272"/>
      <c r="D21" s="2273"/>
      <c r="E21" s="2272"/>
      <c r="F21" s="2272"/>
      <c r="G21" s="2272"/>
      <c r="H21" s="2272"/>
      <c r="I21" s="2272"/>
      <c r="J21" s="2272"/>
      <c r="K21" s="167"/>
      <c r="L21" s="167"/>
      <c r="M21" s="1580"/>
      <c r="N21" s="1580"/>
      <c r="O21" s="1580"/>
      <c r="P21" s="1580"/>
      <c r="Q21" s="1580"/>
      <c r="R21" s="1580"/>
      <c r="S21" s="1580"/>
      <c r="T21" s="3016"/>
      <c r="U21" s="3017">
        <f t="shared" ref="U21" si="12">U19+U20</f>
        <v>10500.043799999999</v>
      </c>
      <c r="V21" s="3017"/>
      <c r="W21" s="3017"/>
      <c r="X21" s="3017">
        <f>X19+X20</f>
        <v>27412.839072000002</v>
      </c>
      <c r="Y21" s="3017"/>
      <c r="Z21" s="3018">
        <f>(Z19+Z20)/U21</f>
        <v>4.079274512169178</v>
      </c>
      <c r="AA21" s="1580"/>
      <c r="AB21" s="1580"/>
      <c r="AC21" s="1580"/>
      <c r="AD21" s="1580"/>
      <c r="AE21" s="1580"/>
      <c r="AF21" s="1580"/>
      <c r="AG21" s="1580"/>
      <c r="AH21" s="1580"/>
      <c r="AI21" s="1580"/>
      <c r="AJ21" s="1580"/>
      <c r="AK21" s="1580"/>
      <c r="AL21" s="1580"/>
      <c r="AM21" s="1580"/>
    </row>
    <row r="22" spans="1:67" ht="14.25">
      <c r="A22" s="2312" t="s">
        <v>2025</v>
      </c>
      <c r="B22" s="114">
        <f>B19+B20</f>
        <v>2</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2026</v>
      </c>
      <c r="B23" s="114">
        <f>B19+B21</f>
        <v>1.8</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2027</v>
      </c>
      <c r="B24" s="115">
        <f>B20-B21</f>
        <v>0.19999999999999996</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2028</v>
      </c>
      <c r="B26" s="2315" t="s">
        <v>2029</v>
      </c>
      <c r="C26" s="2316" t="s">
        <v>2030</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2031</v>
      </c>
      <c r="B27" s="116">
        <f>K27*K28</f>
        <v>83</v>
      </c>
      <c r="C27" s="2961" t="s">
        <v>3108</v>
      </c>
      <c r="D27" s="2318"/>
      <c r="E27" s="1426"/>
      <c r="F27" s="1426"/>
      <c r="G27" s="2272"/>
      <c r="H27" s="2272"/>
      <c r="I27" s="2272"/>
      <c r="J27" s="2272"/>
      <c r="K27" s="167">
        <v>1660</v>
      </c>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2032</v>
      </c>
      <c r="B28" s="119">
        <f>B27</f>
        <v>83</v>
      </c>
      <c r="C28" s="2321"/>
      <c r="D28" s="2318"/>
      <c r="E28" s="1426"/>
      <c r="F28" s="1426" t="s">
        <v>3109</v>
      </c>
      <c r="G28" s="2272"/>
      <c r="H28" s="2272"/>
      <c r="I28" s="2272"/>
      <c r="J28" s="2272"/>
      <c r="K28" s="2476">
        <v>0.05</v>
      </c>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2033</v>
      </c>
      <c r="B29" s="3004">
        <f ca="1">成本法!C10</f>
        <v>613</v>
      </c>
      <c r="C29" s="1763" t="s">
        <v>2034</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2035</v>
      </c>
      <c r="B30" s="723">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2036</v>
      </c>
      <c r="B31" s="120">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2037</v>
      </c>
      <c r="B32" s="724">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2038</v>
      </c>
      <c r="B33" s="3401">
        <v>0.03</v>
      </c>
      <c r="C33" s="1762" t="s">
        <v>2039</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2040</v>
      </c>
      <c r="B34" s="121">
        <v>0</v>
      </c>
      <c r="C34" s="1762" t="s">
        <v>2041</v>
      </c>
      <c r="D34" s="2273" t="s">
        <v>2042</v>
      </c>
      <c r="E34" s="730"/>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2043</v>
      </c>
      <c r="B35" s="119">
        <v>200</v>
      </c>
      <c r="C35" s="1762" t="s">
        <v>2044</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2045</v>
      </c>
      <c r="B36" s="122">
        <v>1.4999999999999999E-2</v>
      </c>
      <c r="C36" s="1762" t="s">
        <v>2046</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2047</v>
      </c>
      <c r="B37" s="123">
        <v>0.02</v>
      </c>
      <c r="C37" s="1762" t="s">
        <v>2048</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2049</v>
      </c>
      <c r="B38" s="121">
        <v>0.03</v>
      </c>
      <c r="C38" s="1762" t="s">
        <v>2048</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2050</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2051</v>
      </c>
      <c r="B40" s="1299">
        <f ca="1">存贷款利率!G1</f>
        <v>4.7500000000000001E-2</v>
      </c>
      <c r="C40" s="1762" t="s">
        <v>2052</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2053</v>
      </c>
      <c r="B41" s="124">
        <f>B42+B43</f>
        <v>5.6000000000000001E-2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2054</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2055</v>
      </c>
      <c r="B43" s="126">
        <f>B42*(B44+B45+B46)+B47</f>
        <v>6.000000000000001E-3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2056</v>
      </c>
      <c r="B44" s="127">
        <v>7.0000000000000007E-2</v>
      </c>
      <c r="C44" s="1762" t="s">
        <v>2057</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2058</v>
      </c>
      <c r="B45" s="125">
        <v>0.03</v>
      </c>
      <c r="C45" s="1763" t="s">
        <v>2059</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2060</v>
      </c>
      <c r="B46" s="125">
        <v>0.02</v>
      </c>
      <c r="C46" s="1763" t="s">
        <v>2061</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2062</v>
      </c>
      <c r="B47" s="128"/>
      <c r="C47" s="1763" t="s">
        <v>2063</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2064</v>
      </c>
      <c r="B48" s="129">
        <v>0.03</v>
      </c>
      <c r="C48" s="1770" t="s">
        <v>2065</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2066</v>
      </c>
      <c r="B49" s="125">
        <v>5.0000000000000001E-4</v>
      </c>
      <c r="C49" s="1770" t="s">
        <v>2067</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2068</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2069</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2070</v>
      </c>
      <c r="B52" s="132">
        <f>SUMIF(A54:A63,B53,B54:B63)</f>
        <v>9</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2071</v>
      </c>
      <c r="B53" s="2331" t="s">
        <v>442</v>
      </c>
      <c r="C53" s="1426"/>
      <c r="D53" s="2332" t="s">
        <v>2072</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2073</v>
      </c>
      <c r="B54" s="84">
        <v>15</v>
      </c>
      <c r="C54" s="1426"/>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2074</v>
      </c>
      <c r="B55" s="84">
        <v>12</v>
      </c>
      <c r="C55" s="1426"/>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2075</v>
      </c>
      <c r="B56" s="84">
        <v>9</v>
      </c>
      <c r="C56" s="1426"/>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2076</v>
      </c>
      <c r="B57" s="84">
        <v>6</v>
      </c>
      <c r="C57" s="1426"/>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2077</v>
      </c>
      <c r="B58" s="84">
        <v>3</v>
      </c>
      <c r="C58" s="1426"/>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2078</v>
      </c>
      <c r="B59" s="84"/>
      <c r="C59" s="1426"/>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2079</v>
      </c>
      <c r="B60" s="84"/>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2080</v>
      </c>
      <c r="B61" s="84"/>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2081</v>
      </c>
      <c r="B62" s="84"/>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2082</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6"/>
      <c r="L64" s="796"/>
    </row>
    <row r="65" spans="1:12" s="963" customFormat="1">
      <c r="A65" s="2336"/>
      <c r="D65" s="2337"/>
      <c r="K65" s="796"/>
      <c r="L65" s="796"/>
    </row>
    <row r="66" spans="1:12" s="963" customFormat="1">
      <c r="A66" s="2336"/>
      <c r="D66" s="2337"/>
      <c r="K66" s="796"/>
      <c r="L66" s="796"/>
    </row>
    <row r="67" spans="1:12" s="963" customFormat="1">
      <c r="A67" s="2336"/>
      <c r="D67" s="2337"/>
      <c r="K67" s="796"/>
      <c r="L67" s="796"/>
    </row>
    <row r="68" spans="1:12" s="963" customFormat="1">
      <c r="A68" s="2336"/>
      <c r="D68" s="2337"/>
      <c r="K68" s="796"/>
      <c r="L68" s="796"/>
    </row>
    <row r="69" spans="1:12" s="963" customFormat="1">
      <c r="A69" s="2336"/>
      <c r="D69" s="2337"/>
      <c r="K69" s="796"/>
      <c r="L69" s="796"/>
    </row>
    <row r="70" spans="1:12" s="963" customFormat="1">
      <c r="A70" s="2336"/>
      <c r="D70" s="2337"/>
      <c r="K70" s="796"/>
      <c r="L70" s="796"/>
    </row>
    <row r="71" spans="1:12" s="963" customFormat="1">
      <c r="A71" s="2336"/>
      <c r="D71" s="2337"/>
      <c r="K71" s="796"/>
      <c r="L71" s="796"/>
    </row>
    <row r="72" spans="1:12" s="963" customFormat="1">
      <c r="A72" s="2336"/>
      <c r="D72" s="2337"/>
      <c r="K72" s="796"/>
      <c r="L72" s="796"/>
    </row>
    <row r="73" spans="1:12" s="963" customFormat="1">
      <c r="A73" s="2336"/>
      <c r="D73" s="2337"/>
      <c r="K73" s="796"/>
      <c r="L73" s="796"/>
    </row>
    <row r="74" spans="1:12" s="963" customFormat="1">
      <c r="A74" s="2336"/>
      <c r="D74" s="2337"/>
      <c r="K74" s="796"/>
      <c r="L74" s="796"/>
    </row>
    <row r="75" spans="1:12" s="963" customFormat="1">
      <c r="A75" s="2336"/>
      <c r="D75" s="2337"/>
      <c r="K75" s="796"/>
      <c r="L75" s="796"/>
    </row>
    <row r="76" spans="1:12" s="963" customFormat="1">
      <c r="A76" s="2336"/>
      <c r="D76" s="2337"/>
      <c r="K76" s="796"/>
      <c r="L76" s="796"/>
    </row>
    <row r="77" spans="1:12" s="963" customFormat="1">
      <c r="A77" s="2336"/>
      <c r="D77" s="2337"/>
      <c r="K77" s="796"/>
      <c r="L77" s="796"/>
    </row>
    <row r="78" spans="1:12" s="963" customFormat="1">
      <c r="A78" s="2336"/>
      <c r="D78" s="2337"/>
      <c r="K78" s="796"/>
      <c r="L78" s="796"/>
    </row>
    <row r="79" spans="1:12" s="963" customFormat="1">
      <c r="A79" s="2336"/>
      <c r="D79" s="2337"/>
      <c r="K79" s="796"/>
      <c r="L79" s="796"/>
    </row>
    <row r="80" spans="1:12" s="963" customFormat="1">
      <c r="A80" s="2336"/>
      <c r="D80" s="2337"/>
      <c r="K80" s="796"/>
      <c r="L80" s="796"/>
    </row>
    <row r="81" spans="1:12" s="963" customFormat="1">
      <c r="A81" s="2336"/>
      <c r="D81" s="2337"/>
      <c r="K81" s="796"/>
      <c r="L81" s="796"/>
    </row>
    <row r="82" spans="1:12" s="963" customFormat="1">
      <c r="A82" s="2336"/>
      <c r="D82" s="2337"/>
      <c r="K82" s="796"/>
      <c r="L82" s="796"/>
    </row>
    <row r="83" spans="1:12" s="963" customFormat="1">
      <c r="A83" s="2336"/>
      <c r="D83" s="2337"/>
      <c r="K83" s="796"/>
      <c r="L83" s="796"/>
    </row>
    <row r="84" spans="1:12" s="963" customFormat="1">
      <c r="A84" s="2336"/>
      <c r="D84" s="2337"/>
      <c r="K84" s="796"/>
      <c r="L84" s="796"/>
    </row>
    <row r="85" spans="1:12" s="963" customFormat="1">
      <c r="A85" s="2336"/>
      <c r="D85" s="2337"/>
      <c r="K85" s="796"/>
      <c r="L85" s="796"/>
    </row>
    <row r="86" spans="1:12" s="963" customFormat="1">
      <c r="A86" s="2336"/>
      <c r="D86" s="2337"/>
      <c r="K86" s="796"/>
      <c r="L86" s="796"/>
    </row>
    <row r="87" spans="1:12" s="963" customFormat="1">
      <c r="A87" s="2336"/>
      <c r="D87" s="2337"/>
      <c r="K87" s="796"/>
      <c r="L87" s="796"/>
    </row>
    <row r="88" spans="1:12" s="963" customFormat="1">
      <c r="A88" s="2336"/>
      <c r="D88" s="2337"/>
      <c r="K88" s="796"/>
      <c r="L88" s="796"/>
    </row>
    <row r="89" spans="1:12" s="963" customFormat="1">
      <c r="A89" s="2336"/>
      <c r="D89" s="2337"/>
      <c r="K89" s="796"/>
      <c r="L89" s="796"/>
    </row>
    <row r="90" spans="1:12" s="963" customFormat="1">
      <c r="A90" s="2336"/>
      <c r="D90" s="2337"/>
      <c r="K90" s="796"/>
      <c r="L90" s="796"/>
    </row>
    <row r="91" spans="1:12" s="963" customFormat="1">
      <c r="A91" s="2336"/>
      <c r="D91" s="2337"/>
      <c r="K91" s="796"/>
      <c r="L91" s="796"/>
    </row>
    <row r="92" spans="1:12" s="963" customFormat="1">
      <c r="A92" s="2336"/>
      <c r="D92" s="2337"/>
      <c r="K92" s="796"/>
      <c r="L92" s="796"/>
    </row>
    <row r="93" spans="1:12" s="963" customFormat="1">
      <c r="A93" s="2336"/>
      <c r="D93" s="2337"/>
      <c r="K93" s="796"/>
      <c r="L93" s="796"/>
    </row>
    <row r="94" spans="1:12" s="963" customFormat="1">
      <c r="A94" s="2336"/>
      <c r="D94" s="2337"/>
      <c r="K94" s="796"/>
      <c r="L94" s="796"/>
    </row>
    <row r="95" spans="1:12" s="963" customFormat="1">
      <c r="A95" s="2336"/>
      <c r="D95" s="2337"/>
      <c r="K95" s="796"/>
      <c r="L95" s="796"/>
    </row>
    <row r="96" spans="1:12" s="963" customFormat="1">
      <c r="A96" s="2336"/>
      <c r="D96" s="2337"/>
      <c r="K96" s="796"/>
      <c r="L96" s="796"/>
    </row>
    <row r="97" spans="1:12" s="963" customFormat="1">
      <c r="A97" s="2336"/>
      <c r="D97" s="2337"/>
      <c r="K97" s="796"/>
      <c r="L97" s="796"/>
    </row>
    <row r="98" spans="1:12" s="963" customFormat="1">
      <c r="A98" s="2336"/>
      <c r="D98" s="2337"/>
      <c r="K98" s="796"/>
      <c r="L98" s="796"/>
    </row>
    <row r="99" spans="1:12" s="963" customFormat="1">
      <c r="A99" s="2336"/>
      <c r="D99" s="2337"/>
      <c r="K99" s="796"/>
      <c r="L99" s="796"/>
    </row>
    <row r="100" spans="1:12" s="963" customFormat="1">
      <c r="A100" s="2336"/>
      <c r="D100" s="2337"/>
      <c r="K100" s="796"/>
      <c r="L100" s="796"/>
    </row>
    <row r="101" spans="1:12" s="963" customFormat="1">
      <c r="A101" s="2336"/>
      <c r="D101" s="2337"/>
      <c r="K101" s="796"/>
      <c r="L101" s="796"/>
    </row>
    <row r="102" spans="1:12" s="963" customFormat="1">
      <c r="A102" s="2336"/>
      <c r="D102" s="2337"/>
      <c r="K102" s="796"/>
      <c r="L102" s="796"/>
    </row>
    <row r="103" spans="1:12" s="963" customFormat="1">
      <c r="A103" s="2336"/>
      <c r="D103" s="2337"/>
      <c r="K103" s="796"/>
      <c r="L103" s="796"/>
    </row>
    <row r="104" spans="1:12" s="963" customFormat="1">
      <c r="A104" s="2336"/>
      <c r="D104" s="2337"/>
      <c r="K104" s="796"/>
      <c r="L104" s="796"/>
    </row>
    <row r="105" spans="1:12" s="963" customFormat="1">
      <c r="A105" s="2336"/>
      <c r="D105" s="2337"/>
      <c r="K105" s="796"/>
      <c r="L105" s="796"/>
    </row>
    <row r="106" spans="1:12" s="963" customFormat="1">
      <c r="A106" s="2336"/>
      <c r="D106" s="2337"/>
      <c r="K106" s="796"/>
      <c r="L106" s="796"/>
    </row>
    <row r="107" spans="1:12" s="963" customFormat="1">
      <c r="A107" s="2336"/>
      <c r="D107" s="2337"/>
      <c r="K107" s="796"/>
      <c r="L107" s="796"/>
    </row>
    <row r="108" spans="1:12" s="963" customFormat="1">
      <c r="A108" s="2336"/>
      <c r="D108" s="2337"/>
      <c r="K108" s="796"/>
      <c r="L108" s="796"/>
    </row>
    <row r="109" spans="1:12" s="963" customFormat="1">
      <c r="A109" s="2336"/>
      <c r="D109" s="2337"/>
      <c r="K109" s="796"/>
      <c r="L109" s="796"/>
    </row>
    <row r="110" spans="1:12" s="963" customFormat="1">
      <c r="A110" s="2336"/>
      <c r="D110" s="2337"/>
      <c r="K110" s="796"/>
      <c r="L110" s="796"/>
    </row>
    <row r="111" spans="1:12" s="963" customFormat="1">
      <c r="A111" s="2336"/>
      <c r="D111" s="2337"/>
      <c r="K111" s="796"/>
      <c r="L111" s="796"/>
    </row>
    <row r="112" spans="1:12" s="963" customFormat="1">
      <c r="A112" s="2336"/>
      <c r="D112" s="2337"/>
      <c r="K112" s="796"/>
      <c r="L112" s="796"/>
    </row>
    <row r="113" spans="1:12" s="963" customFormat="1">
      <c r="A113" s="2336"/>
      <c r="D113" s="2337"/>
      <c r="K113" s="796"/>
      <c r="L113" s="796"/>
    </row>
    <row r="114" spans="1:12" s="963" customFormat="1">
      <c r="A114" s="2336"/>
      <c r="D114" s="2337"/>
      <c r="K114" s="796"/>
      <c r="L114" s="796"/>
    </row>
    <row r="115" spans="1:12" s="963" customFormat="1">
      <c r="A115" s="2336"/>
      <c r="D115" s="2337"/>
      <c r="K115" s="796"/>
      <c r="L115" s="796"/>
    </row>
    <row r="116" spans="1:12" s="963" customFormat="1">
      <c r="A116" s="2336"/>
      <c r="D116" s="2337"/>
      <c r="K116" s="796"/>
      <c r="L116" s="796"/>
    </row>
    <row r="117" spans="1:12" s="963" customFormat="1">
      <c r="A117" s="2336"/>
      <c r="D117" s="2337"/>
      <c r="K117" s="796"/>
      <c r="L117" s="796"/>
    </row>
    <row r="118" spans="1:12" s="963" customFormat="1">
      <c r="A118" s="2336"/>
      <c r="D118" s="2337"/>
      <c r="K118" s="796"/>
      <c r="L118" s="796"/>
    </row>
    <row r="119" spans="1:12" s="963" customFormat="1">
      <c r="A119" s="2336"/>
      <c r="D119" s="2337"/>
      <c r="K119" s="796"/>
      <c r="L119" s="796"/>
    </row>
    <row r="120" spans="1:12" s="963" customFormat="1">
      <c r="A120" s="2336"/>
      <c r="D120" s="2337"/>
      <c r="K120" s="796"/>
      <c r="L120" s="796"/>
    </row>
    <row r="121" spans="1:12" s="963" customFormat="1">
      <c r="A121" s="2336"/>
      <c r="D121" s="2337"/>
      <c r="K121" s="796"/>
      <c r="L121" s="796"/>
    </row>
    <row r="122" spans="1:12" s="963" customFormat="1">
      <c r="A122" s="2336"/>
      <c r="D122" s="2337"/>
      <c r="K122" s="796"/>
      <c r="L122" s="796"/>
    </row>
    <row r="123" spans="1:12" s="963" customFormat="1">
      <c r="A123" s="2336"/>
      <c r="D123" s="2337"/>
      <c r="K123" s="796"/>
      <c r="L123" s="796"/>
    </row>
    <row r="124" spans="1:12" s="963" customFormat="1">
      <c r="A124" s="2336"/>
      <c r="D124" s="2337"/>
      <c r="K124" s="796"/>
      <c r="L124" s="796"/>
    </row>
    <row r="125" spans="1:12" s="963" customFormat="1">
      <c r="A125" s="2336"/>
      <c r="D125" s="2337"/>
      <c r="K125" s="796"/>
      <c r="L125" s="796"/>
    </row>
    <row r="126" spans="1:12" s="963" customFormat="1">
      <c r="A126" s="2336"/>
      <c r="D126" s="2337"/>
      <c r="K126" s="796"/>
      <c r="L126" s="796"/>
    </row>
    <row r="127" spans="1:12" s="963" customFormat="1">
      <c r="A127" s="2336"/>
      <c r="D127" s="2337"/>
      <c r="K127" s="796"/>
      <c r="L127" s="796"/>
    </row>
    <row r="128" spans="1:12" s="963" customFormat="1">
      <c r="A128" s="2336"/>
      <c r="D128" s="2337"/>
      <c r="K128" s="796"/>
      <c r="L128" s="796"/>
    </row>
    <row r="129" spans="1:12" s="963" customFormat="1">
      <c r="A129" s="2336"/>
      <c r="D129" s="2337"/>
      <c r="K129" s="796"/>
      <c r="L129" s="796"/>
    </row>
    <row r="130" spans="1:12" s="963" customFormat="1">
      <c r="A130" s="2336"/>
      <c r="D130" s="2337"/>
      <c r="K130" s="796"/>
      <c r="L130" s="796"/>
    </row>
    <row r="131" spans="1:12" s="963" customFormat="1">
      <c r="A131" s="2336"/>
      <c r="D131" s="2337"/>
      <c r="K131" s="796"/>
      <c r="L131" s="796"/>
    </row>
    <row r="132" spans="1:12" s="963" customFormat="1">
      <c r="A132" s="2336"/>
      <c r="D132" s="2337"/>
      <c r="K132" s="796"/>
      <c r="L132" s="796"/>
    </row>
    <row r="133" spans="1:12" s="963"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18" r:id="rId1" display="javascript:top.main.DataEdit('44',20);"/>
  </hyperlinks>
  <pageMargins left="0.7" right="0.7" top="0.75" bottom="0.75" header="0.3" footer="0.3"/>
  <pageSetup paperSize="9" scale="25" fitToHeight="0" orientation="portrait" r:id="rId2"/>
  <ignoredErrors>
    <ignoredError sqref="G16:H16" formulaRange="1"/>
  </ignoredErrors>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7" sqref="J17"/>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51" t="s">
        <v>2083</v>
      </c>
      <c r="B1" s="3152"/>
      <c r="C1" s="3152"/>
      <c r="D1" s="3152"/>
      <c r="E1" s="3152"/>
      <c r="F1" s="3152"/>
      <c r="G1" s="315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27">
      <c r="A3" s="414" t="s">
        <v>2086</v>
      </c>
      <c r="B3" s="1267" t="s">
        <v>2087</v>
      </c>
      <c r="C3" s="2365"/>
      <c r="D3" s="2366"/>
      <c r="E3" s="430" t="s">
        <v>2086</v>
      </c>
      <c r="F3" s="2367" t="s">
        <v>2088</v>
      </c>
      <c r="G3" s="2368"/>
      <c r="H3" s="2363"/>
      <c r="I3" s="2363"/>
      <c r="J3" s="2363"/>
      <c r="K3" s="2363"/>
      <c r="L3" s="2363"/>
      <c r="M3" s="2363"/>
      <c r="N3" s="2363"/>
      <c r="O3" s="2363"/>
      <c r="P3" s="2363"/>
      <c r="Q3" s="2363"/>
      <c r="R3" s="2363"/>
    </row>
    <row r="4" spans="1:29" ht="15">
      <c r="A4" s="430"/>
      <c r="B4" s="1794" t="s">
        <v>2089</v>
      </c>
      <c r="C4" s="2369"/>
      <c r="D4" s="2366"/>
      <c r="E4" s="2370"/>
      <c r="F4" s="42" t="s">
        <v>2090</v>
      </c>
      <c r="G4" s="2371"/>
      <c r="H4" s="2363"/>
      <c r="I4" s="2363"/>
      <c r="J4" s="2363"/>
      <c r="K4" s="2363"/>
      <c r="L4" s="2363"/>
      <c r="M4" s="2363"/>
      <c r="N4" s="2363"/>
      <c r="O4" s="2363"/>
      <c r="P4" s="2363"/>
      <c r="Q4" s="2363"/>
      <c r="R4" s="2363"/>
    </row>
    <row r="5" spans="1:29" ht="15">
      <c r="A5" s="430"/>
      <c r="B5" s="1794" t="s">
        <v>2091</v>
      </c>
      <c r="C5" s="2369"/>
      <c r="D5" s="2366"/>
      <c r="E5" s="2370"/>
      <c r="F5" s="1794" t="s">
        <v>2092</v>
      </c>
      <c r="G5" s="2371"/>
      <c r="H5" s="2363"/>
      <c r="I5" s="2363"/>
      <c r="J5" s="2363"/>
      <c r="K5" s="2363"/>
      <c r="L5" s="2363"/>
      <c r="M5" s="2363"/>
      <c r="N5" s="2363"/>
      <c r="O5" s="2363"/>
      <c r="P5" s="2363"/>
      <c r="Q5" s="2363"/>
      <c r="R5" s="2363"/>
    </row>
    <row r="6" spans="1:29" ht="15">
      <c r="A6" s="430"/>
      <c r="B6" s="1794" t="s">
        <v>2093</v>
      </c>
      <c r="C6" s="2371"/>
      <c r="D6" s="2366"/>
      <c r="E6" s="2370"/>
      <c r="F6" s="1794" t="s">
        <v>2094</v>
      </c>
      <c r="G6" s="2371"/>
      <c r="H6" s="2363"/>
      <c r="I6" s="2363"/>
      <c r="J6" s="2363"/>
      <c r="K6" s="2363"/>
      <c r="L6" s="2363"/>
      <c r="M6" s="2363"/>
      <c r="N6" s="2363"/>
      <c r="O6" s="2363"/>
      <c r="P6" s="2363"/>
      <c r="Q6" s="2363"/>
      <c r="R6" s="2363"/>
    </row>
    <row r="7" spans="1:29" ht="15.75" thickBot="1">
      <c r="A7" s="430"/>
      <c r="B7" s="1794" t="s">
        <v>2092</v>
      </c>
      <c r="C7" s="2371"/>
      <c r="D7" s="2372"/>
      <c r="E7" s="2373"/>
      <c r="F7" s="2374" t="s">
        <v>2095</v>
      </c>
      <c r="G7" s="2375"/>
      <c r="H7" s="2363"/>
      <c r="I7" s="2363"/>
      <c r="J7" s="2363"/>
      <c r="K7" s="2363"/>
      <c r="L7" s="2363"/>
      <c r="M7" s="2363"/>
      <c r="N7" s="2363"/>
      <c r="O7" s="2363"/>
      <c r="P7" s="2363"/>
      <c r="Q7" s="2363"/>
      <c r="R7" s="2363"/>
    </row>
    <row r="8" spans="1:29" ht="15">
      <c r="A8" s="430"/>
      <c r="B8" s="1794" t="s">
        <v>2094</v>
      </c>
      <c r="C8" s="2371"/>
      <c r="D8" s="2372"/>
      <c r="E8" s="2372"/>
      <c r="F8" s="1132"/>
      <c r="G8" s="1132"/>
      <c r="H8" s="2363"/>
      <c r="I8" s="2363"/>
      <c r="J8" s="2363"/>
      <c r="K8" s="2363"/>
      <c r="L8" s="2363"/>
      <c r="M8" s="2363"/>
      <c r="N8" s="2363"/>
      <c r="O8" s="2363"/>
      <c r="P8" s="2363"/>
      <c r="Q8" s="2363"/>
      <c r="R8" s="2363"/>
    </row>
    <row r="9" spans="1:29" ht="15">
      <c r="A9" s="430"/>
      <c r="B9" s="1794" t="s">
        <v>2096</v>
      </c>
      <c r="C9" s="2369"/>
      <c r="D9" s="2366"/>
      <c r="E9" s="2372"/>
      <c r="F9" s="1132"/>
      <c r="G9" s="1132"/>
      <c r="H9" s="2363"/>
      <c r="I9" s="2363"/>
      <c r="J9" s="2363"/>
      <c r="K9" s="2363"/>
      <c r="L9" s="2363"/>
      <c r="M9" s="2363"/>
      <c r="N9" s="2363"/>
      <c r="O9" s="2363"/>
      <c r="P9" s="2363"/>
      <c r="Q9" s="2363"/>
      <c r="R9" s="2363"/>
    </row>
    <row r="10" spans="1:29" s="117" customFormat="1" ht="15.75" thickBot="1">
      <c r="A10" s="2376"/>
      <c r="B10" s="2377" t="s">
        <v>2097</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2098</v>
      </c>
      <c r="B13" s="2383"/>
      <c r="C13" s="2383"/>
      <c r="D13" s="2390"/>
      <c r="E13" s="2383"/>
      <c r="F13" s="2383"/>
      <c r="G13" s="2383"/>
    </row>
    <row r="14" spans="1:29" ht="15.75" thickBot="1">
      <c r="A14" s="2394"/>
      <c r="B14" s="2395"/>
      <c r="C14" s="2396" t="s">
        <v>2099</v>
      </c>
      <c r="D14" s="2366"/>
      <c r="E14" s="2397"/>
      <c r="F14" s="2397"/>
      <c r="G14" s="2360" t="s">
        <v>2100</v>
      </c>
    </row>
    <row r="15" spans="1:29" ht="27">
      <c r="A15" s="68" t="s">
        <v>2101</v>
      </c>
      <c r="B15" s="1266" t="s">
        <v>2087</v>
      </c>
      <c r="C15" s="2398">
        <f>C3</f>
        <v>0</v>
      </c>
      <c r="D15" s="2366"/>
      <c r="E15" s="2399" t="s">
        <v>2102</v>
      </c>
      <c r="F15" s="1266" t="s">
        <v>2103</v>
      </c>
      <c r="G15" s="134">
        <f>G3</f>
        <v>0</v>
      </c>
    </row>
    <row r="16" spans="1:29" ht="15">
      <c r="A16" s="644"/>
      <c r="B16" s="2400" t="s">
        <v>2089</v>
      </c>
      <c r="C16" s="2401">
        <f>C4</f>
        <v>0</v>
      </c>
      <c r="D16" s="2366"/>
      <c r="E16" s="2402"/>
      <c r="F16" s="2403" t="s">
        <v>2090</v>
      </c>
      <c r="G16" s="135">
        <f>G4</f>
        <v>0</v>
      </c>
    </row>
    <row r="17" spans="1:18" ht="15">
      <c r="A17" s="644"/>
      <c r="B17" s="2400" t="s">
        <v>2091</v>
      </c>
      <c r="C17" s="2401">
        <f>C5</f>
        <v>0</v>
      </c>
      <c r="D17" s="2372"/>
      <c r="E17" s="2402"/>
      <c r="F17" s="2403" t="s">
        <v>2104</v>
      </c>
      <c r="G17" s="1568"/>
    </row>
    <row r="18" spans="1:18" ht="15">
      <c r="A18" s="644"/>
      <c r="B18" s="2403" t="s">
        <v>2093</v>
      </c>
      <c r="C18" s="135">
        <f>C6</f>
        <v>0</v>
      </c>
      <c r="D18" s="2372"/>
      <c r="E18" s="2402"/>
      <c r="F18" s="2403" t="s">
        <v>2095</v>
      </c>
      <c r="G18" s="135">
        <f>G7</f>
        <v>0</v>
      </c>
    </row>
    <row r="19" spans="1:18" ht="15">
      <c r="A19" s="644"/>
      <c r="B19" s="2403" t="s">
        <v>2105</v>
      </c>
      <c r="C19" s="1568"/>
      <c r="D19" s="2366"/>
      <c r="E19" s="2402"/>
      <c r="F19" s="1794" t="s">
        <v>2092</v>
      </c>
      <c r="G19" s="135">
        <f>G5</f>
        <v>0</v>
      </c>
    </row>
    <row r="20" spans="1:18" ht="15">
      <c r="A20" s="644"/>
      <c r="B20" s="2403" t="s">
        <v>2106</v>
      </c>
      <c r="C20" s="2401">
        <f>C9</f>
        <v>0</v>
      </c>
      <c r="D20" s="2372"/>
      <c r="E20" s="2402"/>
      <c r="F20" s="1794" t="s">
        <v>2107</v>
      </c>
      <c r="G20" s="135">
        <f>G6</f>
        <v>0</v>
      </c>
    </row>
    <row r="21" spans="1:18" ht="15">
      <c r="A21" s="644"/>
      <c r="B21" s="1794" t="s">
        <v>2092</v>
      </c>
      <c r="C21" s="135">
        <f>C7</f>
        <v>0</v>
      </c>
      <c r="D21" s="2366"/>
      <c r="E21" s="2402"/>
      <c r="F21" s="2403" t="s">
        <v>2108</v>
      </c>
      <c r="G21" s="2404"/>
    </row>
    <row r="22" spans="1:18" ht="13.5" customHeight="1">
      <c r="A22" s="644"/>
      <c r="B22" s="1794" t="s">
        <v>2094</v>
      </c>
      <c r="C22" s="135">
        <f>C8</f>
        <v>0</v>
      </c>
      <c r="D22" s="2366"/>
      <c r="E22" s="2402"/>
      <c r="F22" s="2403" t="s">
        <v>2097</v>
      </c>
      <c r="G22" s="1568"/>
    </row>
    <row r="23" spans="1:18" s="2363" customFormat="1" ht="15.75" thickBot="1">
      <c r="A23" s="644"/>
      <c r="B23" s="2403" t="s">
        <v>2108</v>
      </c>
      <c r="C23" s="2404"/>
      <c r="D23" s="2391"/>
      <c r="E23" s="2405"/>
      <c r="F23" s="2406" t="s">
        <v>2109</v>
      </c>
      <c r="G23" s="2407"/>
      <c r="H23" s="2391"/>
      <c r="I23" s="2392"/>
      <c r="J23" s="2391"/>
      <c r="K23" s="2391"/>
      <c r="L23" s="2392"/>
      <c r="M23" s="2391"/>
      <c r="N23" s="2391"/>
      <c r="O23" s="2392"/>
      <c r="P23" s="2391"/>
      <c r="Q23" s="2391"/>
      <c r="R23" s="2393"/>
    </row>
    <row r="24" spans="1:18" s="2363" customFormat="1" ht="15.75" thickBot="1">
      <c r="A24" s="2408"/>
      <c r="B24" s="2406" t="s">
        <v>2110</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73865.87</v>
      </c>
      <c r="C1" s="1741"/>
      <c r="D1" s="1741"/>
      <c r="E1" s="1741"/>
      <c r="F1" s="1741"/>
      <c r="G1" s="1739"/>
    </row>
    <row r="2" spans="1:10" ht="16.5">
      <c r="A2" s="1742" t="s">
        <v>1353</v>
      </c>
      <c r="B2" s="1742">
        <f>SUM(C14:C23)</f>
        <v>11089.73</v>
      </c>
      <c r="C2" s="1741"/>
      <c r="D2" s="1741"/>
      <c r="E2" s="1741"/>
      <c r="F2" s="1741"/>
      <c r="G2" s="1739"/>
    </row>
    <row r="3" spans="1:10" ht="16.5">
      <c r="A3" s="1742" t="s">
        <v>1362</v>
      </c>
      <c r="B3" s="1743">
        <f>项目基本情况!D3</f>
        <v>43321</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140574</v>
      </c>
      <c r="C5" s="1742">
        <f ca="1">ROUND(B5*10000/$B$1,0)</f>
        <v>19031</v>
      </c>
      <c r="D5" s="1742">
        <f ca="1">ROUND(B5*10000/$B$2,0)</f>
        <v>126761</v>
      </c>
      <c r="E5" s="1741"/>
      <c r="F5" s="1739"/>
      <c r="G5" s="1739"/>
    </row>
    <row r="6" spans="1:10" ht="16.5">
      <c r="A6" s="1742" t="s">
        <v>1356</v>
      </c>
      <c r="B6" s="1742">
        <f ca="1">SUM(G14:G23)</f>
        <v>140574</v>
      </c>
      <c r="C6" s="1742">
        <f ca="1">ROUND(B6*10000/$B$1,0)</f>
        <v>19031</v>
      </c>
      <c r="D6" s="1742">
        <f ca="1">ROUND(B6*10000/$B$2,0)</f>
        <v>126761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73865.87</v>
      </c>
      <c r="C14" s="1740">
        <f>结果表!C118</f>
        <v>11089.73</v>
      </c>
      <c r="D14" s="1740">
        <f ca="1">结果表!H118</f>
        <v>140574</v>
      </c>
      <c r="E14" s="1740">
        <f ca="1">ROUND(D14*10000/B14,0)</f>
        <v>19031</v>
      </c>
      <c r="F14" s="1740">
        <f ca="1">ROUND(D14*10000/C14,0)</f>
        <v>126761</v>
      </c>
      <c r="G14" s="1740">
        <f ca="1">结果表!D122</f>
        <v>140574</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115" zoomScaleNormal="100" zoomScaleSheetLayoutView="115" zoomScalePageLayoutView="80" workbookViewId="0">
      <selection activeCell="G26" sqref="G26"/>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2111</v>
      </c>
      <c r="B1" s="2414"/>
      <c r="C1" s="2415"/>
      <c r="D1" s="2414"/>
      <c r="E1" s="2414"/>
      <c r="F1" s="2416" t="s">
        <v>2112</v>
      </c>
      <c r="G1" s="2066" t="s">
        <v>2113</v>
      </c>
      <c r="H1" s="2417" t="str">
        <f>IF(G1="现房","——","估价对象范围")</f>
        <v>估价对象范围</v>
      </c>
      <c r="I1" s="2418" t="s">
        <v>3179</v>
      </c>
    </row>
    <row r="2" spans="1:12" ht="21.75" customHeight="1" thickBot="1">
      <c r="A2" s="3225" t="str">
        <f>项目基本情况!S2</f>
        <v>广东省广州市天河区元岗路粤隆客车厂地块1、地块2出让国有建设用地使用权及在建建筑物房地产</v>
      </c>
      <c r="B2" s="3226"/>
      <c r="C2" s="3226"/>
      <c r="D2" s="3226"/>
      <c r="E2" s="3226"/>
      <c r="F2" s="3226"/>
      <c r="G2" s="3226"/>
      <c r="H2" s="3226"/>
      <c r="I2" s="3227"/>
    </row>
    <row r="3" spans="1:12" ht="12.75">
      <c r="A3" s="3228" t="s">
        <v>2114</v>
      </c>
      <c r="B3" s="3229"/>
      <c r="C3" s="3229"/>
      <c r="D3" s="3229"/>
      <c r="E3" s="3229"/>
      <c r="F3" s="3229"/>
      <c r="G3" s="3229"/>
      <c r="H3" s="3229"/>
      <c r="I3" s="3229"/>
    </row>
    <row r="4" spans="1:12" ht="14.25">
      <c r="A4" s="2421" t="s">
        <v>2115</v>
      </c>
      <c r="B4" s="2422" t="s">
        <v>2116</v>
      </c>
      <c r="C4" s="2423" t="s">
        <v>3180</v>
      </c>
      <c r="D4" s="2423" t="s">
        <v>3181</v>
      </c>
      <c r="E4" s="3209" t="s">
        <v>2117</v>
      </c>
      <c r="F4" s="3222"/>
      <c r="G4" s="3222"/>
      <c r="H4" s="3222"/>
      <c r="I4" s="321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200" t="s">
        <v>2118</v>
      </c>
      <c r="B5" s="3123">
        <v>25</v>
      </c>
      <c r="C5" s="3230"/>
      <c r="D5" s="3218"/>
      <c r="E5" s="139" t="s">
        <v>2119</v>
      </c>
      <c r="F5" s="2425"/>
      <c r="G5" s="2425"/>
      <c r="H5" s="2425"/>
      <c r="I5" s="1830"/>
    </row>
    <row r="6" spans="1:12" ht="12.75" hidden="1">
      <c r="A6" s="3200"/>
      <c r="B6" s="3123"/>
      <c r="C6" s="3232"/>
      <c r="D6" s="3218"/>
      <c r="E6" s="139" t="s">
        <v>2120</v>
      </c>
      <c r="F6" s="2425"/>
      <c r="G6" s="2425"/>
      <c r="H6" s="2425"/>
      <c r="I6" s="1830"/>
    </row>
    <row r="7" spans="1:12" ht="12.75" hidden="1">
      <c r="A7" s="3200"/>
      <c r="B7" s="3123"/>
      <c r="C7" s="3231"/>
      <c r="D7" s="3218"/>
      <c r="E7" s="139" t="s">
        <v>2121</v>
      </c>
      <c r="F7" s="2425"/>
      <c r="G7" s="2425"/>
      <c r="H7" s="2425"/>
      <c r="I7" s="1830"/>
    </row>
    <row r="8" spans="1:12" ht="12.75" hidden="1">
      <c r="A8" s="3200" t="s">
        <v>2122</v>
      </c>
      <c r="B8" s="3123">
        <v>15</v>
      </c>
      <c r="C8" s="3230"/>
      <c r="D8" s="3218"/>
      <c r="E8" s="139" t="s">
        <v>2123</v>
      </c>
      <c r="F8" s="2425"/>
      <c r="G8" s="2425"/>
      <c r="H8" s="2425"/>
      <c r="I8" s="1830"/>
    </row>
    <row r="9" spans="1:12" ht="12.75" hidden="1">
      <c r="A9" s="3200"/>
      <c r="B9" s="3123"/>
      <c r="C9" s="3231"/>
      <c r="D9" s="3218"/>
      <c r="E9" s="139" t="s">
        <v>2124</v>
      </c>
      <c r="F9" s="2425"/>
      <c r="G9" s="2425"/>
      <c r="H9" s="2425"/>
      <c r="I9" s="1830"/>
    </row>
    <row r="10" spans="1:12" ht="12.75" hidden="1">
      <c r="A10" s="3200" t="s">
        <v>2125</v>
      </c>
      <c r="B10" s="3123">
        <v>15</v>
      </c>
      <c r="C10" s="3230"/>
      <c r="D10" s="3218"/>
      <c r="E10" s="139" t="s">
        <v>2126</v>
      </c>
      <c r="F10" s="2425"/>
      <c r="G10" s="2425"/>
      <c r="H10" s="2425"/>
      <c r="I10" s="1830"/>
    </row>
    <row r="11" spans="1:12" ht="12.75" hidden="1">
      <c r="A11" s="3200"/>
      <c r="B11" s="3123"/>
      <c r="C11" s="3231"/>
      <c r="D11" s="3218"/>
      <c r="E11" s="139" t="s">
        <v>2127</v>
      </c>
      <c r="F11" s="2425"/>
      <c r="G11" s="2425"/>
      <c r="H11" s="2425"/>
      <c r="I11" s="1830"/>
    </row>
    <row r="12" spans="1:12" ht="12.75" hidden="1">
      <c r="A12" s="3200" t="s">
        <v>2128</v>
      </c>
      <c r="B12" s="3123">
        <v>15</v>
      </c>
      <c r="C12" s="3230"/>
      <c r="D12" s="3218"/>
      <c r="E12" s="139" t="s">
        <v>2129</v>
      </c>
      <c r="F12" s="2425"/>
      <c r="G12" s="2425"/>
      <c r="H12" s="2425"/>
      <c r="I12" s="1830"/>
    </row>
    <row r="13" spans="1:12" ht="12.75" hidden="1">
      <c r="A13" s="3200"/>
      <c r="B13" s="3123"/>
      <c r="C13" s="3231"/>
      <c r="D13" s="3218"/>
      <c r="E13" s="139" t="s">
        <v>2130</v>
      </c>
      <c r="F13" s="2425"/>
      <c r="G13" s="2425"/>
      <c r="H13" s="2425"/>
      <c r="I13" s="1830"/>
    </row>
    <row r="14" spans="1:12" ht="12.75">
      <c r="A14" s="3200" t="s">
        <v>2131</v>
      </c>
      <c r="B14" s="3123">
        <v>30</v>
      </c>
      <c r="C14" s="3230">
        <v>3</v>
      </c>
      <c r="D14" s="3218">
        <v>7</v>
      </c>
      <c r="E14" s="139" t="s">
        <v>2132</v>
      </c>
      <c r="F14" s="2425"/>
      <c r="G14" s="2425"/>
      <c r="H14" s="2425"/>
      <c r="I14" s="1830"/>
    </row>
    <row r="15" spans="1:12" ht="12.75">
      <c r="A15" s="3200"/>
      <c r="B15" s="3123"/>
      <c r="C15" s="3232"/>
      <c r="D15" s="3218"/>
      <c r="E15" s="139" t="s">
        <v>2133</v>
      </c>
      <c r="F15" s="2425"/>
      <c r="G15" s="2425"/>
      <c r="H15" s="2425"/>
      <c r="I15" s="1830"/>
    </row>
    <row r="16" spans="1:12" ht="12.75">
      <c r="A16" s="3200"/>
      <c r="B16" s="3123"/>
      <c r="C16" s="3231"/>
      <c r="D16" s="3218"/>
      <c r="E16" s="139" t="s">
        <v>2134</v>
      </c>
      <c r="F16" s="2425"/>
      <c r="G16" s="2425"/>
      <c r="H16" s="2425"/>
      <c r="I16" s="1830"/>
    </row>
    <row r="17" spans="1:35" ht="15">
      <c r="A17" s="2426" t="s">
        <v>2135</v>
      </c>
      <c r="B17" s="64"/>
      <c r="C17" s="140">
        <f>SUM(C5:C16)</f>
        <v>3</v>
      </c>
      <c r="D17" s="140">
        <f>SUM(D5:D16)</f>
        <v>7</v>
      </c>
      <c r="E17" s="137"/>
      <c r="F17" s="137"/>
      <c r="G17" s="137"/>
      <c r="H17" s="137"/>
      <c r="I17" s="137"/>
      <c r="K17" s="2424"/>
      <c r="L17" s="2427" t="s">
        <v>2136</v>
      </c>
      <c r="M17" s="2427" t="s">
        <v>2137</v>
      </c>
    </row>
    <row r="18" spans="1:35" ht="15.75" thickBot="1">
      <c r="A18" s="2428" t="s">
        <v>2138</v>
      </c>
      <c r="B18" s="2429"/>
      <c r="C18" s="141">
        <f>ROUND(C17/SUM(C17:D17),2)</f>
        <v>0.3</v>
      </c>
      <c r="D18" s="141">
        <f>1-C18</f>
        <v>0.7</v>
      </c>
      <c r="E18" s="137"/>
      <c r="F18" s="137"/>
      <c r="G18" s="137"/>
      <c r="H18" s="137"/>
      <c r="I18" s="137"/>
      <c r="K18" s="2424" t="s">
        <v>2139</v>
      </c>
      <c r="L18" s="2424">
        <f>IF(C1="",'数据-汇总表'!E3,SUMIF(项目类型,C1,'数据-汇总表'!E17:E26)+SUMIF(项目类型,C1,'数据-汇总表'!I17:I26))</f>
        <v>73865.87</v>
      </c>
      <c r="M18" s="2424">
        <f>IF(C1="",'数据-汇总表'!E3,SUMIF(项目类型,C1,'数据-汇总表'!E17:E26))</f>
        <v>73865.87</v>
      </c>
    </row>
    <row r="19" spans="1:35" ht="15">
      <c r="A19" s="2430" t="s">
        <v>2140</v>
      </c>
      <c r="B19" s="2431" t="s">
        <v>2141</v>
      </c>
      <c r="C19" s="142">
        <f ca="1">SUMIF(INDIRECT("'"&amp;C4&amp;"'"&amp;"!A:A"),结果表!B19,INDIRECT("'"&amp;C4&amp;"'"&amp;"!B:B"))</f>
        <v>112386</v>
      </c>
      <c r="D19" s="143">
        <f ca="1">SUMIF(INDIRECT("'"&amp;D4&amp;"'"&amp;"!A:A"),结果表!B19,INDIRECT("'"&amp;D4&amp;"'"&amp;"!B:B"))</f>
        <v>152655</v>
      </c>
      <c r="E19" s="2430" t="s">
        <v>2142</v>
      </c>
      <c r="F19" s="2431" t="s">
        <v>2141</v>
      </c>
      <c r="G19" s="144">
        <f ca="1">ROUND(C19*$C$18+D19*$D$18,0)</f>
        <v>140574</v>
      </c>
      <c r="H19" s="2432" t="s">
        <v>2143</v>
      </c>
      <c r="I19" s="137"/>
      <c r="K19" s="2424" t="s">
        <v>2144</v>
      </c>
      <c r="L19" s="2424">
        <f>IF(C1="",'数据-汇总表'!D3,SUMIF(项目类型,C1,'数据-汇总表'!D17:D26)+SUMIF(项目类型,C1,'数据-汇总表'!H17:H27))</f>
        <v>11089.73</v>
      </c>
      <c r="M19" s="2424">
        <f>IF(C1="",'数据-汇总表'!D3,SUMIF(项目类型,C1,'数据-汇总表'!D17:D26))</f>
        <v>11089.73</v>
      </c>
    </row>
    <row r="20" spans="1:35" ht="15">
      <c r="A20" s="2433"/>
      <c r="B20" s="1246" t="s">
        <v>2145</v>
      </c>
      <c r="C20" s="145">
        <f ca="1">SUMIF(INDIRECT("'"&amp;C4&amp;"'"&amp;"!A:A"),结果表!B20,INDIRECT("'"&amp;C4&amp;"'"&amp;"!B:B"))</f>
        <v>15215</v>
      </c>
      <c r="D20" s="146">
        <f ca="1">SUMIF(INDIRECT("'"&amp;D4&amp;"'"&amp;"!A:A"),结果表!B20,INDIRECT("'"&amp;D4&amp;"'"&amp;"!B:B"))</f>
        <v>20667</v>
      </c>
      <c r="E20" s="2433"/>
      <c r="F20" s="1246" t="s">
        <v>2145</v>
      </c>
      <c r="G20" s="147">
        <f ca="1">ROUND(C20*$C$18+D20*$D$18,0)</f>
        <v>19031</v>
      </c>
      <c r="H20" s="979" t="s">
        <v>2146</v>
      </c>
      <c r="I20" s="137"/>
      <c r="J20" s="793">
        <f>140000/'数据-汇总表'!F27*10000</f>
        <v>18953.27300687043</v>
      </c>
    </row>
    <row r="21" spans="1:35" ht="15" customHeight="1" thickBot="1">
      <c r="A21" s="999"/>
      <c r="B21" s="2434" t="s">
        <v>2147</v>
      </c>
      <c r="C21" s="787">
        <f ca="1">ROUND(C19*10000/L19,0)</f>
        <v>101342</v>
      </c>
      <c r="D21" s="788">
        <f ca="1">ROUND(D19*10000/L19,0)</f>
        <v>137654</v>
      </c>
      <c r="E21" s="999"/>
      <c r="F21" s="2434" t="s">
        <v>2147</v>
      </c>
      <c r="G21" s="148">
        <f ca="1">ROUND(G19*10000/L19,0)</f>
        <v>126761</v>
      </c>
      <c r="H21" s="2435" t="s">
        <v>2146</v>
      </c>
      <c r="I21" s="137"/>
    </row>
    <row r="22" spans="1:35" ht="15" thickBot="1">
      <c r="A22" s="2276" t="s">
        <v>2148</v>
      </c>
      <c r="B22" s="2436"/>
      <c r="C22" s="2437"/>
      <c r="D22" s="789">
        <f ca="1">IF(C19&lt;D19,D19/C19-1,C19/D19-1)</f>
        <v>0.35830975388393571</v>
      </c>
      <c r="E22" s="137"/>
      <c r="F22" s="137"/>
      <c r="G22" s="137"/>
      <c r="H22" s="137"/>
      <c r="I22" s="137"/>
    </row>
    <row r="23" spans="1:35" ht="13.5" thickBot="1">
      <c r="A23" s="2414"/>
      <c r="B23" s="2414"/>
      <c r="C23" s="2414"/>
      <c r="D23" s="2414"/>
      <c r="E23" s="137"/>
      <c r="F23" s="137"/>
      <c r="G23" s="137"/>
      <c r="H23" s="137"/>
      <c r="I23" s="137"/>
    </row>
    <row r="24" spans="1:35" ht="14.25">
      <c r="A24" s="3239" t="s">
        <v>2149</v>
      </c>
      <c r="B24" s="2431" t="s">
        <v>2141</v>
      </c>
      <c r="C24" s="144">
        <f>IF(B30=0,0,D30)</f>
        <v>0</v>
      </c>
      <c r="D24" s="2438"/>
      <c r="E24" s="137"/>
      <c r="F24" s="137"/>
      <c r="G24" s="137"/>
      <c r="H24" s="137"/>
      <c r="I24" s="137"/>
    </row>
    <row r="25" spans="1:35" ht="14.25">
      <c r="A25" s="3240"/>
      <c r="B25" s="1246" t="s">
        <v>2145</v>
      </c>
      <c r="C25" s="149">
        <f>IF(B30=0,0,C30)</f>
        <v>0</v>
      </c>
      <c r="D25" s="2439"/>
      <c r="E25" s="137"/>
      <c r="F25" s="137"/>
      <c r="G25" s="137"/>
      <c r="H25" s="137"/>
      <c r="I25" s="137"/>
    </row>
    <row r="26" spans="1:35" ht="13.5" customHeight="1">
      <c r="A26" s="2440" t="s">
        <v>2150</v>
      </c>
      <c r="B26" s="150" t="s">
        <v>2151</v>
      </c>
      <c r="C26" s="150" t="s">
        <v>2152</v>
      </c>
      <c r="D26" s="151" t="s">
        <v>2153</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2154</v>
      </c>
      <c r="B30" s="150"/>
      <c r="C30" s="150"/>
      <c r="D30" s="150"/>
      <c r="E30" s="2921" t="s">
        <v>3029</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2155</v>
      </c>
      <c r="B32" s="2444"/>
      <c r="C32" s="152">
        <f ca="1">IF(D32="总价",G19-C24,G20-C25)</f>
        <v>140574</v>
      </c>
      <c r="D32" s="2445" t="s">
        <v>2156</v>
      </c>
      <c r="E32" s="137"/>
      <c r="F32" s="137"/>
      <c r="G32" s="137"/>
      <c r="H32" s="137"/>
      <c r="I32" s="137"/>
    </row>
    <row r="33" spans="1:15" ht="15">
      <c r="A33" s="956" t="s">
        <v>2157</v>
      </c>
      <c r="B33" s="2446"/>
      <c r="C33" s="2447"/>
      <c r="D33" s="2448" t="s">
        <v>3180</v>
      </c>
      <c r="E33" s="2449" t="s">
        <v>2158</v>
      </c>
      <c r="F33" s="2450" t="str">
        <f>IF(D32="楼面单价","取值（单价）","取值（总价）")</f>
        <v>取值（总价）</v>
      </c>
      <c r="G33" s="137"/>
      <c r="H33" s="137"/>
      <c r="I33" s="137"/>
    </row>
    <row r="34" spans="1:15" ht="15">
      <c r="A34" s="2451"/>
      <c r="B34" s="2452" t="s">
        <v>2159</v>
      </c>
      <c r="C34" s="156">
        <f ca="1">IF(C33="自定义",F34,C32-C35)</f>
        <v>111053</v>
      </c>
      <c r="D34" s="1054">
        <f ca="1">IF(C33="自定义",ROUND(C34/C32,3),IF(C33="收益比率",SUMIF(INDIRECT("'"&amp;D33&amp;"'"&amp;"!b:b"),"土地收益比率",INDIRECT("'"&amp;D33&amp;"'"&amp;"!c:c")),SUMIF(INDIRECT("'"&amp;D33&amp;"'"&amp;"!b:b"),"土地成本比率",INDIRECT("'"&amp;D33&amp;"'"&amp;"!c:c"))))</f>
        <v>0.79</v>
      </c>
      <c r="E34" s="2453" t="s">
        <v>2160</v>
      </c>
      <c r="F34" s="1735"/>
      <c r="G34" s="137"/>
      <c r="H34" s="137"/>
      <c r="I34" s="137"/>
    </row>
    <row r="35" spans="1:15" ht="15.75" thickBot="1">
      <c r="A35" s="2454"/>
      <c r="B35" s="2455" t="s">
        <v>2161</v>
      </c>
      <c r="C35" s="1440">
        <f ca="1">IF(C33="自定义",F35,ROUND(C32*D35,0))</f>
        <v>29521</v>
      </c>
      <c r="D35" s="1441">
        <f ca="1">IF(C33="自定义",ROUND(C35/C32,3),IF(C33="收益比率",SUMIF(INDIRECT("'"&amp;D33&amp;"'"&amp;"!b:b"),"建筑物收益比率",INDIRECT("'"&amp;D33&amp;"'"&amp;"!c:c")),SUMIF(INDIRECT("'"&amp;D33&amp;"'"&amp;"!b:b"),"建筑物成本比率",INDIRECT("'"&amp;D33&amp;"'"&amp;"!c:c"))))</f>
        <v>0.21</v>
      </c>
      <c r="E35" s="2456" t="s">
        <v>2162</v>
      </c>
      <c r="F35" s="162"/>
      <c r="G35" s="137"/>
      <c r="H35" s="137"/>
      <c r="I35" s="137"/>
    </row>
    <row r="36" spans="1:15" ht="15.75" thickBot="1">
      <c r="A36" s="3219" t="s">
        <v>2163</v>
      </c>
      <c r="B36" s="2457" t="s">
        <v>2164</v>
      </c>
      <c r="C36" s="153"/>
      <c r="D36" s="2458"/>
      <c r="E36" s="2459"/>
      <c r="F36" s="2460"/>
      <c r="G36" s="137"/>
      <c r="H36" s="137"/>
      <c r="I36" s="137"/>
    </row>
    <row r="37" spans="1:15" ht="15.75" thickBot="1">
      <c r="A37" s="3220"/>
      <c r="B37" s="2262" t="s">
        <v>2165</v>
      </c>
      <c r="C37" s="155"/>
      <c r="D37" s="1391"/>
      <c r="E37" s="1391"/>
      <c r="F37" s="2460"/>
      <c r="G37" s="137"/>
      <c r="H37" s="137"/>
      <c r="I37" s="137"/>
    </row>
    <row r="38" spans="1:15" ht="15.75" thickBot="1">
      <c r="A38" s="3221"/>
      <c r="B38" s="2461" t="s">
        <v>2166</v>
      </c>
      <c r="C38" s="725"/>
      <c r="D38" s="2462" t="s">
        <v>2167</v>
      </c>
      <c r="E38" s="1391"/>
      <c r="F38" s="2460"/>
      <c r="G38" s="137"/>
      <c r="H38" s="137"/>
      <c r="I38" s="137"/>
    </row>
    <row r="39" spans="1:15" ht="15">
      <c r="A39" s="2433" t="s">
        <v>2168</v>
      </c>
      <c r="B39" s="2463" t="s">
        <v>2169</v>
      </c>
      <c r="C39" s="2464" t="s">
        <v>2170</v>
      </c>
      <c r="D39" s="2464" t="s">
        <v>2171</v>
      </c>
      <c r="E39" s="2465" t="s">
        <v>2172</v>
      </c>
      <c r="F39" s="2460"/>
      <c r="G39" s="137"/>
      <c r="H39" s="137"/>
      <c r="I39" s="137"/>
    </row>
    <row r="40" spans="1:15" ht="14.25">
      <c r="A40" s="2466" t="s">
        <v>2173</v>
      </c>
      <c r="B40" s="157"/>
      <c r="C40" s="158"/>
      <c r="D40" s="158"/>
      <c r="E40" s="159"/>
      <c r="F40" s="2460"/>
      <c r="G40" s="137"/>
      <c r="H40" s="137"/>
      <c r="I40" s="137"/>
    </row>
    <row r="41" spans="1:15" ht="14.25">
      <c r="A41" s="2466" t="s">
        <v>2174</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2175</v>
      </c>
      <c r="B44" s="2471"/>
      <c r="C44" s="2471"/>
      <c r="D44" s="2472"/>
      <c r="E44" s="2472"/>
      <c r="F44" s="2473"/>
      <c r="G44" s="2473"/>
      <c r="H44" s="2473"/>
      <c r="I44" s="2473"/>
      <c r="J44" s="2474" t="s">
        <v>2176</v>
      </c>
      <c r="K44" s="2475"/>
      <c r="L44" s="2475"/>
      <c r="M44" s="2475"/>
      <c r="N44" s="2475"/>
      <c r="O44" s="2475"/>
    </row>
    <row r="45" spans="1:15" ht="14.25" customHeight="1" thickBot="1">
      <c r="A45" s="3236" t="s">
        <v>2177</v>
      </c>
      <c r="B45" s="3237"/>
      <c r="C45" s="3238"/>
      <c r="D45" s="163">
        <f ca="1">ROUND(H101*F45,0)</f>
        <v>140574</v>
      </c>
      <c r="E45" s="164" t="s">
        <v>2178</v>
      </c>
      <c r="F45" s="165">
        <v>1</v>
      </c>
      <c r="G45" s="166" t="s">
        <v>2179</v>
      </c>
      <c r="H45" s="137"/>
      <c r="I45" s="137"/>
      <c r="J45" s="3155" t="s">
        <v>2180</v>
      </c>
      <c r="K45" s="3155"/>
      <c r="L45" s="3155"/>
      <c r="M45" s="3155"/>
      <c r="N45" s="3155"/>
      <c r="O45" s="3155"/>
    </row>
    <row r="46" spans="1:15" ht="14.25" customHeight="1">
      <c r="A46" s="3233" t="s">
        <v>2181</v>
      </c>
      <c r="B46" s="3234"/>
      <c r="C46" s="3234"/>
      <c r="D46" s="3234"/>
      <c r="E46" s="3234"/>
      <c r="F46" s="3234"/>
      <c r="G46" s="3235"/>
      <c r="H46" s="2476"/>
      <c r="I46" s="167"/>
      <c r="J46" s="1808">
        <v>1</v>
      </c>
      <c r="K46" s="3155" t="s">
        <v>2182</v>
      </c>
      <c r="L46" s="3155"/>
      <c r="M46" s="3156"/>
      <c r="N46" s="3156"/>
      <c r="O46" s="3156"/>
    </row>
    <row r="47" spans="1:15" ht="12" customHeight="1">
      <c r="A47" s="168" t="s">
        <v>2183</v>
      </c>
      <c r="B47" s="169"/>
      <c r="C47" s="170"/>
      <c r="D47" s="171" t="s">
        <v>2184</v>
      </c>
      <c r="E47" s="24" t="s">
        <v>2185</v>
      </c>
      <c r="F47" s="172" t="s">
        <v>2186</v>
      </c>
      <c r="G47" s="173" t="s">
        <v>2187</v>
      </c>
      <c r="H47" s="2476"/>
      <c r="I47" s="167"/>
      <c r="J47" s="1808">
        <v>2</v>
      </c>
      <c r="K47" s="3155" t="s">
        <v>2188</v>
      </c>
      <c r="L47" s="3155"/>
      <c r="M47" s="3157">
        <f>'数据-取费表'!B2</f>
        <v>43321</v>
      </c>
      <c r="N47" s="3157"/>
      <c r="O47" s="3157"/>
    </row>
    <row r="48" spans="1:15" ht="25.5">
      <c r="A48" s="3223" t="s">
        <v>2189</v>
      </c>
      <c r="B48" s="3224"/>
      <c r="C48" s="3224"/>
      <c r="D48" s="139">
        <f>IF(H48="情况1",0,IF(H48="情况2",D52,IF(H48="情况3",D53,IF(H48="情况4",D54))))</f>
        <v>0</v>
      </c>
      <c r="E48" s="1797" t="str">
        <f>IF(H48="情况4","(销售额-原购置价)×税（费）率","销售额×税（费）率")</f>
        <v>销售额×税（费）率</v>
      </c>
      <c r="F48" s="174" t="str">
        <f>IF(H48="情况1","免征",'数据-取费表'!B41)</f>
        <v>免征</v>
      </c>
      <c r="G48" s="2477" t="s">
        <v>2190</v>
      </c>
      <c r="H48" s="2478" t="s">
        <v>2191</v>
      </c>
      <c r="I48" s="2476"/>
      <c r="J48" s="1808">
        <v>3</v>
      </c>
      <c r="K48" s="3155" t="s">
        <v>2192</v>
      </c>
      <c r="L48" s="3155"/>
      <c r="M48" s="3158">
        <f ca="1">H101</f>
        <v>140574</v>
      </c>
      <c r="N48" s="3158"/>
      <c r="O48" s="3158"/>
    </row>
    <row r="49" spans="1:35" ht="25.5" customHeight="1">
      <c r="A49" s="175" t="s">
        <v>2193</v>
      </c>
      <c r="B49" s="3203" t="s">
        <v>2194</v>
      </c>
      <c r="C49" s="3203"/>
      <c r="D49" s="176">
        <v>0</v>
      </c>
      <c r="E49" s="23" t="s">
        <v>2195</v>
      </c>
      <c r="F49" s="28" t="s">
        <v>34</v>
      </c>
      <c r="G49" s="3184"/>
      <c r="H49" s="137"/>
      <c r="I49" s="2479"/>
      <c r="J49" s="1808">
        <v>4</v>
      </c>
      <c r="K49" s="3155" t="str">
        <f>IF(项目基本情况!E8="房地产抵押价值","房地产抵押价值","抵押担保权已注销时的房地产抵押价值")</f>
        <v>房地产抵押价值</v>
      </c>
      <c r="L49" s="3155"/>
      <c r="M49" s="3158">
        <f ca="1">IF(项目基本情况!E8="房地产抵押价值",H107,H109)</f>
        <v>140574</v>
      </c>
      <c r="N49" s="3158"/>
      <c r="O49" s="3158"/>
    </row>
    <row r="50" spans="1:35" ht="25.5" customHeight="1">
      <c r="A50" s="177"/>
      <c r="B50" s="3203" t="s">
        <v>2196</v>
      </c>
      <c r="C50" s="3203"/>
      <c r="D50" s="178"/>
      <c r="E50" s="31"/>
      <c r="F50" s="179"/>
      <c r="G50" s="3185"/>
      <c r="H50" s="137"/>
      <c r="I50" s="2479"/>
      <c r="J50" s="3155" t="s">
        <v>2197</v>
      </c>
      <c r="K50" s="3155"/>
      <c r="L50" s="3155"/>
      <c r="M50" s="3155"/>
      <c r="N50" s="3155"/>
      <c r="O50" s="3155"/>
    </row>
    <row r="51" spans="1:35" ht="12" customHeight="1">
      <c r="A51" s="180"/>
      <c r="B51" s="3203" t="s">
        <v>2198</v>
      </c>
      <c r="C51" s="3203"/>
      <c r="D51" s="181"/>
      <c r="E51" s="30"/>
      <c r="F51" s="179"/>
      <c r="G51" s="3186"/>
      <c r="H51" s="137"/>
      <c r="I51" s="2479"/>
      <c r="J51" s="2480" t="s">
        <v>2199</v>
      </c>
      <c r="K51" s="3155" t="s">
        <v>2200</v>
      </c>
      <c r="L51" s="3155"/>
      <c r="M51" s="2480" t="s">
        <v>2201</v>
      </c>
      <c r="N51" s="2480" t="s">
        <v>2202</v>
      </c>
      <c r="O51" s="2480" t="s">
        <v>2203</v>
      </c>
    </row>
    <row r="52" spans="1:35" ht="24" customHeight="1">
      <c r="A52" s="182" t="s">
        <v>2204</v>
      </c>
      <c r="B52" s="3203" t="s">
        <v>2205</v>
      </c>
      <c r="C52" s="3203"/>
      <c r="D52" s="181">
        <f ca="1">ROUND(D45*'数据-取费表'!B41/(1+'数据-取费表'!C42),0)</f>
        <v>7497</v>
      </c>
      <c r="E52" s="11" t="s">
        <v>2206</v>
      </c>
      <c r="F52" s="183">
        <f>'数据-取费表'!B41</f>
        <v>5.6000000000000001E-2</v>
      </c>
      <c r="G52" s="2481"/>
      <c r="H52" s="137"/>
      <c r="I52" s="2479"/>
      <c r="J52" s="1808">
        <v>1</v>
      </c>
      <c r="K52" s="3178" t="s">
        <v>2207</v>
      </c>
      <c r="L52" s="3178"/>
      <c r="M52" s="1750">
        <f>D48</f>
        <v>0</v>
      </c>
      <c r="N52" s="1808" t="str">
        <f>E48</f>
        <v>销售额×税（费）率</v>
      </c>
      <c r="O52" s="1751" t="str">
        <f>F48</f>
        <v>免征</v>
      </c>
    </row>
    <row r="53" spans="1:35" ht="12" customHeight="1">
      <c r="A53" s="182" t="s">
        <v>2208</v>
      </c>
      <c r="B53" s="3204" t="s">
        <v>2209</v>
      </c>
      <c r="C53" s="3205"/>
      <c r="D53" s="181">
        <f ca="1">ROUND(D45*'数据-取费表'!B41/(1+'数据-取费表'!C42),0)</f>
        <v>7497</v>
      </c>
      <c r="E53" s="11" t="s">
        <v>2206</v>
      </c>
      <c r="F53" s="183">
        <f>'数据-取费表'!B41</f>
        <v>5.6000000000000001E-2</v>
      </c>
      <c r="G53" s="2481"/>
      <c r="H53" s="137"/>
      <c r="I53" s="2479"/>
      <c r="J53" s="1808">
        <v>2</v>
      </c>
      <c r="K53" s="3178" t="s">
        <v>2210</v>
      </c>
      <c r="L53" s="3178"/>
      <c r="M53" s="1750">
        <f t="shared" ref="M53:O54" ca="1" si="0">D55</f>
        <v>70</v>
      </c>
      <c r="N53" s="1808" t="str">
        <f t="shared" si="0"/>
        <v>销售额×税（费）率</v>
      </c>
      <c r="O53" s="1751">
        <f t="shared" si="0"/>
        <v>5.0000000000000001E-4</v>
      </c>
    </row>
    <row r="54" spans="1:35" ht="12" customHeight="1">
      <c r="A54" s="182" t="s">
        <v>2211</v>
      </c>
      <c r="B54" s="3204" t="s">
        <v>2212</v>
      </c>
      <c r="C54" s="3205"/>
      <c r="D54" s="181">
        <f ca="1">C68</f>
        <v>7497</v>
      </c>
      <c r="E54" s="30" t="s">
        <v>2213</v>
      </c>
      <c r="F54" s="183">
        <f>'数据-取费表'!B41</f>
        <v>5.6000000000000001E-2</v>
      </c>
      <c r="G54" s="2481"/>
      <c r="H54" s="2482"/>
      <c r="I54" s="2479"/>
      <c r="J54" s="1808">
        <v>3</v>
      </c>
      <c r="K54" s="3178" t="s">
        <v>2214</v>
      </c>
      <c r="L54" s="3178"/>
      <c r="M54" s="1750">
        <f t="shared" ca="1" si="0"/>
        <v>79565</v>
      </c>
      <c r="N54" s="1808" t="str">
        <f t="shared" si="0"/>
        <v>增值额×税（费）率</v>
      </c>
      <c r="O54" s="1752" t="str">
        <f t="shared" si="0"/>
        <v>——</v>
      </c>
    </row>
    <row r="55" spans="1:35" ht="24" customHeight="1">
      <c r="A55" s="3242" t="s">
        <v>2215</v>
      </c>
      <c r="B55" s="3224"/>
      <c r="C55" s="3224"/>
      <c r="D55" s="184">
        <f ca="1">IF(H55="个人住宅",0,ROUND(D45*I55,0))</f>
        <v>70</v>
      </c>
      <c r="E55" s="11" t="s">
        <v>2216</v>
      </c>
      <c r="F55" s="183">
        <f>IF(H55="正常",I55,"免征")</f>
        <v>5.0000000000000001E-4</v>
      </c>
      <c r="G55" s="2481"/>
      <c r="H55" s="2478" t="s">
        <v>2217</v>
      </c>
      <c r="I55" s="185">
        <f>'数据-取费表'!B49</f>
        <v>5.0000000000000001E-4</v>
      </c>
      <c r="J55" s="1808" t="str">
        <f>IF(H59="非个人房产","",4)</f>
        <v/>
      </c>
      <c r="K55" s="3178" t="str">
        <f>IF(H59="非个人房产","——","个人所得税")</f>
        <v>——</v>
      </c>
      <c r="L55" s="3178"/>
      <c r="M55" s="1753" t="str">
        <f>D59</f>
        <v>——</v>
      </c>
      <c r="N55" s="1806" t="str">
        <f>E59</f>
        <v>——</v>
      </c>
      <c r="O55" s="1754" t="str">
        <f>F59</f>
        <v>——</v>
      </c>
    </row>
    <row r="56" spans="1:35" ht="24.75">
      <c r="A56" s="3242" t="s">
        <v>2218</v>
      </c>
      <c r="B56" s="3224"/>
      <c r="C56" s="3224"/>
      <c r="D56" s="184">
        <f ca="1">IF(H56="个人住宅",D57,D58)</f>
        <v>79565</v>
      </c>
      <c r="E56" s="11" t="s">
        <v>2219</v>
      </c>
      <c r="F56" s="183" t="str">
        <f>IF(H56="正常",F58,"免征")</f>
        <v>——</v>
      </c>
      <c r="G56" s="2483" t="s">
        <v>2220</v>
      </c>
      <c r="H56" s="2484" t="s">
        <v>2217</v>
      </c>
      <c r="I56" s="2485"/>
      <c r="J56" s="1808" t="str">
        <f>IF(项目基本情况!K6="上海银行",IF(J55="",4,J55+1),"")</f>
        <v/>
      </c>
      <c r="K56" s="3161" t="str">
        <f>IF(项目基本情况!K6="上海银行","其他处置费用","")</f>
        <v/>
      </c>
      <c r="L56" s="3162"/>
      <c r="M56" s="1750" t="str">
        <f>IF(项目基本情况!K6="上海银行",M69,"")</f>
        <v/>
      </c>
      <c r="N56" s="3164" t="str">
        <f>IF(项目基本情况!K6="上海银行","包含处置中涉及的律师、诉讼、拍卖、评估等费用","")</f>
        <v/>
      </c>
      <c r="O56" s="3165"/>
    </row>
    <row r="57" spans="1:35" ht="12.75">
      <c r="A57" s="182" t="s">
        <v>2193</v>
      </c>
      <c r="B57" s="3209" t="s">
        <v>2221</v>
      </c>
      <c r="C57" s="3210"/>
      <c r="D57" s="186">
        <v>0</v>
      </c>
      <c r="E57" s="23" t="s">
        <v>2195</v>
      </c>
      <c r="F57" s="154"/>
      <c r="G57" s="2481"/>
      <c r="H57" s="2485"/>
      <c r="I57" s="2485"/>
      <c r="J57" s="3178">
        <f>IF(AND(J55="",J56=""),4,IF(项目基本情况!K6="上海银行",结果表!J56+1,结果表!J55+1))</f>
        <v>4</v>
      </c>
      <c r="K57" s="3178" t="s">
        <v>2222</v>
      </c>
      <c r="L57" s="2486" t="s">
        <v>2223</v>
      </c>
      <c r="M57" s="1755"/>
      <c r="N57" s="1756">
        <f ca="1">SUMIF(M52:M56,"&lt;9e307")</f>
        <v>79635</v>
      </c>
      <c r="O57" s="2487"/>
      <c r="P57" s="1749">
        <f ca="1">N57/M49</f>
        <v>0.56649878355883732</v>
      </c>
    </row>
    <row r="58" spans="1:35" ht="24.75">
      <c r="A58" s="182" t="s">
        <v>2204</v>
      </c>
      <c r="B58" s="3209" t="s">
        <v>2224</v>
      </c>
      <c r="C58" s="3222"/>
      <c r="D58" s="184">
        <f ca="1">IF(H58="转让取得",C81,C97)</f>
        <v>79565</v>
      </c>
      <c r="E58" s="11" t="s">
        <v>2219</v>
      </c>
      <c r="F58" s="24" t="s">
        <v>34</v>
      </c>
      <c r="G58" s="2481"/>
      <c r="H58" s="2484" t="s">
        <v>2225</v>
      </c>
      <c r="I58" s="2485"/>
      <c r="J58" s="3178"/>
      <c r="K58" s="3178"/>
      <c r="L58" s="2486" t="s">
        <v>2226</v>
      </c>
      <c r="M58" s="1757"/>
      <c r="N58" s="2488" t="str">
        <f ca="1">NUMBERSTRING(INT(N57*10000),2)&amp;"元整"</f>
        <v>柒亿玖仟陆佰叁拾伍万元整</v>
      </c>
      <c r="O58" s="2489"/>
    </row>
    <row r="59" spans="1:35" ht="24.75" thickBot="1">
      <c r="A59" s="3182" t="s">
        <v>2227</v>
      </c>
      <c r="B59" s="3183"/>
      <c r="C59" s="3183"/>
      <c r="D59" s="187" t="str">
        <f>IF(H59="非个人房产","——",IF(H59="个人住宅",0,ROUND(D45*I59,0)))</f>
        <v>——</v>
      </c>
      <c r="E59" s="188" t="str">
        <f>IF(H59="非个人房产","——","销售额×税（费）率")</f>
        <v>——</v>
      </c>
      <c r="F59" s="189" t="str">
        <f>IF(H59="非个人房产","——",IF(H59="个人住宅","免征",I59))</f>
        <v>——</v>
      </c>
      <c r="G59" s="2490" t="s">
        <v>2220</v>
      </c>
      <c r="H59" s="2484" t="s">
        <v>2228</v>
      </c>
      <c r="I59" s="190">
        <v>0.01</v>
      </c>
      <c r="J59" s="3180">
        <f>J57+1</f>
        <v>5</v>
      </c>
      <c r="K59" s="3178" t="s">
        <v>2229</v>
      </c>
      <c r="L59" s="1808" t="s">
        <v>2223</v>
      </c>
      <c r="M59" s="1758"/>
      <c r="N59" s="1759">
        <f ca="1">M49-N57</f>
        <v>60939</v>
      </c>
      <c r="O59" s="2491"/>
    </row>
    <row r="60" spans="1:35" ht="12" customHeight="1">
      <c r="A60" s="2492"/>
      <c r="B60" s="2414"/>
      <c r="C60" s="2414"/>
      <c r="D60" s="2414"/>
      <c r="E60" s="2161"/>
      <c r="F60" s="2485"/>
      <c r="G60" s="2485"/>
      <c r="H60" s="2493"/>
      <c r="I60" s="137"/>
      <c r="J60" s="3181"/>
      <c r="K60" s="3178"/>
      <c r="L60" s="2486" t="s">
        <v>2226</v>
      </c>
      <c r="M60" s="1757"/>
      <c r="N60" s="2488" t="str">
        <f ca="1">NUMBERSTRING(INT(N59*10000),2)&amp;"元整"</f>
        <v>陆亿零玖佰叁拾玖万元整</v>
      </c>
      <c r="O60" s="2489"/>
    </row>
    <row r="61" spans="1:35" ht="13.5" thickBot="1">
      <c r="A61" s="3241" t="s">
        <v>2230</v>
      </c>
      <c r="B61" s="3241"/>
      <c r="C61" s="3241"/>
      <c r="D61" s="3241"/>
      <c r="E61" s="3241"/>
      <c r="F61" s="2485"/>
      <c r="G61" s="2485"/>
      <c r="H61" s="2493"/>
      <c r="I61" s="137"/>
      <c r="J61" s="1808">
        <f>J59+1</f>
        <v>6</v>
      </c>
      <c r="K61" s="3178" t="s">
        <v>2231</v>
      </c>
      <c r="L61" s="3178"/>
      <c r="M61" s="1760"/>
      <c r="N61" s="1761">
        <f ca="1">ROUND(N59*10000/'数据-汇总表'!E3,0)</f>
        <v>8250</v>
      </c>
      <c r="O61" s="2494"/>
    </row>
    <row r="62" spans="1:35" ht="12.75">
      <c r="A62" s="3198" t="s">
        <v>2232</v>
      </c>
      <c r="B62" s="3199"/>
      <c r="C62" s="1800"/>
      <c r="D62" s="1800" t="s">
        <v>2233</v>
      </c>
      <c r="E62" s="191" t="s">
        <v>2234</v>
      </c>
      <c r="F62" s="2485"/>
      <c r="G62" s="2485"/>
      <c r="H62" s="2493"/>
      <c r="I62" s="137"/>
    </row>
    <row r="63" spans="1:35" ht="12.75">
      <c r="A63" s="202" t="s">
        <v>775</v>
      </c>
      <c r="B63" s="192" t="s">
        <v>2235</v>
      </c>
      <c r="C63" s="193">
        <f ca="1">ROUND((C64+C65)/(1+'数据-取费表'!C42),0)</f>
        <v>133880</v>
      </c>
      <c r="D63" s="194"/>
      <c r="E63" s="195"/>
      <c r="F63" s="2485"/>
      <c r="G63" s="2485"/>
      <c r="H63" s="2493"/>
      <c r="I63" s="137"/>
      <c r="J63" s="3163" t="s">
        <v>2236</v>
      </c>
      <c r="K63" s="2495" t="s">
        <v>2237</v>
      </c>
      <c r="L63" s="1748">
        <f ca="1">IF(M49&gt;10000,M49*0.5%,IF(AND(M49&gt;1000,M49&lt;=10000),M49*1%,IF(AND(M49&gt;100,M49&lt;=1000),M49*3%,IF(AND(M49&gt;10,M49&lt;=100),M49*5%,M49*8%))))</f>
        <v>702.87</v>
      </c>
      <c r="M63" s="24">
        <f ca="1">ROUND(L63,1)</f>
        <v>702.9</v>
      </c>
      <c r="Z63" s="2419"/>
      <c r="AI63" s="2420"/>
    </row>
    <row r="64" spans="1:35" ht="14.25" customHeight="1">
      <c r="A64" s="196" t="s">
        <v>770</v>
      </c>
      <c r="B64" s="197" t="s">
        <v>2238</v>
      </c>
      <c r="C64" s="198">
        <f ca="1">D45</f>
        <v>140574</v>
      </c>
      <c r="D64" s="199" t="s">
        <v>32</v>
      </c>
      <c r="E64" s="200"/>
      <c r="F64" s="2485"/>
      <c r="G64" s="2485"/>
      <c r="H64" s="2493"/>
      <c r="I64" s="137"/>
      <c r="J64" s="3163"/>
      <c r="K64" s="2495" t="s">
        <v>2239</v>
      </c>
      <c r="L64" s="1748">
        <f ca="1">IF(M49&gt;2000,M49*0.5%,IF(AND(M49&gt;1000,M49&lt;=2000),M49*0.6%,IF(AND(M49&gt;500,M49&lt;=1000),M49*0.7%,IF(AND(M49&gt;200,M49&lt;=500),M49*0.8%,IF(AND(M49&gt;100,M49&lt;=200),M49*0.9%,IF(AND(M49&gt;50,M49&lt;=100),M49*1%,IF(AND(M49&gt;20,M49&lt;=50),M49*1.5%,IF(AND(M49&gt;10,M49&lt;=20),M49*2%,IF(AND(M49&gt;1,M49&lt;=10),M49*2.5%)))))))))</f>
        <v>702.87</v>
      </c>
      <c r="M64" s="24">
        <f ca="1">ROUND(L64,1)</f>
        <v>702.9</v>
      </c>
      <c r="N64" s="137" t="s">
        <v>2240</v>
      </c>
      <c r="Z64" s="2419"/>
      <c r="AI64" s="2420"/>
    </row>
    <row r="65" spans="1:35" ht="14.25" customHeight="1">
      <c r="A65" s="196" t="s">
        <v>771</v>
      </c>
      <c r="B65" s="197" t="s">
        <v>2241</v>
      </c>
      <c r="C65" s="201"/>
      <c r="D65" s="199"/>
      <c r="E65" s="200"/>
      <c r="F65" s="2485"/>
      <c r="G65" s="2485"/>
      <c r="H65" s="2493"/>
      <c r="I65" s="137"/>
      <c r="J65" s="3163"/>
      <c r="K65" s="2495" t="s">
        <v>2242</v>
      </c>
      <c r="L65" s="1748">
        <f ca="1">IF(M49&gt;1000,M49*0.1%,IF(AND(M49&gt;500,M49&lt;=1000),M49*0.5%,IF(AND(M49&gt;50,M49&lt;=500),M49*1%,IF(AND(M49&gt;1,M49&lt;=50),M49*1.5%))))</f>
        <v>140.57400000000001</v>
      </c>
      <c r="M65" s="24">
        <f ca="1">ROUND(L65,1)</f>
        <v>140.6</v>
      </c>
      <c r="N65" s="137" t="s">
        <v>2240</v>
      </c>
      <c r="Z65" s="2419"/>
      <c r="AI65" s="2420"/>
    </row>
    <row r="66" spans="1:35" ht="14.25" customHeight="1">
      <c r="A66" s="202" t="s">
        <v>772</v>
      </c>
      <c r="B66" s="203" t="s">
        <v>2243</v>
      </c>
      <c r="C66" s="204"/>
      <c r="D66" s="205" t="s">
        <v>32</v>
      </c>
      <c r="E66" s="1772" t="s">
        <v>1371</v>
      </c>
      <c r="F66" s="2485"/>
      <c r="G66" s="2485"/>
      <c r="H66" s="2493"/>
      <c r="I66" s="137"/>
      <c r="J66" s="3163"/>
      <c r="K66" s="2495" t="s">
        <v>2244</v>
      </c>
      <c r="L66" s="1748">
        <f ca="1">M49*0.5%</f>
        <v>702.87</v>
      </c>
      <c r="M66" s="24">
        <f ca="1">IF(L66&gt;0.5,0.5,ROUND(L66,0))</f>
        <v>0.5</v>
      </c>
      <c r="N66" s="137" t="s">
        <v>2245</v>
      </c>
      <c r="Z66" s="2419"/>
      <c r="AI66" s="2420"/>
    </row>
    <row r="67" spans="1:35" ht="14.25" customHeight="1">
      <c r="A67" s="202" t="s">
        <v>773</v>
      </c>
      <c r="B67" s="203" t="s">
        <v>2246</v>
      </c>
      <c r="C67" s="206">
        <f ca="1">C63-C66</f>
        <v>133880</v>
      </c>
      <c r="D67" s="199" t="s">
        <v>32</v>
      </c>
      <c r="E67" s="200"/>
      <c r="F67" s="2485"/>
      <c r="G67" s="2485"/>
      <c r="H67" s="2493"/>
      <c r="I67" s="137"/>
      <c r="J67" s="3163"/>
      <c r="K67" s="2495" t="s">
        <v>2247</v>
      </c>
      <c r="L67" s="1748">
        <f ca="1">IF(M49&gt;=10000,(8.25+(M49-10000)*0.01%),IF(AND(M49&gt;=8000,M49&lt;10000),(7.85+(M49-8000)*0.02%),IF(AND(M49&gt;=5000,M49&lt;8000),(6.65+(M49-5000)*0.04%),IF(AND(M49&gt;=2000,M49&lt;5000),(4.25+(PM49-2000)*0.08%),IF(AND(M49&gt;=1000,M49&lt;2000),(2.75+(M49-1000)*0.15%),IF(AND(M49&gt;=100,M49&lt;1000),(0.5+(M49-100)*0.25%),IF(AND(M49&gt;0,M49&lt;100),M49*0.5%)))))))</f>
        <v>21.307400000000001</v>
      </c>
      <c r="M67" s="24">
        <f ca="1">ROUND(L67*0.9,1)</f>
        <v>19.2</v>
      </c>
      <c r="Z67" s="2419"/>
      <c r="AI67" s="2420"/>
    </row>
    <row r="68" spans="1:35" ht="14.25" customHeight="1" thickBot="1">
      <c r="A68" s="207" t="s">
        <v>774</v>
      </c>
      <c r="B68" s="208" t="s">
        <v>2248</v>
      </c>
      <c r="C68" s="209">
        <f ca="1">IF(C67&lt;=0,0,ROUND(C67*D68,0))</f>
        <v>7497</v>
      </c>
      <c r="D68" s="210">
        <f>'数据-取费表'!B41</f>
        <v>5.6000000000000001E-2</v>
      </c>
      <c r="E68" s="211"/>
      <c r="F68" s="2485"/>
      <c r="G68" s="2485"/>
      <c r="H68" s="2493"/>
      <c r="I68" s="137"/>
      <c r="J68" s="3163"/>
      <c r="K68" s="2495" t="s">
        <v>2249</v>
      </c>
      <c r="L68" s="1748">
        <f ca="1">IF(M49&gt;10000,M49*0.5%,IF(AND(M49&gt;5000,M49&lt;=10000),M49*1%,IF(AND(M49&gt;1000,M49&lt;=5000),M49*2%,IF(AND(M49&gt;200,M49&lt;=1000),M49*3%,M49*5%))))</f>
        <v>702.87</v>
      </c>
      <c r="M68" s="24">
        <f ca="1">ROUND(L68,1)</f>
        <v>702.9</v>
      </c>
      <c r="Z68" s="2419"/>
      <c r="AI68" s="2420"/>
    </row>
    <row r="69" spans="1:35" s="2442" customFormat="1" ht="16.5" customHeight="1">
      <c r="A69" s="2496"/>
      <c r="B69" s="2497"/>
      <c r="C69" s="2498"/>
      <c r="D69" s="2499"/>
      <c r="E69" s="2500"/>
      <c r="F69" s="2161"/>
      <c r="G69" s="2161"/>
      <c r="H69" s="2160"/>
      <c r="I69" s="2414"/>
      <c r="J69" s="3163"/>
      <c r="K69" s="2495" t="s">
        <v>2250</v>
      </c>
      <c r="L69" s="2501"/>
      <c r="M69" s="24">
        <f ca="1">ROUND(SUM(M63:M68),0)</f>
        <v>2269</v>
      </c>
      <c r="N69" s="1749">
        <f ca="1">M69/M49</f>
        <v>1.6140964901048559E-2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7" t="s">
        <v>2251</v>
      </c>
      <c r="B70" s="3208"/>
      <c r="C70" s="3208"/>
      <c r="D70" s="3208"/>
      <c r="E70" s="3208"/>
      <c r="F70" s="3208"/>
      <c r="G70" s="3208"/>
      <c r="H70" s="32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8" t="s">
        <v>2232</v>
      </c>
      <c r="B71" s="3199"/>
      <c r="C71" s="1800"/>
      <c r="D71" s="1800" t="s">
        <v>2233</v>
      </c>
      <c r="E71" s="212" t="s">
        <v>2234</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2252</v>
      </c>
      <c r="C72" s="206">
        <f ca="1">ROUND(D45/(1+'数据-取费表'!C42),0)</f>
        <v>133880</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2253</v>
      </c>
      <c r="C73" s="206">
        <f ca="1">C74+C78</f>
        <v>803</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2254</v>
      </c>
      <c r="C74" s="199">
        <f>ROUND(IF(G77="2016年5月1日后购买",C75/(1+'数据-取费表'!C42)+C76+C77,C75+C76+C77),0)</f>
        <v>0</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2255</v>
      </c>
      <c r="C75" s="217"/>
      <c r="D75" s="199" t="s">
        <v>32</v>
      </c>
      <c r="E75" s="218" t="s">
        <v>2256</v>
      </c>
      <c r="F75" s="2507" t="s">
        <v>2257</v>
      </c>
      <c r="G75" s="218" t="s">
        <v>2258</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2259</v>
      </c>
      <c r="C76" s="199">
        <f>IF(F75="购房发票",ROUND(C75*H75*D76,0),0)</f>
        <v>0</v>
      </c>
      <c r="D76" s="221">
        <v>0.05</v>
      </c>
      <c r="E76" s="3204" t="s">
        <v>2260</v>
      </c>
      <c r="F76" s="3203"/>
      <c r="G76" s="3203"/>
      <c r="H76" s="32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9" t="s">
        <v>2263</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803</v>
      </c>
      <c r="D78" s="225">
        <f>'数据-取费表'!B43</f>
        <v>6.000000000000001E-3</v>
      </c>
      <c r="E78" s="3195" t="s">
        <v>2265</v>
      </c>
      <c r="F78" s="3196"/>
      <c r="G78" s="3196"/>
      <c r="H78" s="31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133077</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165.72478206724782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79565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7" t="s">
        <v>2269</v>
      </c>
      <c r="B83" s="3208"/>
      <c r="C83" s="3208"/>
      <c r="D83" s="3208"/>
      <c r="E83" s="3208"/>
      <c r="F83" s="3208"/>
      <c r="G83" s="3208"/>
      <c r="H83" s="32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8" t="s">
        <v>2232</v>
      </c>
      <c r="B84" s="3199"/>
      <c r="C84" s="1800"/>
      <c r="D84" s="1800" t="s">
        <v>2233</v>
      </c>
      <c r="E84" s="212" t="s">
        <v>2234</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2252</v>
      </c>
      <c r="C85" s="206">
        <f ca="1">ROUND(D45/(1+'数据-取费表'!C42),0)</f>
        <v>133880</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2253</v>
      </c>
      <c r="C86" s="206">
        <f ca="1">IF(H88="仅含出让金",C87+C90+C91+C92+C93+C94,C87+C91+C92+C93+C94)</f>
        <v>803</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0</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c r="D88" s="225"/>
      <c r="E88" s="236" t="s">
        <v>2272</v>
      </c>
      <c r="F88" s="1796"/>
      <c r="G88" s="237" t="s">
        <v>2273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2261</v>
      </c>
      <c r="C89" s="224">
        <f>ROUND(C88*D89,0)</f>
        <v>0</v>
      </c>
      <c r="D89" s="225">
        <f>'数据-取费表'!B48+'数据-取费表'!B49</f>
        <v>3.0499999999999999E-2</v>
      </c>
      <c r="E89" s="236" t="s">
        <v>2274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0</v>
      </c>
      <c r="D91" s="225"/>
      <c r="E91" s="3195" t="s">
        <v>2278</v>
      </c>
      <c r="F91" s="3196"/>
      <c r="G91" s="3196"/>
      <c r="H91" s="2514" t="s">
        <v>2279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0</v>
      </c>
      <c r="D92" s="225">
        <v>0.1</v>
      </c>
      <c r="E92" s="3195" t="s">
        <v>2282</v>
      </c>
      <c r="F92" s="3196"/>
      <c r="G92" s="3196"/>
      <c r="H92" s="31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803</v>
      </c>
      <c r="D93" s="225">
        <f>'数据-取费表'!B43</f>
        <v>6.000000000000001E-3</v>
      </c>
      <c r="E93" s="3195" t="s">
        <v>2265</v>
      </c>
      <c r="F93" s="3196"/>
      <c r="G93" s="3196"/>
      <c r="H93" s="31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0</v>
      </c>
      <c r="D94" s="225">
        <v>0.2</v>
      </c>
      <c r="E94" s="3243" t="s">
        <v>2286</v>
      </c>
      <c r="F94" s="3244"/>
      <c r="G94" s="3244"/>
      <c r="H94" s="324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133077</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165.72478206724782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79565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2287</v>
      </c>
      <c r="B99" s="2414"/>
      <c r="C99" s="2414"/>
      <c r="D99" s="2414"/>
      <c r="E99" s="2161"/>
      <c r="F99" s="2161"/>
      <c r="G99" s="2161"/>
      <c r="H99" s="2160"/>
      <c r="I99" s="137"/>
    </row>
    <row r="100" spans="1:35" ht="18.75" customHeight="1">
      <c r="A100" s="3144" t="s">
        <v>2288</v>
      </c>
      <c r="B100" s="3145"/>
      <c r="C100" s="3145"/>
      <c r="D100" s="3179"/>
      <c r="E100" s="3145" t="s">
        <v>2289</v>
      </c>
      <c r="F100" s="3145"/>
      <c r="G100" s="3145"/>
      <c r="H100" s="3179"/>
      <c r="I100" s="137"/>
    </row>
    <row r="101" spans="1:35" ht="18.75" customHeight="1">
      <c r="A101" s="3187" t="s">
        <v>2290</v>
      </c>
      <c r="B101" s="3188"/>
      <c r="C101" s="734" t="str">
        <f>C4</f>
        <v>成本法</v>
      </c>
      <c r="D101" s="735" t="str">
        <f>D4</f>
        <v>假设开发法</v>
      </c>
      <c r="E101" s="3159" t="s">
        <v>2291</v>
      </c>
      <c r="F101" s="3160"/>
      <c r="G101" s="2516" t="s">
        <v>2292</v>
      </c>
      <c r="H101" s="1044">
        <f ca="1">H118</f>
        <v>140574</v>
      </c>
      <c r="I101" s="137"/>
    </row>
    <row r="102" spans="1:35" ht="18.75" customHeight="1">
      <c r="A102" s="3189" t="s">
        <v>2293</v>
      </c>
      <c r="B102" s="2516" t="s">
        <v>2292</v>
      </c>
      <c r="C102" s="734">
        <f ca="1">C19</f>
        <v>112386</v>
      </c>
      <c r="D102" s="735">
        <f ca="1">D19</f>
        <v>152655</v>
      </c>
      <c r="E102" s="3159"/>
      <c r="F102" s="3160"/>
      <c r="G102" s="2516" t="s">
        <v>2294</v>
      </c>
      <c r="H102" s="370">
        <f ca="1">I118</f>
        <v>19031</v>
      </c>
      <c r="I102" s="137"/>
    </row>
    <row r="103" spans="1:35" ht="42.75" customHeight="1">
      <c r="A103" s="3189"/>
      <c r="B103" s="2516" t="s">
        <v>2294</v>
      </c>
      <c r="C103" s="736">
        <f ca="1">C20</f>
        <v>15215</v>
      </c>
      <c r="D103" s="737">
        <f ca="1">D20</f>
        <v>20667</v>
      </c>
      <c r="E103" s="3153" t="s">
        <v>2295</v>
      </c>
      <c r="F103" s="3154"/>
      <c r="G103" s="2517" t="s">
        <v>2296</v>
      </c>
      <c r="H103" s="1044">
        <f>IF(D36="正常操作",H104+H105+H106,H105+H106)</f>
        <v>0</v>
      </c>
      <c r="I103" s="137"/>
    </row>
    <row r="104" spans="1:35" ht="18.75" customHeight="1">
      <c r="A104" s="3189" t="s">
        <v>2297</v>
      </c>
      <c r="B104" s="2518" t="s">
        <v>2292</v>
      </c>
      <c r="C104" s="738">
        <f ca="1">H118</f>
        <v>140574</v>
      </c>
      <c r="D104" s="739"/>
      <c r="E104" s="2262" t="s">
        <v>2298</v>
      </c>
      <c r="F104" s="2253"/>
      <c r="G104" s="2517" t="s">
        <v>2296</v>
      </c>
      <c r="H104" s="1045">
        <f>IF(D36="同一抵押权人同一抵押物续贷",C36&amp;"（未扣减，详见特别提示）",C36)</f>
        <v>0</v>
      </c>
      <c r="I104" s="137"/>
    </row>
    <row r="105" spans="1:35" ht="18.75" customHeight="1" thickBot="1">
      <c r="A105" s="3201"/>
      <c r="B105" s="2519" t="s">
        <v>2294</v>
      </c>
      <c r="C105" s="740">
        <f ca="1">I118</f>
        <v>19031</v>
      </c>
      <c r="D105" s="741"/>
      <c r="E105" s="2262" t="s">
        <v>2299</v>
      </c>
      <c r="F105" s="2253"/>
      <c r="G105" s="2517" t="s">
        <v>2296</v>
      </c>
      <c r="H105" s="1045">
        <f>C37</f>
        <v>0</v>
      </c>
      <c r="I105" s="137"/>
    </row>
    <row r="106" spans="1:35" ht="18.75" customHeight="1">
      <c r="A106" s="2414" t="s">
        <v>2300</v>
      </c>
      <c r="B106" s="2414"/>
      <c r="C106" s="2414"/>
      <c r="D106" s="2414"/>
      <c r="E106" s="2520" t="s">
        <v>2301</v>
      </c>
      <c r="F106" s="2253"/>
      <c r="G106" s="2517" t="s">
        <v>2296</v>
      </c>
      <c r="H106" s="1045">
        <f>C38</f>
        <v>0</v>
      </c>
      <c r="I106" s="137"/>
    </row>
    <row r="107" spans="1:35" ht="18.75" customHeight="1">
      <c r="A107" s="137"/>
      <c r="B107" s="137"/>
      <c r="C107" s="137"/>
      <c r="D107" s="137"/>
      <c r="E107" s="3190" t="str">
        <f>IF(项目基本情况!E8="已注销","——","3.房地产抵押价值")</f>
        <v>3.房地产抵押价值</v>
      </c>
      <c r="F107" s="3160"/>
      <c r="G107" s="2516" t="s">
        <v>2292</v>
      </c>
      <c r="H107" s="1044">
        <f ca="1">IF(E107="——","——",H101-H103)</f>
        <v>140574</v>
      </c>
      <c r="I107" s="137"/>
    </row>
    <row r="108" spans="1:35" ht="18.75" customHeight="1">
      <c r="A108" s="137"/>
      <c r="B108" s="137"/>
      <c r="C108" s="137"/>
      <c r="D108" s="137"/>
      <c r="E108" s="3190"/>
      <c r="F108" s="3160"/>
      <c r="G108" s="2516" t="s">
        <v>2294</v>
      </c>
      <c r="H108" s="370">
        <f ca="1">ROUND(H107*10000/'数据-汇总表'!E3,0)</f>
        <v>19031</v>
      </c>
      <c r="I108" s="137"/>
    </row>
    <row r="109" spans="1:35" ht="18.75" customHeight="1">
      <c r="A109" s="137"/>
      <c r="B109" s="137"/>
      <c r="C109" s="137"/>
      <c r="D109" s="137"/>
      <c r="E109" s="3190" t="str">
        <f>IF(项目基本情况!E8="已注销及未注销","4.抵押担保权已注销时的房地产抵押价值",IF(项目基本情况!E8="已注销","3.抵押担保权已注销时的房地产抵押价值","——"))</f>
        <v>——</v>
      </c>
      <c r="F109" s="3160"/>
      <c r="G109" s="2516" t="s">
        <v>2292</v>
      </c>
      <c r="H109" s="347" t="str">
        <f>IF(E109="——","——",H101-H105-H106)</f>
        <v>——</v>
      </c>
      <c r="I109" s="137"/>
    </row>
    <row r="110" spans="1:35" ht="18.75" customHeight="1">
      <c r="A110" s="137"/>
      <c r="B110" s="137"/>
      <c r="C110" s="137"/>
      <c r="D110" s="137"/>
      <c r="E110" s="3190"/>
      <c r="F110" s="3160"/>
      <c r="G110" s="2516" t="s">
        <v>2294</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6" t="s">
        <v>2292</v>
      </c>
      <c r="H111" s="1044" t="str">
        <f>IF(E111="——","——",N59)</f>
        <v>——</v>
      </c>
      <c r="I111" s="137"/>
    </row>
    <row r="112" spans="1:35" ht="18.75" customHeight="1" thickBot="1">
      <c r="A112" s="137"/>
      <c r="B112" s="137"/>
      <c r="C112" s="137"/>
      <c r="D112" s="137"/>
      <c r="E112" s="3193"/>
      <c r="F112" s="3194"/>
      <c r="G112" s="2521" t="s">
        <v>2294</v>
      </c>
      <c r="H112" s="788" t="str">
        <f>IF(E111="——","——",N61)</f>
        <v>——</v>
      </c>
      <c r="I112" s="137"/>
    </row>
    <row r="113" spans="1:11" ht="18.75" customHeight="1">
      <c r="A113" s="137"/>
      <c r="B113" s="137"/>
      <c r="C113" s="137"/>
      <c r="D113" s="137"/>
      <c r="E113" s="3202" t="s">
        <v>2300</v>
      </c>
      <c r="F113" s="3202"/>
      <c r="G113" s="3202"/>
      <c r="H113" s="3202"/>
      <c r="I113" s="137"/>
    </row>
    <row r="114" spans="1:11" ht="3.75" customHeight="1">
      <c r="A114" s="2414"/>
      <c r="B114" s="2414"/>
      <c r="C114" s="2414"/>
      <c r="D114" s="2414"/>
      <c r="E114" s="2492"/>
      <c r="F114" s="2492"/>
      <c r="G114" s="2492"/>
      <c r="H114" s="2492"/>
      <c r="I114" s="2414"/>
    </row>
    <row r="115" spans="1:11" ht="18.75" customHeight="1">
      <c r="A115" s="3215" t="s">
        <v>2302</v>
      </c>
      <c r="B115" s="3216"/>
      <c r="C115" s="3216"/>
      <c r="D115" s="3216"/>
      <c r="E115" s="3216"/>
      <c r="F115" s="3216"/>
      <c r="G115" s="3216"/>
      <c r="H115" s="3216"/>
      <c r="I115" s="3217"/>
    </row>
    <row r="116" spans="1:11" ht="27" customHeight="1">
      <c r="A116" s="3123" t="s">
        <v>2303</v>
      </c>
      <c r="B116" s="3169" t="s">
        <v>2304</v>
      </c>
      <c r="C116" s="3169" t="s">
        <v>2305</v>
      </c>
      <c r="D116" s="3175" t="s">
        <v>2306</v>
      </c>
      <c r="E116" s="3176"/>
      <c r="F116" s="3211" t="s">
        <v>2307</v>
      </c>
      <c r="G116" s="3211"/>
      <c r="H116" s="3123" t="s">
        <v>2308</v>
      </c>
      <c r="I116" s="3123"/>
    </row>
    <row r="117" spans="1:11" ht="18.75" customHeight="1">
      <c r="A117" s="3123"/>
      <c r="B117" s="3170"/>
      <c r="C117" s="3170"/>
      <c r="D117" s="1794" t="s">
        <v>2309</v>
      </c>
      <c r="E117" s="1794" t="s">
        <v>2310</v>
      </c>
      <c r="F117" s="1794" t="s">
        <v>2309</v>
      </c>
      <c r="G117" s="1794" t="s">
        <v>2311</v>
      </c>
      <c r="H117" s="1794" t="s">
        <v>2309</v>
      </c>
      <c r="I117" s="1794" t="s">
        <v>2311</v>
      </c>
    </row>
    <row r="118" spans="1:11" ht="24.75" customHeight="1">
      <c r="A118" s="2522" t="str">
        <f>项目基本情况!S2</f>
        <v>广东省广州市天河区元岗路粤隆客车厂地块1、地块2出让国有建设用地使用权及在建建筑物房地产</v>
      </c>
      <c r="B118" s="1794">
        <f>M18</f>
        <v>73865.87</v>
      </c>
      <c r="C118" s="1794">
        <f>M19</f>
        <v>11089.73</v>
      </c>
      <c r="D118" s="1794">
        <f ca="1">ROUND(IF(D32="总价",C34,E118*B118/10000),0)</f>
        <v>111053</v>
      </c>
      <c r="E118" s="1794">
        <f ca="1">ROUND(IF(C33="自定义",IF(D32="楼面单价",C34,D118*10000/B118),I118-G118),0)</f>
        <v>15034</v>
      </c>
      <c r="F118" s="1794">
        <f ca="1">ROUND(IF(D32="总价",C35,G118*B118/10000),0)</f>
        <v>29521</v>
      </c>
      <c r="G118" s="1794">
        <f ca="1">ROUND(IF(D32="楼面单价",C35,F118*10000/B118),0)</f>
        <v>3997</v>
      </c>
      <c r="H118" s="1794">
        <f ca="1">ROUND(IF(D32="总价",C32,I118*B118/10000),0)</f>
        <v>140574</v>
      </c>
      <c r="I118" s="1794">
        <f ca="1">ROUND(IF(D32="楼面单价",C32,H118*10000/B118),0)</f>
        <v>19031</v>
      </c>
    </row>
    <row r="119" spans="1:11" ht="18.75" customHeight="1">
      <c r="A119" s="3123" t="s">
        <v>2312</v>
      </c>
      <c r="B119" s="3123"/>
      <c r="C119" s="3123"/>
      <c r="D119" s="3171" t="str">
        <f ca="1">NUMBERSTRING(INT(D118*10000),2)&amp;"元整"</f>
        <v>壹拾壹亿壹仟零伍拾叁万元整</v>
      </c>
      <c r="E119" s="3172"/>
      <c r="F119" s="3171" t="str">
        <f ca="1">NUMBERSTRING(INT(F118*10000),2)&amp;"元整"</f>
        <v>贰亿玖仟伍佰贰拾壹万元整</v>
      </c>
      <c r="G119" s="3172"/>
      <c r="H119" s="3171" t="str">
        <f ca="1">NUMBERSTRING(INT(H118*10000),2)&amp;"元整"</f>
        <v>壹拾肆亿零伍佰柒拾肆万元整</v>
      </c>
      <c r="I119" s="3172"/>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9" t="str">
        <f>IF(D120=0,"故，本次评估不存在"&amp;A120,"故，本次评估"&amp;A120&amp;"为人民币"&amp;D120&amp;"万元整。")</f>
        <v>故，本次评估不存在估价师知悉的法定优先受偿款</v>
      </c>
    </row>
    <row r="121" spans="1:11" ht="18.75" customHeight="1">
      <c r="A121" s="3212" t="s">
        <v>2312</v>
      </c>
      <c r="B121" s="3213"/>
      <c r="C121" s="3214"/>
      <c r="D121" s="3171" t="str">
        <f>IF(D120=0,"零元整",NUMBERSTRING(INT(D120*10000),2)&amp;"元整")</f>
        <v>零元整</v>
      </c>
      <c r="E121" s="3173"/>
      <c r="F121" s="3173"/>
      <c r="G121" s="3173"/>
      <c r="H121" s="3173"/>
      <c r="I121" s="3172"/>
    </row>
    <row r="122" spans="1:11" ht="18.75" customHeight="1">
      <c r="A122" s="3177" t="str">
        <f>IF(项目基本情况!B9="房地产市场价值","",MID(E107,3,LEN(E107)-2))</f>
        <v>房地产抵押价值</v>
      </c>
      <c r="B122" s="3177"/>
      <c r="C122" s="3177"/>
      <c r="D122" s="3166">
        <f ca="1">H107</f>
        <v>140574</v>
      </c>
      <c r="E122" s="3167"/>
      <c r="F122" s="3167"/>
      <c r="G122" s="3167"/>
      <c r="H122" s="3167"/>
      <c r="I122" s="3168"/>
    </row>
    <row r="123" spans="1:11" ht="18.75" customHeight="1">
      <c r="A123" s="3123" t="s">
        <v>2312</v>
      </c>
      <c r="B123" s="3123"/>
      <c r="C123" s="3123"/>
      <c r="D123" s="3171" t="str">
        <f ca="1">NUMBERSTRING(INT(D122*10000),2)&amp;"元整"</f>
        <v>壹拾肆亿零伍佰柒拾肆万元整</v>
      </c>
      <c r="E123" s="3173"/>
      <c r="F123" s="3173"/>
      <c r="G123" s="3173"/>
      <c r="H123" s="3173"/>
      <c r="I123" s="3172"/>
    </row>
    <row r="124" spans="1:11" ht="18.75" customHeight="1">
      <c r="A124" s="3177" t="str">
        <f>IF(项目基本情况!B9="房地产市场价值","",MID(E109,3,LEN(E109)-2))</f>
        <v/>
      </c>
      <c r="B124" s="3177"/>
      <c r="C124" s="3177"/>
      <c r="D124" s="3166" t="str">
        <f>H109</f>
        <v>——</v>
      </c>
      <c r="E124" s="3167"/>
      <c r="F124" s="3167"/>
      <c r="G124" s="3167"/>
      <c r="H124" s="3167"/>
      <c r="I124" s="3168"/>
    </row>
    <row r="125" spans="1:11" ht="18.75" customHeight="1">
      <c r="A125" s="3123" t="s">
        <v>2312</v>
      </c>
      <c r="B125" s="3123"/>
      <c r="C125" s="3123"/>
      <c r="D125" s="3171" t="e">
        <f>NUMBERSTRING(INT(D124*10000),2)&amp;"元整"</f>
        <v>#VALUE!</v>
      </c>
      <c r="E125" s="3173"/>
      <c r="F125" s="3173"/>
      <c r="G125" s="3173"/>
      <c r="H125" s="3173"/>
      <c r="I125" s="3172"/>
    </row>
    <row r="126" spans="1:11" ht="18.75" customHeight="1">
      <c r="A126" s="3177" t="str">
        <f>IF(项目基本情况!B9="房地产市场价值","",MID(E111,3,LEN(E111)-2))</f>
        <v/>
      </c>
      <c r="B126" s="3177"/>
      <c r="C126" s="3177"/>
      <c r="D126" s="3166" t="str">
        <f>H111</f>
        <v>——</v>
      </c>
      <c r="E126" s="3167"/>
      <c r="F126" s="3167"/>
      <c r="G126" s="3167"/>
      <c r="H126" s="3167"/>
      <c r="I126" s="3168"/>
    </row>
    <row r="127" spans="1:11" ht="18.75" customHeight="1">
      <c r="A127" s="3123" t="s">
        <v>2312</v>
      </c>
      <c r="B127" s="3123"/>
      <c r="C127" s="3123"/>
      <c r="D127" s="3171" t="e">
        <f>NUMBERSTRING(INT(D126*10000),2)&amp;"元整"</f>
        <v>#VALUE!</v>
      </c>
      <c r="E127" s="3173"/>
      <c r="F127" s="3173"/>
      <c r="G127" s="3173"/>
      <c r="H127" s="3173"/>
      <c r="I127" s="3172"/>
    </row>
    <row r="128" spans="1:11" ht="21.75" customHeight="1">
      <c r="A128" s="3174" t="s">
        <v>2313</v>
      </c>
      <c r="B128" s="3174"/>
      <c r="C128" s="3174"/>
      <c r="D128" s="3174"/>
      <c r="E128" s="3174"/>
      <c r="F128" s="3174"/>
      <c r="G128" s="3174"/>
      <c r="H128" s="3174"/>
      <c r="I128" s="3174"/>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2316</v>
      </c>
      <c r="G135" s="2540"/>
      <c r="H135" s="2540"/>
      <c r="I135" s="2541" t="s">
        <v>2317</v>
      </c>
    </row>
    <row r="136" spans="1:35" ht="21.75" customHeight="1">
      <c r="A136" s="793"/>
      <c r="B136" s="2542"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2319</v>
      </c>
    </row>
    <row r="139" spans="1:35" ht="21.75" customHeight="1">
      <c r="A139" s="793"/>
      <c r="B139" s="2542" t="s">
        <v>2320</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2319</v>
      </c>
    </row>
    <row r="142" spans="1:35" ht="21.75" customHeight="1">
      <c r="A142" s="793"/>
      <c r="B142" s="2542"/>
      <c r="C142" s="2543"/>
      <c r="D142" s="2544"/>
      <c r="E142" s="2544"/>
      <c r="F142" s="2336"/>
      <c r="G142" s="793"/>
      <c r="H142" s="793"/>
      <c r="I142" s="793"/>
    </row>
    <row r="143" spans="1:35" s="138"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7" sqref="I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6"/>
      <c r="C1" s="241"/>
      <c r="D1" s="241"/>
      <c r="E1" s="241"/>
      <c r="F1" s="241"/>
      <c r="G1" s="1378">
        <f>MATCH(B1,'数据-取费表'!A6:A16,0)+5</f>
        <v>10</v>
      </c>
    </row>
    <row r="2" spans="1:9" s="243" customFormat="1" ht="18" customHeight="1">
      <c r="A2" s="244" t="s">
        <v>2322</v>
      </c>
      <c r="B2" s="245">
        <f ca="1">IF(D2="——",C52,C52-E2)</f>
        <v>112386</v>
      </c>
      <c r="C2" s="242" t="s">
        <v>2323</v>
      </c>
      <c r="D2" s="2545" t="s">
        <v>70</v>
      </c>
      <c r="E2" s="1439" t="e">
        <f ca="1">SUMIF(INDIRECT("'"&amp;G2&amp;"'"&amp;"!A:A"),"承租人权益价值",INDIRECT("'"&amp;G2&amp;"'"&amp;"!c:c"))</f>
        <v>#REF!</v>
      </c>
      <c r="F2" s="2546" t="s">
        <v>2323</v>
      </c>
      <c r="G2" s="2547"/>
    </row>
    <row r="3" spans="1:9" s="243" customFormat="1" ht="18" customHeight="1" thickBot="1">
      <c r="A3" s="246" t="s">
        <v>2324</v>
      </c>
      <c r="B3" s="247">
        <f ca="1">ROUND(B2*10000/(IF(B1="",'数据-汇总表'!E3,INDIRECT("'数据-取费表'!k"&amp;$G$1))),0)</f>
        <v>15215</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67042</v>
      </c>
      <c r="D5" s="254" t="s">
        <v>2329</v>
      </c>
      <c r="E5" s="255" t="s">
        <v>2330</v>
      </c>
      <c r="F5" s="255" t="s">
        <v>2331</v>
      </c>
      <c r="G5" s="256"/>
    </row>
    <row r="6" spans="1:9" s="257" customFormat="1" ht="13.5" customHeight="1">
      <c r="A6" s="948" t="s">
        <v>2332</v>
      </c>
      <c r="B6" s="258" t="s">
        <v>2333</v>
      </c>
      <c r="C6" s="259">
        <f>'土地比较法-住宅、综合'!F56</f>
        <v>64463</v>
      </c>
      <c r="D6" s="260"/>
      <c r="E6" s="261"/>
      <c r="F6" s="261"/>
      <c r="G6" s="262"/>
    </row>
    <row r="7" spans="1:9" s="257" customFormat="1" ht="13.5" customHeight="1">
      <c r="A7" s="948" t="s">
        <v>2334</v>
      </c>
      <c r="B7" s="258" t="s">
        <v>2335</v>
      </c>
      <c r="C7" s="263">
        <f>ROUND(C6*F7,0)</f>
        <v>1966</v>
      </c>
      <c r="D7" s="263"/>
      <c r="E7" s="261"/>
      <c r="F7" s="264">
        <f>'数据-取费表'!B48+'数据-取费表'!B49</f>
        <v>3.0499999999999999E-2</v>
      </c>
      <c r="G7" s="262"/>
    </row>
    <row r="8" spans="1:9" s="266" customFormat="1">
      <c r="A8" s="948" t="s">
        <v>2336</v>
      </c>
      <c r="B8" s="258" t="s">
        <v>2337</v>
      </c>
      <c r="C8" s="263">
        <f ca="1">IF(G8="已包含在土地购买价格中","0",IF(B1="",'数据-取费表'!B29,IF(G9="全部缴纳",C9+C10,H9)))</f>
        <v>613</v>
      </c>
      <c r="D8" s="265"/>
      <c r="E8" s="263"/>
      <c r="F8" s="264"/>
      <c r="G8" s="3002" t="s">
        <v>3217</v>
      </c>
    </row>
    <row r="9" spans="1:9" s="257" customFormat="1" ht="13.5" customHeight="1">
      <c r="A9" s="949" t="s">
        <v>800</v>
      </c>
      <c r="B9" s="267" t="s">
        <v>2338</v>
      </c>
      <c r="C9" s="268">
        <f ca="1">ROUND(D9*E9/10000,0)</f>
        <v>0</v>
      </c>
      <c r="D9" s="1031">
        <f ca="1">IF(B1="",'数据-汇总表'!E5,IF(INDIRECT("'数据-取费表'!c"&amp;$G$1)="住宅",INDIRECT("'数据-取费表'!k"&amp;$G$1),0))</f>
        <v>0</v>
      </c>
      <c r="E9" s="268">
        <f>'数据-取费表'!B27</f>
        <v>83</v>
      </c>
      <c r="F9" s="264"/>
      <c r="G9" s="3003" t="s">
        <v>3219</v>
      </c>
      <c r="H9" s="1389"/>
      <c r="I9" s="2549" t="s">
        <v>2339</v>
      </c>
    </row>
    <row r="10" spans="1:9" s="257" customFormat="1" ht="13.5" customHeight="1">
      <c r="A10" s="949" t="s">
        <v>801</v>
      </c>
      <c r="B10" s="267" t="s">
        <v>2340</v>
      </c>
      <c r="C10" s="268">
        <f ca="1">ROUND(D10*E10/10000,0)</f>
        <v>613</v>
      </c>
      <c r="D10" s="1031">
        <f ca="1">IF(B1="",'数据-汇总表'!E6,IF(INDIRECT("'数据-取费表'!c"&amp;$G$1)="住宅",INDIRECT("'数据-取费表'!s"&amp;$G$1),INDIRECT("'数据-取费表'!k"&amp;$G$1)+INDIRECT("'数据-取费表'!s"&amp;$G$1)))</f>
        <v>73865.87</v>
      </c>
      <c r="E10" s="268">
        <f>'数据-取费表'!B28</f>
        <v>83</v>
      </c>
      <c r="F10" s="264"/>
      <c r="G10" s="269"/>
    </row>
    <row r="11" spans="1:9" s="257" customFormat="1" ht="13.5" hidden="1" customHeight="1">
      <c r="A11" s="270" t="s">
        <v>7</v>
      </c>
      <c r="B11" s="258" t="s">
        <v>2341</v>
      </c>
      <c r="C11" s="254"/>
      <c r="D11" s="1033"/>
      <c r="E11" s="261"/>
      <c r="F11" s="261"/>
      <c r="G11" s="262"/>
    </row>
    <row r="12" spans="1:9" s="257" customFormat="1" ht="13.5" hidden="1" customHeight="1">
      <c r="A12" s="270" t="s">
        <v>8</v>
      </c>
      <c r="B12" s="258" t="s">
        <v>2342</v>
      </c>
      <c r="C12" s="254">
        <v>0</v>
      </c>
      <c r="D12" s="1033"/>
      <c r="E12" s="271"/>
      <c r="F12" s="264">
        <v>3.0499999999999999E-2</v>
      </c>
      <c r="G12" s="262"/>
    </row>
    <row r="13" spans="1:9" s="257" customFormat="1" ht="13.5" hidden="1" customHeight="1">
      <c r="A13" s="270" t="s">
        <v>9</v>
      </c>
      <c r="B13" s="258" t="s">
        <v>2343</v>
      </c>
      <c r="C13" s="254"/>
      <c r="D13" s="1033"/>
      <c r="E13" s="261"/>
      <c r="F13" s="261"/>
      <c r="G13" s="262"/>
    </row>
    <row r="14" spans="1:9" s="257" customFormat="1" ht="13.5" hidden="1" customHeight="1">
      <c r="A14" s="270" t="s">
        <v>10</v>
      </c>
      <c r="B14" s="258" t="s">
        <v>2344</v>
      </c>
      <c r="C14" s="254"/>
      <c r="D14" s="1033"/>
      <c r="E14" s="261"/>
      <c r="F14" s="261"/>
      <c r="G14" s="262" t="s">
        <v>2345</v>
      </c>
    </row>
    <row r="15" spans="1:9" s="257" customFormat="1" ht="13.5" hidden="1" customHeight="1">
      <c r="A15" s="270" t="s">
        <v>11</v>
      </c>
      <c r="B15" s="258" t="s">
        <v>2346</v>
      </c>
      <c r="C15" s="263"/>
      <c r="D15" s="1033"/>
      <c r="E15" s="261"/>
      <c r="F15" s="261"/>
      <c r="G15" s="262" t="s">
        <v>2347</v>
      </c>
    </row>
    <row r="16" spans="1:9" s="257" customFormat="1" ht="13.5" hidden="1" customHeight="1">
      <c r="A16" s="270" t="s">
        <v>12</v>
      </c>
      <c r="B16" s="258" t="s">
        <v>2344</v>
      </c>
      <c r="C16" s="263"/>
      <c r="D16" s="1033"/>
      <c r="E16" s="261"/>
      <c r="F16" s="261"/>
      <c r="G16" s="262"/>
    </row>
    <row r="17" spans="1:7" s="257" customFormat="1" ht="13.5" hidden="1" customHeight="1">
      <c r="A17" s="270" t="s">
        <v>13</v>
      </c>
      <c r="B17" s="258" t="s">
        <v>2348</v>
      </c>
      <c r="C17" s="272"/>
      <c r="D17" s="1034"/>
      <c r="E17" s="272"/>
      <c r="F17" s="272"/>
      <c r="G17" s="262" t="s">
        <v>2347</v>
      </c>
    </row>
    <row r="18" spans="1:7" s="257" customFormat="1" ht="13.5" hidden="1" customHeight="1">
      <c r="A18" s="270" t="s">
        <v>14</v>
      </c>
      <c r="B18" s="258" t="s">
        <v>2349</v>
      </c>
      <c r="C18" s="263">
        <v>0</v>
      </c>
      <c r="D18" s="1033"/>
      <c r="E18" s="261"/>
      <c r="F18" s="264">
        <v>3.0499999999999999E-2</v>
      </c>
      <c r="G18" s="262" t="s">
        <v>2350</v>
      </c>
    </row>
    <row r="19" spans="1:7" s="266" customFormat="1" ht="13.5" customHeight="1">
      <c r="A19" s="298" t="s">
        <v>2351</v>
      </c>
      <c r="B19" s="253" t="s">
        <v>2352</v>
      </c>
      <c r="C19" s="254" t="str">
        <f>IF(G19="已包含在土地取得成本中","0",ROUND(D19*E19/10000,0))</f>
        <v>0</v>
      </c>
      <c r="D19" s="1035">
        <f ca="1">D9+D10</f>
        <v>73865.87</v>
      </c>
      <c r="E19" s="254">
        <f>'数据-取费表'!B31</f>
        <v>200</v>
      </c>
      <c r="F19" s="274"/>
      <c r="G19" s="3002" t="s">
        <v>3218</v>
      </c>
    </row>
    <row r="20" spans="1:7" s="257" customFormat="1" ht="13.5" customHeight="1">
      <c r="A20" s="298" t="s">
        <v>2353</v>
      </c>
      <c r="B20" s="253" t="s">
        <v>2354</v>
      </c>
      <c r="C20" s="275">
        <f ca="1">ROUND((C5+C19)*F20,0)</f>
        <v>1341</v>
      </c>
      <c r="D20" s="275"/>
      <c r="E20" s="275"/>
      <c r="F20" s="276">
        <f>'数据-取费表'!B37</f>
        <v>0.02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3">
        <f ca="1">ROUND(SUM(C23:C25),0)</f>
        <v>5898</v>
      </c>
      <c r="D22" s="278">
        <f ca="1">C26</f>
        <v>1.2999999999999999E-3</v>
      </c>
      <c r="E22" s="279" t="s">
        <v>2358</v>
      </c>
      <c r="F22" s="280">
        <f ca="1">'数据-取费表'!B40</f>
        <v>4.7500000000000001E-2</v>
      </c>
      <c r="G22" s="277" t="str">
        <f>IF('数据-取费表'!B22&lt;=1,"单利计息","复利计息")</f>
        <v>复利计息</v>
      </c>
    </row>
    <row r="23" spans="1:7" s="257" customFormat="1" ht="13.5" customHeight="1">
      <c r="A23" s="950" t="s">
        <v>2362</v>
      </c>
      <c r="B23" s="258" t="s">
        <v>2363</v>
      </c>
      <c r="C23" s="1354">
        <f ca="1">ROUND(IF('数据-取费表'!B22&lt;=1,C5*F22*'数据-取费表'!B23,C5*(POWER((1+F22),'数据-取费表'!B23)-1)),0)</f>
        <v>5841</v>
      </c>
      <c r="D23" s="281"/>
      <c r="E23" s="281"/>
      <c r="F23" s="282"/>
      <c r="G23" s="283" t="s">
        <v>2364</v>
      </c>
    </row>
    <row r="24" spans="1:7" s="257" customFormat="1" ht="13.5" customHeight="1">
      <c r="A24" s="950" t="s">
        <v>2365</v>
      </c>
      <c r="B24" s="258" t="s">
        <v>2366</v>
      </c>
      <c r="C24" s="1354">
        <f ca="1">ROUND(IF('数据-取费表'!B22&lt;=1,C19*F22*('数据-取费表'!B19/2+'数据-取费表'!B21),C19*(POWER((1+F22),('数据-取费表'!B19/2+'数据-取费表'!B21))-1)),0)</f>
        <v>0</v>
      </c>
      <c r="D24" s="281"/>
      <c r="E24" s="281"/>
      <c r="F24" s="282"/>
      <c r="G24" s="283" t="s">
        <v>2367</v>
      </c>
    </row>
    <row r="25" spans="1:7" s="257" customFormat="1" ht="24">
      <c r="A25" s="950" t="s">
        <v>2368</v>
      </c>
      <c r="B25" s="258" t="s">
        <v>2369</v>
      </c>
      <c r="C25" s="1354">
        <f ca="1">ROUND(IF('数据-取费表'!B22&lt;=1,C20*F22*'数据-取费表'!B23/2,C20*(POWER((1+F22),'数据-取费表'!B23/2)-1)),0)</f>
        <v>57</v>
      </c>
      <c r="D25" s="281"/>
      <c r="E25" s="284"/>
      <c r="F25" s="282"/>
      <c r="G25" s="285" t="s">
        <v>2370</v>
      </c>
    </row>
    <row r="26" spans="1:7" s="257" customFormat="1">
      <c r="A26" s="950" t="s">
        <v>795</v>
      </c>
      <c r="B26" s="258" t="s">
        <v>2371</v>
      </c>
      <c r="C26" s="281">
        <f ca="1">ROUND(IF('数据-取费表'!B22&lt;=1,F21*F22*'数据-取费表'!B23/2,F21*(POWER((1+F22),'数据-取费表'!B23/2)-1)),4)</f>
        <v>1.2999999999999999E-3</v>
      </c>
      <c r="D26" s="281"/>
      <c r="E26" s="284"/>
      <c r="F26" s="282"/>
      <c r="G26" s="286"/>
    </row>
    <row r="27" spans="1:7" s="257" customFormat="1" ht="24.75">
      <c r="A27" s="298" t="s">
        <v>2372</v>
      </c>
      <c r="B27" s="287" t="s">
        <v>2373</v>
      </c>
      <c r="C27" s="288">
        <f ca="1">C28</f>
        <v>6770</v>
      </c>
      <c r="D27" s="278">
        <f ca="1">C29</f>
        <v>3.0000000000000001E-3</v>
      </c>
      <c r="E27" s="279" t="s">
        <v>2374</v>
      </c>
      <c r="F27" s="289">
        <f ca="1">IF(B1="",'数据-取费表'!Q16,INDIRECT("'数据-取费表'!q"&amp;$G$1))</f>
        <v>0.11</v>
      </c>
      <c r="G27" s="290" t="s">
        <v>2375</v>
      </c>
    </row>
    <row r="28" spans="1:7" s="257" customFormat="1" ht="13.5" customHeight="1">
      <c r="A28" s="950" t="s">
        <v>791</v>
      </c>
      <c r="B28" s="291" t="s">
        <v>2376</v>
      </c>
      <c r="C28" s="292">
        <f ca="1">ROUND((C5+C19+C20)*F27*'数据-取费表'!B21/'数据-取费表'!B20,0)</f>
        <v>6770</v>
      </c>
      <c r="D28" s="278"/>
      <c r="E28" s="279"/>
      <c r="F28" s="289"/>
      <c r="G28" s="290"/>
    </row>
    <row r="29" spans="1:7" s="257" customFormat="1" ht="13.5" customHeight="1">
      <c r="A29" s="950" t="s">
        <v>792</v>
      </c>
      <c r="B29" s="291" t="s">
        <v>2377</v>
      </c>
      <c r="C29" s="281">
        <f ca="1">ROUND(C21*F27*'数据-取费表'!B21/'数据-取费表'!B20,4)</f>
        <v>3.0000000000000001E-3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88833</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18273</v>
      </c>
      <c r="D33" s="275"/>
      <c r="E33" s="255"/>
      <c r="F33" s="284"/>
      <c r="G33" s="277"/>
    </row>
    <row r="34" spans="1:7" s="301" customFormat="1" ht="13.5" customHeight="1">
      <c r="A34" s="950" t="s">
        <v>791</v>
      </c>
      <c r="B34" s="258" t="s">
        <v>2385</v>
      </c>
      <c r="C34" s="263">
        <f ca="1">IF(B1="",IF(F34=100%,'数据-取费表'!M16,'数据-取费表'!O16),IF(F34=100%,INDIRECT("'数据-取费表'!m"&amp;$G$1)+INDIRECT("'数据-取费表'!t"&amp;$G$1),INDIRECT("'数据-取费表'!o"&amp;$G$1)+INDIRECT("'数据-取费表'!aq"&amp;$G$1)))</f>
        <v>16458</v>
      </c>
      <c r="D34" s="260"/>
      <c r="E34" s="263"/>
      <c r="F34" s="300">
        <f ca="1">IF('数据-取费表'!B24=0,1,IF(B1="",'数据-取费表'!N16,INDIRECT("'数据-取费表'!n"&amp;$G$1)))</f>
        <v>0.72699999999999998</v>
      </c>
      <c r="G34" s="262" t="s">
        <v>2386</v>
      </c>
    </row>
    <row r="35" spans="1:7" ht="13.5" customHeight="1">
      <c r="A35" s="950" t="s">
        <v>796</v>
      </c>
      <c r="B35" s="258" t="s">
        <v>2387</v>
      </c>
      <c r="C35" s="263">
        <f ca="1">ROUND(C34*F35,0)</f>
        <v>494</v>
      </c>
      <c r="D35" s="263"/>
      <c r="E35" s="263"/>
      <c r="F35" s="302">
        <f>'数据-取费表'!B33</f>
        <v>0.03</v>
      </c>
      <c r="G35" s="262" t="s">
        <v>2388</v>
      </c>
    </row>
    <row r="36" spans="1:7" ht="24">
      <c r="A36" s="950"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50" t="s">
        <v>798</v>
      </c>
      <c r="B37" s="258" t="s">
        <v>2391</v>
      </c>
      <c r="C37" s="292">
        <f ca="1">ROUND(E37*D37*F34/10000,0)</f>
        <v>1074</v>
      </c>
      <c r="D37" s="260">
        <f ca="1">D19</f>
        <v>73865.87</v>
      </c>
      <c r="E37" s="292">
        <f>'数据-取费表'!B35</f>
        <v>200</v>
      </c>
      <c r="F37" s="302"/>
      <c r="G37" s="304" t="s">
        <v>2392</v>
      </c>
    </row>
    <row r="38" spans="1:7" ht="13.5" customHeight="1">
      <c r="A38" s="950" t="s">
        <v>799</v>
      </c>
      <c r="B38" s="258" t="s">
        <v>2393</v>
      </c>
      <c r="C38" s="263">
        <f ca="1">ROUND(C34*F38,0)</f>
        <v>247</v>
      </c>
      <c r="D38" s="263"/>
      <c r="E38" s="263"/>
      <c r="F38" s="302">
        <f>'数据-取费表'!B36</f>
        <v>1.4999999999999999E-2</v>
      </c>
      <c r="G38" s="262" t="s">
        <v>2388</v>
      </c>
    </row>
    <row r="39" spans="1:7" s="257" customFormat="1" ht="13.5" customHeight="1">
      <c r="A39" s="298" t="s">
        <v>2394</v>
      </c>
      <c r="B39" s="253" t="s">
        <v>2395</v>
      </c>
      <c r="C39" s="275">
        <f ca="1">ROUND(C33*F20,0)</f>
        <v>365</v>
      </c>
      <c r="D39" s="275"/>
      <c r="E39" s="275"/>
      <c r="F39" s="276"/>
      <c r="G39" s="277" t="s">
        <v>2396</v>
      </c>
    </row>
    <row r="40" spans="1:7" s="257" customFormat="1" ht="13.5" customHeight="1">
      <c r="A40" s="298" t="s">
        <v>2397</v>
      </c>
      <c r="B40" s="253" t="s">
        <v>2398</v>
      </c>
      <c r="C40" s="1727">
        <f>F21</f>
        <v>0.03</v>
      </c>
      <c r="D40" s="279" t="s">
        <v>2399</v>
      </c>
      <c r="E40" s="275"/>
      <c r="F40" s="276"/>
      <c r="G40" s="277" t="s">
        <v>2400</v>
      </c>
    </row>
    <row r="41" spans="1:7" s="257" customFormat="1" ht="13.5" customHeight="1">
      <c r="A41" s="298" t="s">
        <v>2401</v>
      </c>
      <c r="B41" s="253" t="s">
        <v>2402</v>
      </c>
      <c r="C41" s="275">
        <f ca="1">ROUND(SUM(C42:C43),0)</f>
        <v>795</v>
      </c>
      <c r="D41" s="278">
        <f ca="1">C44</f>
        <v>1.2999999999999999E-3</v>
      </c>
      <c r="E41" s="279" t="s">
        <v>2399</v>
      </c>
      <c r="F41" s="280"/>
      <c r="G41" s="277" t="str">
        <f>IF('数据-取费表'!B22&lt;=1,"单利计息","复利计息")</f>
        <v>复利计息</v>
      </c>
    </row>
    <row r="42" spans="1:7" ht="13.5" customHeight="1">
      <c r="A42" s="950" t="s">
        <v>791</v>
      </c>
      <c r="B42" s="258" t="s">
        <v>2403</v>
      </c>
      <c r="C42" s="281">
        <f ca="1">ROUND(IF('数据-取费表'!B22&lt;=1,C33*F22*'数据-取费表'!B21/2,C33*(POWER((1+F22),'数据-取费表'!B21/2)-1)),0)</f>
        <v>779</v>
      </c>
      <c r="D42" s="281"/>
      <c r="E42" s="281"/>
      <c r="F42" s="282"/>
      <c r="G42" s="3246" t="s">
        <v>2404</v>
      </c>
    </row>
    <row r="43" spans="1:7" ht="13.5" customHeight="1">
      <c r="A43" s="950" t="s">
        <v>792</v>
      </c>
      <c r="B43" s="258" t="s">
        <v>2405</v>
      </c>
      <c r="C43" s="281">
        <f ca="1">ROUND(IF('数据-取费表'!B22&lt;=1,C39*F22*'数据-取费表'!B21/2,C39*(POWER((1+F22),'数据-取费表'!B21/2)-1)),0)</f>
        <v>16</v>
      </c>
      <c r="D43" s="281"/>
      <c r="E43" s="281"/>
      <c r="F43" s="282"/>
      <c r="G43" s="3247"/>
    </row>
    <row r="44" spans="1:7" ht="13.5" customHeight="1">
      <c r="A44" s="950" t="s">
        <v>793</v>
      </c>
      <c r="B44" s="258" t="s">
        <v>2406</v>
      </c>
      <c r="C44" s="281">
        <f ca="1">ROUND(IF('数据-取费表'!B22&lt;=1,C40*F22*'数据-取费表'!B21/2,C40*(POWER((1+F22),'数据-取费表'!B21/2)-1)),4)</f>
        <v>1.2999999999999999E-3</v>
      </c>
      <c r="D44" s="281"/>
      <c r="E44" s="281"/>
      <c r="F44" s="282"/>
      <c r="G44" s="3248"/>
    </row>
    <row r="45" spans="1:7" s="257" customFormat="1" ht="13.5" customHeight="1">
      <c r="A45" s="298" t="s">
        <v>2407</v>
      </c>
      <c r="B45" s="287" t="s">
        <v>2373</v>
      </c>
      <c r="C45" s="288">
        <f ca="1">C46</f>
        <v>2050</v>
      </c>
      <c r="D45" s="278">
        <f ca="1">C47</f>
        <v>3.3E-3</v>
      </c>
      <c r="E45" s="279" t="s">
        <v>2399</v>
      </c>
      <c r="F45" s="289"/>
      <c r="G45" s="290" t="s">
        <v>2408</v>
      </c>
    </row>
    <row r="46" spans="1:7" s="257" customFormat="1" ht="13.5" customHeight="1">
      <c r="A46" s="950" t="s">
        <v>791</v>
      </c>
      <c r="B46" s="291" t="s">
        <v>2409</v>
      </c>
      <c r="C46" s="292">
        <f ca="1">ROUND((C33+C39)*F27,0)</f>
        <v>2050</v>
      </c>
      <c r="D46" s="306"/>
      <c r="E46" s="279"/>
      <c r="F46" s="289"/>
      <c r="G46" s="290"/>
    </row>
    <row r="47" spans="1:7" s="257" customFormat="1" ht="13.5" customHeight="1">
      <c r="A47" s="950" t="s">
        <v>792</v>
      </c>
      <c r="B47" s="291" t="s">
        <v>2410</v>
      </c>
      <c r="C47" s="281">
        <f ca="1">ROUND(C40*F27,4)</f>
        <v>3.3E-3</v>
      </c>
      <c r="D47" s="306"/>
      <c r="E47" s="279"/>
      <c r="F47" s="289"/>
      <c r="G47" s="290"/>
    </row>
    <row r="48" spans="1:7" s="257" customFormat="1" ht="13.5" customHeight="1">
      <c r="A48" s="298" t="s">
        <v>2372</v>
      </c>
      <c r="B48" s="253" t="s">
        <v>2411</v>
      </c>
      <c r="C48" s="1727">
        <f>ROUND(F30/(1+'数据-取费表'!C42),4)</f>
        <v>5.33E-2</v>
      </c>
      <c r="D48" s="279" t="s">
        <v>2399</v>
      </c>
      <c r="E48" s="275"/>
      <c r="F48" s="280"/>
      <c r="G48" s="277" t="s">
        <v>2412</v>
      </c>
    </row>
    <row r="49" spans="1:7" ht="16.5" customHeight="1">
      <c r="A49" s="298" t="s">
        <v>2378</v>
      </c>
      <c r="B49" s="253" t="s">
        <v>2413</v>
      </c>
      <c r="C49" s="275">
        <f ca="1">ROUND((C33+C39+C41+C45)/(1-C40-D41-D45-C48),0)</f>
        <v>23553</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23553</v>
      </c>
      <c r="D51" s="275"/>
      <c r="E51" s="275"/>
      <c r="F51" s="307"/>
      <c r="G51" s="277" t="s">
        <v>2420</v>
      </c>
    </row>
    <row r="52" spans="1:7" s="251" customFormat="1" ht="16.5" thickBot="1">
      <c r="A52" s="308" t="s">
        <v>2421</v>
      </c>
      <c r="B52" s="309"/>
      <c r="C52" s="310">
        <f ca="1">C31+C51</f>
        <v>112386</v>
      </c>
      <c r="D52" s="309"/>
      <c r="E52" s="309"/>
      <c r="F52" s="309"/>
      <c r="G52" s="311"/>
    </row>
    <row r="55" spans="1:7" ht="15">
      <c r="B55" s="313" t="s">
        <v>2422</v>
      </c>
      <c r="C55" s="314"/>
    </row>
    <row r="56" spans="1:7">
      <c r="B56" s="316" t="s">
        <v>1513</v>
      </c>
      <c r="C56" s="318">
        <f ca="1">1-C57</f>
        <v>0.79</v>
      </c>
    </row>
    <row r="57" spans="1:7">
      <c r="B57" s="316" t="s">
        <v>1514</v>
      </c>
      <c r="C57" s="317">
        <f ca="1">ROUND(C51/C52,3)</f>
        <v>0.21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6"/>
      <c r="C1" s="2550" t="s">
        <v>2423</v>
      </c>
      <c r="D1" s="241"/>
      <c r="E1" s="241"/>
      <c r="F1" s="241"/>
      <c r="G1" s="1378">
        <f>MATCH(B1,'数据-取费表'!A6:A16,0)+5</f>
        <v>10</v>
      </c>
      <c r="H1" s="1281" t="str">
        <f>IF(ISERROR(FIND("住宅",B1)),"非住宅","住宅")</f>
        <v>非住宅</v>
      </c>
    </row>
    <row r="2" spans="1:8" s="243" customFormat="1" ht="18" customHeight="1">
      <c r="A2" s="244" t="s">
        <v>2322</v>
      </c>
      <c r="B2" s="245">
        <f ca="1">ROUND(IF(D2="——",C52/10000,C52/10000-E2),0)</f>
        <v>35355</v>
      </c>
      <c r="C2" s="242" t="s">
        <v>2323</v>
      </c>
      <c r="D2" s="2545" t="s">
        <v>70</v>
      </c>
      <c r="E2" s="1439" t="e">
        <f ca="1">SUMIF(INDIRECT("'"&amp;G2&amp;"'"&amp;"!A:A"),"承租人权益价值",INDIRECT("'"&amp;G2&amp;"'"&amp;"!c:c"))</f>
        <v>#REF!</v>
      </c>
      <c r="F2" s="2546" t="s">
        <v>2323</v>
      </c>
      <c r="G2" s="2547"/>
    </row>
    <row r="3" spans="1:8" s="243" customFormat="1" ht="18" customHeight="1" thickBot="1">
      <c r="A3" s="246" t="s">
        <v>2324</v>
      </c>
      <c r="B3" s="247">
        <f ca="1">ROUND(B2*10000/(IF(B1="",'数据-汇总表'!E3,INDIRECT("'数据-取费表'!k"&amp;$G$1))),0)</f>
        <v>4786</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6130867</v>
      </c>
      <c r="D5" s="254" t="s">
        <v>2329</v>
      </c>
      <c r="E5" s="255" t="s">
        <v>2330</v>
      </c>
      <c r="F5" s="255" t="s">
        <v>2331</v>
      </c>
      <c r="G5" s="256"/>
    </row>
    <row r="6" spans="1:8" s="257" customFormat="1" ht="13.5" customHeight="1">
      <c r="A6" s="948" t="s">
        <v>2332</v>
      </c>
      <c r="B6" s="258" t="s">
        <v>2333</v>
      </c>
      <c r="C6" s="259"/>
      <c r="D6" s="260"/>
      <c r="E6" s="261"/>
      <c r="F6" s="261"/>
      <c r="G6" s="262"/>
    </row>
    <row r="7" spans="1:8" s="257" customFormat="1" ht="13.5" customHeight="1">
      <c r="A7" s="948" t="s">
        <v>2334</v>
      </c>
      <c r="B7" s="258" t="s">
        <v>2335</v>
      </c>
      <c r="C7" s="263">
        <f>ROUND(C6*F7,0)</f>
        <v>0</v>
      </c>
      <c r="D7" s="263"/>
      <c r="E7" s="261"/>
      <c r="F7" s="264">
        <f>'数据-取费表'!B48+'数据-取费表'!B49</f>
        <v>3.0499999999999999E-2</v>
      </c>
      <c r="G7" s="262"/>
    </row>
    <row r="8" spans="1:8" s="266" customFormat="1">
      <c r="A8" s="948" t="s">
        <v>2336</v>
      </c>
      <c r="B8" s="258" t="s">
        <v>2337</v>
      </c>
      <c r="C8" s="263">
        <f ca="1">IF(G8="已包含在土地购买价格中",0,C9+C10)</f>
        <v>6130867</v>
      </c>
      <c r="D8" s="265"/>
      <c r="E8" s="263"/>
      <c r="F8" s="264"/>
      <c r="G8" s="2548"/>
    </row>
    <row r="9" spans="1:8" s="257" customFormat="1" ht="13.5" customHeight="1">
      <c r="A9" s="949" t="s">
        <v>800</v>
      </c>
      <c r="B9" s="267" t="s">
        <v>2338</v>
      </c>
      <c r="C9" s="268">
        <f ca="1">ROUND(D9*E9,0)</f>
        <v>0</v>
      </c>
      <c r="D9" s="1031">
        <f ca="1">IF(B1="",'数据-汇总表'!E5,IF(INDIRECT("'数据-取费表'!c"&amp;$G$1)="住宅",INDIRECT("'数据-取费表'!k"&amp;$G$1),0))</f>
        <v>0</v>
      </c>
      <c r="E9" s="268">
        <f>'数据-取费表'!B27</f>
        <v>83</v>
      </c>
      <c r="F9" s="264"/>
      <c r="G9" s="269"/>
    </row>
    <row r="10" spans="1:8" s="257" customFormat="1" ht="13.5" customHeight="1">
      <c r="A10" s="949" t="s">
        <v>801</v>
      </c>
      <c r="B10" s="267" t="s">
        <v>2340</v>
      </c>
      <c r="C10" s="268">
        <f ca="1">ROUND(D10*E10,0)</f>
        <v>6130867</v>
      </c>
      <c r="D10" s="1031">
        <f ca="1">IF(B1="",'数据-汇总表'!E6,IF(INDIRECT("'数据-取费表'!c"&amp;$G$1)="住宅",INDIRECT("'数据-取费表'!s"&amp;$G$1),INDIRECT("'数据-取费表'!k"&amp;$G$1)+INDIRECT("'数据-取费表'!s"&amp;$G$1)))</f>
        <v>73865.87</v>
      </c>
      <c r="E10" s="268">
        <f>'数据-取费表'!B28</f>
        <v>83</v>
      </c>
      <c r="F10" s="264"/>
      <c r="G10" s="269"/>
    </row>
    <row r="11" spans="1:8" s="257" customFormat="1" ht="13.5" hidden="1" customHeight="1">
      <c r="A11" s="270" t="s">
        <v>7</v>
      </c>
      <c r="B11" s="258" t="s">
        <v>2341</v>
      </c>
      <c r="C11" s="254"/>
      <c r="D11" s="1033"/>
      <c r="E11" s="261"/>
      <c r="F11" s="261"/>
      <c r="G11" s="262"/>
    </row>
    <row r="12" spans="1:8" s="257" customFormat="1" ht="13.5" hidden="1" customHeight="1">
      <c r="A12" s="270" t="s">
        <v>8</v>
      </c>
      <c r="B12" s="258" t="s">
        <v>2424</v>
      </c>
      <c r="C12" s="254">
        <v>0</v>
      </c>
      <c r="D12" s="1033"/>
      <c r="E12" s="271"/>
      <c r="F12" s="264">
        <v>3.0499999999999999E-2</v>
      </c>
      <c r="G12" s="262"/>
    </row>
    <row r="13" spans="1:8" s="257" customFormat="1" ht="13.5" hidden="1" customHeight="1">
      <c r="A13" s="270" t="s">
        <v>9</v>
      </c>
      <c r="B13" s="258" t="s">
        <v>2425</v>
      </c>
      <c r="C13" s="254"/>
      <c r="D13" s="1033"/>
      <c r="E13" s="261"/>
      <c r="F13" s="261"/>
      <c r="G13" s="262"/>
    </row>
    <row r="14" spans="1:8" s="257" customFormat="1" ht="13.5" hidden="1" customHeight="1">
      <c r="A14" s="270" t="s">
        <v>10</v>
      </c>
      <c r="B14" s="258" t="s">
        <v>2337</v>
      </c>
      <c r="C14" s="254"/>
      <c r="D14" s="1033"/>
      <c r="E14" s="261"/>
      <c r="F14" s="261"/>
      <c r="G14" s="262" t="s">
        <v>2426</v>
      </c>
    </row>
    <row r="15" spans="1:8" s="257" customFormat="1" ht="13.5" hidden="1" customHeight="1">
      <c r="A15" s="270" t="s">
        <v>11</v>
      </c>
      <c r="B15" s="258" t="s">
        <v>2427</v>
      </c>
      <c r="C15" s="263"/>
      <c r="D15" s="1033"/>
      <c r="E15" s="261"/>
      <c r="F15" s="261"/>
      <c r="G15" s="262" t="s">
        <v>2428</v>
      </c>
    </row>
    <row r="16" spans="1:8" s="257" customFormat="1" ht="13.5" hidden="1" customHeight="1">
      <c r="A16" s="270" t="s">
        <v>12</v>
      </c>
      <c r="B16" s="258" t="s">
        <v>2337</v>
      </c>
      <c r="C16" s="263"/>
      <c r="D16" s="1033"/>
      <c r="E16" s="261"/>
      <c r="F16" s="261"/>
      <c r="G16" s="262"/>
    </row>
    <row r="17" spans="1:7" s="257" customFormat="1" ht="13.5" hidden="1" customHeight="1">
      <c r="A17" s="270" t="s">
        <v>13</v>
      </c>
      <c r="B17" s="258" t="s">
        <v>2429</v>
      </c>
      <c r="C17" s="272"/>
      <c r="D17" s="1034"/>
      <c r="E17" s="272"/>
      <c r="F17" s="272"/>
      <c r="G17" s="262" t="s">
        <v>2428</v>
      </c>
    </row>
    <row r="18" spans="1:7" s="257" customFormat="1" ht="13.5" hidden="1" customHeight="1">
      <c r="A18" s="270" t="s">
        <v>14</v>
      </c>
      <c r="B18" s="258" t="s">
        <v>2430</v>
      </c>
      <c r="C18" s="263">
        <v>0</v>
      </c>
      <c r="D18" s="1033"/>
      <c r="E18" s="261"/>
      <c r="F18" s="264">
        <v>3.0499999999999999E-2</v>
      </c>
      <c r="G18" s="262" t="s">
        <v>2431</v>
      </c>
    </row>
    <row r="19" spans="1:7" s="266" customFormat="1" ht="13.5" customHeight="1">
      <c r="A19" s="298" t="s">
        <v>2432</v>
      </c>
      <c r="B19" s="253" t="s">
        <v>2433</v>
      </c>
      <c r="C19" s="254">
        <f ca="1">IF(G19="已包含在土地取得成本中","0",ROUND(D19*E19,0))</f>
        <v>14773174</v>
      </c>
      <c r="D19" s="1035">
        <f ca="1">D9+D10</f>
        <v>73865.87</v>
      </c>
      <c r="E19" s="254">
        <f>'数据-取费表'!B31</f>
        <v>200</v>
      </c>
      <c r="F19" s="274"/>
      <c r="G19" s="2548"/>
    </row>
    <row r="20" spans="1:7" s="257" customFormat="1" ht="13.5" customHeight="1">
      <c r="A20" s="298" t="s">
        <v>2434</v>
      </c>
      <c r="B20" s="253" t="s">
        <v>2435</v>
      </c>
      <c r="C20" s="275">
        <f ca="1">ROUND((C5+C19)*F20,0)</f>
        <v>418081</v>
      </c>
      <c r="D20" s="275"/>
      <c r="E20" s="275"/>
      <c r="F20" s="276">
        <f>'数据-取费表'!B37</f>
        <v>0.02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9">
        <f ca="1">ROUND(SUM(C23:C25),0)</f>
        <v>2052908</v>
      </c>
      <c r="D22" s="278">
        <f ca="1">C26</f>
        <v>1.4E-3</v>
      </c>
      <c r="E22" s="279" t="s">
        <v>2439</v>
      </c>
      <c r="F22" s="280">
        <f ca="1">'数据-取费表'!B40</f>
        <v>4.7500000000000001E-2</v>
      </c>
      <c r="G22" s="277" t="str">
        <f>IF('数据-取费表'!B22&lt;=1,"单利计息","复利计息")</f>
        <v>复利计息</v>
      </c>
    </row>
    <row r="23" spans="1:7" s="257" customFormat="1" ht="13.5" customHeight="1">
      <c r="A23" s="950" t="s">
        <v>2332</v>
      </c>
      <c r="B23" s="258" t="s">
        <v>2443</v>
      </c>
      <c r="C23" s="1380">
        <f ca="1">ROUND(IF('数据-取费表'!B22&lt;=1,C5*F22*'数据-取费表'!B22,C5*(POWER((1+F22),'数据-取费表'!B22)-1)),0)</f>
        <v>596265</v>
      </c>
      <c r="D23" s="281"/>
      <c r="E23" s="281"/>
      <c r="F23" s="282"/>
      <c r="G23" s="283" t="s">
        <v>2444</v>
      </c>
    </row>
    <row r="24" spans="1:7" s="257" customFormat="1" ht="13.5" customHeight="1">
      <c r="A24" s="950" t="s">
        <v>2334</v>
      </c>
      <c r="B24" s="258" t="s">
        <v>2445</v>
      </c>
      <c r="C24" s="1380">
        <f ca="1">ROUND(IF('数据-取费表'!B22&lt;=1,C19*F22*('数据-取费表'!B19/2+'数据-取费表'!B20),C19*(POWER((1+F22),('数据-取费表'!B19/2+'数据-取费表'!B20))-1)),0)</f>
        <v>1436784</v>
      </c>
      <c r="D24" s="281"/>
      <c r="E24" s="281"/>
      <c r="F24" s="282"/>
      <c r="G24" s="283" t="s">
        <v>2446</v>
      </c>
    </row>
    <row r="25" spans="1:7" s="257" customFormat="1" ht="24">
      <c r="A25" s="950" t="s">
        <v>2336</v>
      </c>
      <c r="B25" s="258" t="s">
        <v>2447</v>
      </c>
      <c r="C25" s="1380">
        <f ca="1">ROUND(IF('数据-取费表'!B22&lt;=1,C20*F22*'数据-取费表'!B22/2,C20*(POWER((1+F22),'数据-取费表'!B22/2)-1)),0)</f>
        <v>19859</v>
      </c>
      <c r="D25" s="281"/>
      <c r="E25" s="284"/>
      <c r="F25" s="282"/>
      <c r="G25" s="285" t="s">
        <v>2448</v>
      </c>
    </row>
    <row r="26" spans="1:7" s="257" customFormat="1">
      <c r="A26" s="950" t="s">
        <v>795</v>
      </c>
      <c r="B26" s="258" t="s">
        <v>2371</v>
      </c>
      <c r="C26" s="281">
        <f ca="1">ROUND(IF('数据-取费表'!B22&lt;=1,F21*F22*'数据-取费表'!B22/2,F21*(POWER((1+F22),'数据-取费表'!B22/2)-1)),4)</f>
        <v>1.4E-3</v>
      </c>
      <c r="D26" s="281"/>
      <c r="E26" s="284"/>
      <c r="F26" s="282"/>
      <c r="G26" s="286"/>
    </row>
    <row r="27" spans="1:7" s="257" customFormat="1" ht="24.75">
      <c r="A27" s="298" t="s">
        <v>2372</v>
      </c>
      <c r="B27" s="287" t="s">
        <v>2373</v>
      </c>
      <c r="C27" s="288">
        <f ca="1">C28</f>
        <v>2345433</v>
      </c>
      <c r="D27" s="278">
        <f ca="1">C29</f>
        <v>3.3E-3</v>
      </c>
      <c r="E27" s="279" t="s">
        <v>2374</v>
      </c>
      <c r="F27" s="289">
        <f ca="1">IF(B1="",'数据-取费表'!Q16,INDIRECT("'数据-取费表'!q"&amp;$G$1))</f>
        <v>0.11</v>
      </c>
      <c r="G27" s="290" t="s">
        <v>2375</v>
      </c>
    </row>
    <row r="28" spans="1:7" s="257" customFormat="1" ht="13.5" customHeight="1">
      <c r="A28" s="950" t="s">
        <v>791</v>
      </c>
      <c r="B28" s="291" t="s">
        <v>2376</v>
      </c>
      <c r="C28" s="292">
        <f ca="1">ROUND((C5+C19+C20)*F27,0)</f>
        <v>2345433</v>
      </c>
      <c r="D28" s="278"/>
      <c r="E28" s="279"/>
      <c r="F28" s="289"/>
      <c r="G28" s="290"/>
    </row>
    <row r="29" spans="1:7" s="257" customFormat="1" ht="13.5" customHeight="1">
      <c r="A29" s="950" t="s">
        <v>792</v>
      </c>
      <c r="B29" s="291" t="s">
        <v>2377</v>
      </c>
      <c r="C29" s="281">
        <f ca="1">ROUND(C21*F27,4)</f>
        <v>3.3E-3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28202262</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251318164</v>
      </c>
      <c r="D33" s="275"/>
      <c r="E33" s="255"/>
      <c r="F33" s="284"/>
      <c r="G33" s="277"/>
    </row>
    <row r="34" spans="1:7" s="301" customFormat="1" ht="13.5" customHeight="1">
      <c r="A34" s="950" t="s">
        <v>791</v>
      </c>
      <c r="B34" s="258" t="s">
        <v>2385</v>
      </c>
      <c r="C34" s="263">
        <f ca="1">ROUND(IF(B1="",SUMPRODUCT('数据-取费表'!K6:K14,'数据-取费表'!L6:L14),INDIRECT("'数据-取费表'!l"&amp;$G$1)*INDIRECT("'数据-取费表'!k"&amp;$G$1)+'数据-取费表'!L14*INDIRECT("'数据-取费表'!S"&amp;$G$1)),0)</f>
        <v>226358842</v>
      </c>
      <c r="D34" s="260"/>
      <c r="E34" s="263"/>
      <c r="F34" s="300"/>
      <c r="G34" s="262"/>
    </row>
    <row r="35" spans="1:7" ht="13.5" customHeight="1">
      <c r="A35" s="950" t="s">
        <v>796</v>
      </c>
      <c r="B35" s="258" t="s">
        <v>2387</v>
      </c>
      <c r="C35" s="263">
        <f ca="1">ROUND(C34*F35,0)</f>
        <v>6790765</v>
      </c>
      <c r="D35" s="263"/>
      <c r="E35" s="263"/>
      <c r="F35" s="302">
        <f>'数据-取费表'!B33</f>
        <v>0.03</v>
      </c>
      <c r="G35" s="262" t="s">
        <v>2388</v>
      </c>
    </row>
    <row r="36" spans="1:7" ht="24">
      <c r="A36" s="950"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50" t="s">
        <v>798</v>
      </c>
      <c r="B37" s="258" t="s">
        <v>2391</v>
      </c>
      <c r="C37" s="292">
        <f ca="1">ROUND(E37*D37,0)</f>
        <v>14773174</v>
      </c>
      <c r="D37" s="260">
        <f ca="1">D19</f>
        <v>73865.87</v>
      </c>
      <c r="E37" s="292">
        <f>'数据-取费表'!B35</f>
        <v>200</v>
      </c>
      <c r="F37" s="302"/>
      <c r="G37" s="304"/>
    </row>
    <row r="38" spans="1:7" ht="13.5" customHeight="1">
      <c r="A38" s="950" t="s">
        <v>799</v>
      </c>
      <c r="B38" s="258" t="s">
        <v>2393</v>
      </c>
      <c r="C38" s="263">
        <f ca="1">ROUND(C34*F38,0)</f>
        <v>3395383</v>
      </c>
      <c r="D38" s="263"/>
      <c r="E38" s="263"/>
      <c r="F38" s="302">
        <f>'数据-取费表'!B36</f>
        <v>1.4999999999999999E-2</v>
      </c>
      <c r="G38" s="262" t="s">
        <v>2388</v>
      </c>
    </row>
    <row r="39" spans="1:7" s="257" customFormat="1" ht="13.5" customHeight="1">
      <c r="A39" s="298" t="s">
        <v>2394</v>
      </c>
      <c r="B39" s="253" t="s">
        <v>2395</v>
      </c>
      <c r="C39" s="275">
        <f ca="1">ROUND(C33*F20,0)</f>
        <v>5026363</v>
      </c>
      <c r="D39" s="275"/>
      <c r="E39" s="275"/>
      <c r="F39" s="276"/>
      <c r="G39" s="277" t="s">
        <v>2396</v>
      </c>
    </row>
    <row r="40" spans="1:7" s="257" customFormat="1" ht="13.5" customHeight="1">
      <c r="A40" s="298" t="s">
        <v>2397</v>
      </c>
      <c r="B40" s="253" t="s">
        <v>2398</v>
      </c>
      <c r="C40" s="1727">
        <f>F21</f>
        <v>0.03</v>
      </c>
      <c r="D40" s="279" t="s">
        <v>2399</v>
      </c>
      <c r="E40" s="275"/>
      <c r="F40" s="276"/>
      <c r="G40" s="277" t="s">
        <v>2400</v>
      </c>
    </row>
    <row r="41" spans="1:7" s="257" customFormat="1" ht="13.5" customHeight="1">
      <c r="A41" s="298" t="s">
        <v>2401</v>
      </c>
      <c r="B41" s="253" t="s">
        <v>2402</v>
      </c>
      <c r="C41" s="275">
        <f ca="1">ROUND(SUM(C42:C43),0)</f>
        <v>12176365</v>
      </c>
      <c r="D41" s="278">
        <f ca="1">C44</f>
        <v>1.4E-3</v>
      </c>
      <c r="E41" s="279" t="s">
        <v>2399</v>
      </c>
      <c r="F41" s="280"/>
      <c r="G41" s="277" t="str">
        <f>IF('数据-取费表'!B22&lt;=1,"单利计息","复利计息")</f>
        <v>复利计息</v>
      </c>
    </row>
    <row r="42" spans="1:7" ht="13.5" customHeight="1">
      <c r="A42" s="950" t="s">
        <v>791</v>
      </c>
      <c r="B42" s="258" t="s">
        <v>2403</v>
      </c>
      <c r="C42" s="281">
        <f ca="1">ROUND(IF('数据-取费表'!B22&lt;=1,C33*F22*'数据-取费表'!B20/2,C33*(POWER((1+F22),'数据-取费表'!B20/2)-1)),0)</f>
        <v>11937613</v>
      </c>
      <c r="D42" s="281"/>
      <c r="E42" s="281"/>
      <c r="F42" s="282"/>
      <c r="G42" s="3246" t="s">
        <v>2451</v>
      </c>
    </row>
    <row r="43" spans="1:7" ht="13.5" customHeight="1">
      <c r="A43" s="950" t="s">
        <v>792</v>
      </c>
      <c r="B43" s="258" t="s">
        <v>2405</v>
      </c>
      <c r="C43" s="281">
        <f ca="1">ROUND(IF('数据-取费表'!B22&lt;=1,C39*F22*'数据-取费表'!B20/2,C39*(POWER((1+F22),'数据-取费表'!B20/2)-1)),0)</f>
        <v>238752</v>
      </c>
      <c r="D43" s="281"/>
      <c r="E43" s="281"/>
      <c r="F43" s="282"/>
      <c r="G43" s="3247"/>
    </row>
    <row r="44" spans="1:7" ht="13.5" customHeight="1">
      <c r="A44" s="950" t="s">
        <v>793</v>
      </c>
      <c r="B44" s="258" t="s">
        <v>2406</v>
      </c>
      <c r="C44" s="281">
        <f ca="1">ROUND(IF('数据-取费表'!B22&lt;=1,C40*F22*'数据-取费表'!B20/2,C40*(POWER((1+F22),'数据-取费表'!B20/2)-1)),4)</f>
        <v>1.4E-3</v>
      </c>
      <c r="D44" s="281"/>
      <c r="E44" s="281"/>
      <c r="F44" s="282"/>
      <c r="G44" s="3248"/>
    </row>
    <row r="45" spans="1:7" s="257" customFormat="1" ht="13.5" customHeight="1">
      <c r="A45" s="298" t="s">
        <v>2407</v>
      </c>
      <c r="B45" s="287" t="s">
        <v>2373</v>
      </c>
      <c r="C45" s="288">
        <f ca="1">C46</f>
        <v>28197898</v>
      </c>
      <c r="D45" s="278">
        <f ca="1">C47</f>
        <v>3.3E-3</v>
      </c>
      <c r="E45" s="279" t="s">
        <v>2399</v>
      </c>
      <c r="F45" s="289"/>
      <c r="G45" s="290" t="s">
        <v>2408</v>
      </c>
    </row>
    <row r="46" spans="1:7" s="257" customFormat="1" ht="13.5" customHeight="1">
      <c r="A46" s="950" t="s">
        <v>791</v>
      </c>
      <c r="B46" s="291" t="s">
        <v>2409</v>
      </c>
      <c r="C46" s="292">
        <f ca="1">ROUND((C33+C39)*F27,0)</f>
        <v>28197898</v>
      </c>
      <c r="D46" s="306"/>
      <c r="E46" s="279"/>
      <c r="F46" s="289"/>
      <c r="G46" s="290"/>
    </row>
    <row r="47" spans="1:7" s="257" customFormat="1" ht="13.5" customHeight="1">
      <c r="A47" s="950" t="s">
        <v>792</v>
      </c>
      <c r="B47" s="291" t="s">
        <v>2410</v>
      </c>
      <c r="C47" s="281">
        <f ca="1">ROUND(C40*F27,4)</f>
        <v>3.3E-3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325349550</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325349550</v>
      </c>
      <c r="D51" s="275"/>
      <c r="E51" s="275"/>
      <c r="F51" s="307"/>
      <c r="G51" s="277" t="s">
        <v>2420</v>
      </c>
    </row>
    <row r="52" spans="1:7" s="251" customFormat="1" ht="16.5" thickBot="1">
      <c r="A52" s="308" t="s">
        <v>2421</v>
      </c>
      <c r="B52" s="309"/>
      <c r="C52" s="310">
        <f ca="1">C31+C51</f>
        <v>353551812</v>
      </c>
      <c r="D52" s="309"/>
      <c r="E52" s="309"/>
      <c r="F52" s="309"/>
      <c r="G52" s="311"/>
    </row>
    <row r="55" spans="1:7" ht="15">
      <c r="B55" s="313" t="s">
        <v>2422</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22" sqref="N22"/>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5.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f>F66</f>
        <v>64463</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6"/>
    </row>
    <row r="3" spans="1:30" s="397" customFormat="1" ht="28.5" customHeight="1" thickBot="1">
      <c r="A3" s="246" t="s">
        <v>2324</v>
      </c>
      <c r="B3" s="608">
        <f>ROUND(IF(D3="",B2*10000/'数据-汇总表'!E3,B2*10000/D3),0)</f>
        <v>8727</v>
      </c>
      <c r="C3" s="246" t="s">
        <v>2738</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50" t="s">
        <v>2640</v>
      </c>
      <c r="AC4" s="3249" t="s">
        <v>2641</v>
      </c>
    </row>
    <row r="5" spans="1:30" ht="15">
      <c r="A5" s="403"/>
      <c r="B5" s="404"/>
      <c r="C5" s="3260" t="s">
        <v>2534</v>
      </c>
      <c r="D5" s="3261"/>
      <c r="E5" s="3258" t="s">
        <v>3182</v>
      </c>
      <c r="F5" s="3259"/>
      <c r="G5" s="3264" t="s">
        <v>3187</v>
      </c>
      <c r="H5" s="3261"/>
      <c r="I5" s="3264" t="s">
        <v>3189</v>
      </c>
      <c r="J5" s="3261"/>
      <c r="K5" s="609"/>
      <c r="L5" s="1129"/>
      <c r="M5" s="1130"/>
      <c r="N5" s="1130"/>
      <c r="O5" s="1130"/>
      <c r="P5" s="3275"/>
      <c r="Q5" s="3276"/>
      <c r="R5" s="3256"/>
      <c r="S5" s="3257"/>
      <c r="T5" s="3256"/>
      <c r="U5" s="3257"/>
      <c r="V5" s="3281"/>
      <c r="W5" s="3281"/>
      <c r="X5" s="1812"/>
      <c r="Y5" s="3256"/>
      <c r="Z5" s="3257"/>
      <c r="AA5" s="3250"/>
      <c r="AB5" s="3250"/>
      <c r="AC5" s="3250"/>
    </row>
    <row r="6" spans="1:30" ht="15.75" thickBot="1">
      <c r="A6" s="405"/>
      <c r="B6" s="406"/>
      <c r="C6" s="3262" t="s">
        <v>2538</v>
      </c>
      <c r="D6" s="3263"/>
      <c r="E6" s="3265" t="s">
        <v>3183</v>
      </c>
      <c r="F6" s="3266"/>
      <c r="G6" s="3267" t="s">
        <v>3188</v>
      </c>
      <c r="H6" s="3263"/>
      <c r="I6" s="3267" t="s">
        <v>3190</v>
      </c>
      <c r="J6" s="3263"/>
      <c r="K6" s="609" t="s">
        <v>2539</v>
      </c>
      <c r="L6" s="1129"/>
      <c r="M6" s="1130"/>
      <c r="N6" s="1130"/>
      <c r="O6" s="1130"/>
      <c r="P6" s="3277"/>
      <c r="Q6" s="3278"/>
      <c r="R6" s="3256"/>
      <c r="S6" s="3257"/>
      <c r="T6" s="3279"/>
      <c r="U6" s="3280"/>
      <c r="V6" s="3281"/>
      <c r="W6" s="3281"/>
      <c r="X6" s="1812"/>
      <c r="Y6" s="3279"/>
      <c r="Z6" s="3280"/>
      <c r="AA6" s="3251"/>
      <c r="AB6" s="3251"/>
      <c r="AC6" s="3251"/>
    </row>
    <row r="7" spans="1:30" s="117" customFormat="1" ht="15.75" thickBot="1">
      <c r="A7" s="407" t="s">
        <v>2540</v>
      </c>
      <c r="B7" s="408"/>
      <c r="C7" s="409">
        <f>'数据-取费表'!B2</f>
        <v>43321</v>
      </c>
      <c r="D7" s="410">
        <v>100</v>
      </c>
      <c r="E7" s="411">
        <v>43259</v>
      </c>
      <c r="F7" s="412">
        <f>SUMIF(70:70,YEAR(E7)&amp;"-"&amp;INT((MONTH(E7)+2)/3),71:71)</f>
        <v>99</v>
      </c>
      <c r="G7" s="2692">
        <v>43159</v>
      </c>
      <c r="H7" s="410">
        <f>SUMIF(70:70,YEAR(G7)&amp;"-"&amp;INT((MONTH(G7)+2)/3),71:71)</f>
        <v>98</v>
      </c>
      <c r="I7" s="2692">
        <v>42653</v>
      </c>
      <c r="J7" s="410">
        <f>SUMIF(70:70,YEAR(I7)&amp;"-"&amp;INT((MONTH(I7)+2)/3),71:71)</f>
        <v>93</v>
      </c>
      <c r="K7" s="610"/>
      <c r="L7" s="1131"/>
      <c r="M7" s="1132"/>
      <c r="N7" s="1132"/>
      <c r="O7" s="1132"/>
      <c r="P7" s="3252" t="s">
        <v>2541</v>
      </c>
      <c r="Q7" s="3282"/>
      <c r="R7" s="768" t="s">
        <v>17</v>
      </c>
      <c r="S7" s="769">
        <f t="shared" ref="S7:S15" si="0">F7</f>
        <v>99</v>
      </c>
      <c r="T7" s="768" t="s">
        <v>17</v>
      </c>
      <c r="U7" s="769">
        <f t="shared" ref="U7:U15" si="1">H7</f>
        <v>98</v>
      </c>
      <c r="V7" s="768" t="s">
        <v>17</v>
      </c>
      <c r="W7" s="769">
        <f t="shared" ref="W7:W15" si="2">J7</f>
        <v>93</v>
      </c>
      <c r="X7" s="770"/>
      <c r="Y7" s="3252" t="s">
        <v>2541</v>
      </c>
      <c r="Z7" s="3253"/>
      <c r="AA7" s="771">
        <f>D7/F7</f>
        <v>1.0101010101010102</v>
      </c>
      <c r="AB7" s="771">
        <f>D7/H7</f>
        <v>1.0204081632653061</v>
      </c>
      <c r="AC7" s="771">
        <f>D7/J7</f>
        <v>1.075268817204301</v>
      </c>
    </row>
    <row r="8" spans="1:30" s="117" customFormat="1" ht="15.75" thickBot="1">
      <c r="A8" s="407" t="s">
        <v>2542</v>
      </c>
      <c r="B8" s="408"/>
      <c r="C8" s="413" t="s">
        <v>2543</v>
      </c>
      <c r="D8" s="410">
        <v>100</v>
      </c>
      <c r="E8" s="413" t="s">
        <v>3115</v>
      </c>
      <c r="F8" s="412">
        <f>SUMIF(73:73,E8,74:74)-SUMIF(73:73,C8,74:74)+100</f>
        <v>100</v>
      </c>
      <c r="G8" s="413" t="s">
        <v>3115</v>
      </c>
      <c r="H8" s="410">
        <f>SUMIF(73:73,G8,74:74)-SUMIF(73:73,C8,74:74)+100</f>
        <v>100</v>
      </c>
      <c r="I8" s="413" t="s">
        <v>3115</v>
      </c>
      <c r="J8" s="410">
        <f>SUMIF(73:73,I8,74:74)-SUMIF(73:73,C8,74:74)+100</f>
        <v>100</v>
      </c>
      <c r="K8" s="610"/>
      <c r="L8" s="1131"/>
      <c r="M8" s="1132"/>
      <c r="N8" s="1132"/>
      <c r="O8" s="1132"/>
      <c r="P8" s="3252" t="s">
        <v>2544</v>
      </c>
      <c r="Q8" s="3253"/>
      <c r="R8" s="768" t="s">
        <v>17</v>
      </c>
      <c r="S8" s="769">
        <f t="shared" si="0"/>
        <v>100</v>
      </c>
      <c r="T8" s="768" t="s">
        <v>17</v>
      </c>
      <c r="U8" s="769">
        <f t="shared" si="1"/>
        <v>100</v>
      </c>
      <c r="V8" s="768" t="s">
        <v>17</v>
      </c>
      <c r="W8" s="769">
        <f t="shared" si="2"/>
        <v>100</v>
      </c>
      <c r="X8" s="770"/>
      <c r="Y8" s="3252" t="s">
        <v>2544</v>
      </c>
      <c r="Z8" s="3253"/>
      <c r="AA8" s="771">
        <f t="shared" ref="AA8:AA45" si="3">D8/F8</f>
        <v>1</v>
      </c>
      <c r="AB8" s="771">
        <f t="shared" ref="AB8:AB45" si="4">D8/H8</f>
        <v>1</v>
      </c>
      <c r="AC8" s="771">
        <f t="shared" ref="AC8:AC45" si="5">D8/J8</f>
        <v>1</v>
      </c>
    </row>
    <row r="9" spans="1:30" s="117" customFormat="1">
      <c r="A9" s="414" t="s">
        <v>2545</v>
      </c>
      <c r="B9" s="71" t="s">
        <v>2546</v>
      </c>
      <c r="C9" s="2695" t="s">
        <v>1377</v>
      </c>
      <c r="D9" s="134">
        <v>100</v>
      </c>
      <c r="E9" s="3056" t="s">
        <v>4868</v>
      </c>
      <c r="F9" s="3406">
        <f>SUMIF(75:75,E9,76:76)-SUMIF(75:75,C9,76:76)+100</f>
        <v>102</v>
      </c>
      <c r="G9" s="2695" t="s">
        <v>1377</v>
      </c>
      <c r="H9" s="134">
        <f>SUMIF(75:75,G9,76:76)-SUMIF(75:75,C9,76:76)+100</f>
        <v>100</v>
      </c>
      <c r="I9" s="2695" t="s">
        <v>1377</v>
      </c>
      <c r="J9" s="134">
        <f>SUMIF(75:75,I9,76:76)-SUMIF(75:75,C9,76:76)+100</f>
        <v>100</v>
      </c>
      <c r="K9" s="610"/>
      <c r="L9" s="1131"/>
      <c r="M9" s="1132"/>
      <c r="N9" s="1132"/>
      <c r="O9" s="1133"/>
      <c r="P9" s="3268" t="s">
        <v>2547</v>
      </c>
      <c r="Q9" s="1794" t="str">
        <f t="shared" ref="Q9:Q15" si="6">B9</f>
        <v>用途</v>
      </c>
      <c r="R9" s="768" t="s">
        <v>17</v>
      </c>
      <c r="S9" s="769">
        <f t="shared" si="0"/>
        <v>102</v>
      </c>
      <c r="T9" s="768" t="s">
        <v>17</v>
      </c>
      <c r="U9" s="769">
        <f t="shared" si="1"/>
        <v>100</v>
      </c>
      <c r="V9" s="768" t="s">
        <v>17</v>
      </c>
      <c r="W9" s="769">
        <f t="shared" si="2"/>
        <v>100</v>
      </c>
      <c r="X9" s="770"/>
      <c r="Y9" s="3123" t="s">
        <v>2548</v>
      </c>
      <c r="Z9" s="55" t="str">
        <f t="shared" ref="Z9:Z15" si="7">Q9</f>
        <v>用途</v>
      </c>
      <c r="AA9" s="771">
        <f t="shared" si="3"/>
        <v>0.98039215686274506</v>
      </c>
      <c r="AB9" s="771">
        <f t="shared" si="4"/>
        <v>1</v>
      </c>
      <c r="AC9" s="771">
        <f t="shared" si="5"/>
        <v>1</v>
      </c>
    </row>
    <row r="10" spans="1:30" s="426" customFormat="1" ht="27">
      <c r="A10" s="420"/>
      <c r="B10" s="421" t="s">
        <v>2549</v>
      </c>
      <c r="C10" s="431" t="s">
        <v>3184</v>
      </c>
      <c r="D10" s="135">
        <v>100</v>
      </c>
      <c r="E10" s="2982" t="s">
        <v>3191</v>
      </c>
      <c r="F10" s="2983">
        <f>ROUND(100/'数据-取费表'!G16,0)</f>
        <v>103</v>
      </c>
      <c r="G10" s="462" t="s">
        <v>3185</v>
      </c>
      <c r="H10" s="135">
        <f>ROUND(100/'数据-取费表'!G16,0)</f>
        <v>103</v>
      </c>
      <c r="I10" s="462" t="s">
        <v>3185</v>
      </c>
      <c r="J10" s="135">
        <f>ROUND(100/'数据-取费表'!G16,0)</f>
        <v>103</v>
      </c>
      <c r="K10" s="671"/>
      <c r="L10" s="1134"/>
      <c r="M10" s="1135"/>
      <c r="N10" s="1135"/>
      <c r="O10" s="1136"/>
      <c r="P10" s="3268"/>
      <c r="Q10" s="1794" t="str">
        <f t="shared" si="6"/>
        <v>土地使用年限（年）</v>
      </c>
      <c r="R10" s="768" t="s">
        <v>17</v>
      </c>
      <c r="S10" s="769">
        <f t="shared" si="0"/>
        <v>103</v>
      </c>
      <c r="T10" s="768" t="s">
        <v>17</v>
      </c>
      <c r="U10" s="769">
        <f t="shared" si="1"/>
        <v>103</v>
      </c>
      <c r="V10" s="768" t="s">
        <v>17</v>
      </c>
      <c r="W10" s="769">
        <f t="shared" si="2"/>
        <v>103</v>
      </c>
      <c r="X10" s="770"/>
      <c r="Y10" s="3123"/>
      <c r="Z10" s="55" t="str">
        <f t="shared" si="7"/>
        <v>土地使用年限（年）</v>
      </c>
      <c r="AA10" s="771">
        <f t="shared" si="3"/>
        <v>0.970873786407767</v>
      </c>
      <c r="AB10" s="771">
        <f t="shared" si="4"/>
        <v>0.970873786407767</v>
      </c>
      <c r="AC10" s="771">
        <f t="shared" si="5"/>
        <v>0.970873786407767</v>
      </c>
    </row>
    <row r="11" spans="1:30" ht="15">
      <c r="A11" s="427"/>
      <c r="B11" s="421" t="s">
        <v>2550</v>
      </c>
      <c r="C11" s="428">
        <f>'数据-汇总表'!I7</f>
        <v>5</v>
      </c>
      <c r="D11" s="135">
        <v>100</v>
      </c>
      <c r="E11" s="428">
        <v>2</v>
      </c>
      <c r="F11" s="135">
        <f>LOOKUP(E11,80:80,81:81)-LOOKUP(C11,80:80,81:81)+100</f>
        <v>101</v>
      </c>
      <c r="G11" s="429">
        <v>2</v>
      </c>
      <c r="H11" s="135">
        <f>LOOKUP(G11,80:80,81:81)-LOOKUP(C11,80:80,81:81)+100</f>
        <v>101</v>
      </c>
      <c r="I11" s="428">
        <v>2.19</v>
      </c>
      <c r="J11" s="135">
        <f>LOOKUP(I11,80:80,81:81)-LOOKUP(C11,80:80,81:81)+100</f>
        <v>101</v>
      </c>
      <c r="K11" s="672">
        <v>1</v>
      </c>
      <c r="L11" s="1137"/>
      <c r="M11" s="1130"/>
      <c r="N11" s="1130"/>
      <c r="O11" s="1138"/>
      <c r="P11" s="3268"/>
      <c r="Q11" s="1794" t="str">
        <f t="shared" si="6"/>
        <v>容积率</v>
      </c>
      <c r="R11" s="768" t="s">
        <v>17</v>
      </c>
      <c r="S11" s="769">
        <f t="shared" si="0"/>
        <v>101</v>
      </c>
      <c r="T11" s="768" t="s">
        <v>17</v>
      </c>
      <c r="U11" s="769">
        <f t="shared" si="1"/>
        <v>101</v>
      </c>
      <c r="V11" s="768" t="s">
        <v>17</v>
      </c>
      <c r="W11" s="769">
        <f t="shared" si="2"/>
        <v>101</v>
      </c>
      <c r="X11" s="770"/>
      <c r="Y11" s="3123"/>
      <c r="Z11" s="55" t="str">
        <f t="shared" si="7"/>
        <v>容积率</v>
      </c>
      <c r="AA11" s="771">
        <f t="shared" si="3"/>
        <v>0.99009900990099009</v>
      </c>
      <c r="AB11" s="771">
        <f t="shared" si="4"/>
        <v>0.99009900990099009</v>
      </c>
      <c r="AC11" s="771">
        <f t="shared" si="5"/>
        <v>0.99009900990099009</v>
      </c>
    </row>
    <row r="12" spans="1:30" s="117" customFormat="1" ht="15.75" thickBot="1">
      <c r="A12" s="430"/>
      <c r="B12" s="2987" t="s">
        <v>3203</v>
      </c>
      <c r="C12" s="2988" t="s">
        <v>3204</v>
      </c>
      <c r="D12" s="432">
        <v>100</v>
      </c>
      <c r="E12" s="2989" t="s">
        <v>3205</v>
      </c>
      <c r="F12" s="135">
        <f>SUMIF(82:82,E12,83:83)-SUMIF(82:82,C12,83:83)+100</f>
        <v>95</v>
      </c>
      <c r="G12" s="2990" t="s">
        <v>3205</v>
      </c>
      <c r="H12" s="135">
        <f>SUMIF(82:82,G12,83:83)-SUMIF(82:82,C12,83:83)+100</f>
        <v>95</v>
      </c>
      <c r="I12" s="2989" t="s">
        <v>3206</v>
      </c>
      <c r="J12" s="135">
        <f>SUMIF(82:82,I12,83:83)-SUMIF(82:82,C12,83:83)+100</f>
        <v>100</v>
      </c>
      <c r="K12" s="671"/>
      <c r="L12" s="1131"/>
      <c r="M12" s="1132"/>
      <c r="N12" s="1132"/>
      <c r="O12" s="1133"/>
      <c r="P12" s="3268"/>
      <c r="Q12" s="1794" t="str">
        <f t="shared" si="6"/>
        <v>商业自持</v>
      </c>
      <c r="R12" s="768" t="s">
        <v>17</v>
      </c>
      <c r="S12" s="769">
        <f t="shared" si="0"/>
        <v>95</v>
      </c>
      <c r="T12" s="768" t="s">
        <v>17</v>
      </c>
      <c r="U12" s="769">
        <f t="shared" si="1"/>
        <v>95</v>
      </c>
      <c r="V12" s="768" t="s">
        <v>17</v>
      </c>
      <c r="W12" s="769">
        <f t="shared" si="2"/>
        <v>100</v>
      </c>
      <c r="X12" s="770"/>
      <c r="Y12" s="3123"/>
      <c r="Z12" s="55" t="str">
        <f t="shared" si="7"/>
        <v>商业自持</v>
      </c>
      <c r="AA12" s="771">
        <f>D12/F12</f>
        <v>1.0526315789473684</v>
      </c>
      <c r="AB12" s="771">
        <f>D12/H12</f>
        <v>1.0526315789473684</v>
      </c>
      <c r="AC12" s="771">
        <f>D12/J12</f>
        <v>1</v>
      </c>
    </row>
    <row r="13" spans="1:30" ht="15" hidden="1">
      <c r="A13" s="427"/>
      <c r="B13" s="2597"/>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68"/>
      <c r="Q13" s="1794">
        <f t="shared" si="6"/>
        <v>0</v>
      </c>
      <c r="R13" s="768" t="s">
        <v>17</v>
      </c>
      <c r="S13" s="769">
        <f t="shared" si="0"/>
        <v>100</v>
      </c>
      <c r="T13" s="768" t="s">
        <v>17</v>
      </c>
      <c r="U13" s="769">
        <f t="shared" si="1"/>
        <v>100</v>
      </c>
      <c r="V13" s="768" t="s">
        <v>17</v>
      </c>
      <c r="W13" s="769">
        <f t="shared" si="2"/>
        <v>100</v>
      </c>
      <c r="X13" s="770"/>
      <c r="Y13" s="3123"/>
      <c r="Z13" s="55">
        <f t="shared" si="7"/>
        <v>0</v>
      </c>
      <c r="AA13" s="771">
        <f>D13/F13</f>
        <v>1</v>
      </c>
      <c r="AB13" s="771">
        <f>D13/H13</f>
        <v>1</v>
      </c>
      <c r="AC13" s="771">
        <f>D13/J13</f>
        <v>1</v>
      </c>
    </row>
    <row r="14" spans="1:30" ht="15.75" hidden="1" thickBot="1">
      <c r="A14" s="435"/>
      <c r="B14" s="2599"/>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8"/>
      <c r="Q14" s="1794">
        <f t="shared" si="6"/>
        <v>0</v>
      </c>
      <c r="R14" s="768" t="s">
        <v>17</v>
      </c>
      <c r="S14" s="769">
        <f t="shared" si="0"/>
        <v>100</v>
      </c>
      <c r="T14" s="768" t="s">
        <v>17</v>
      </c>
      <c r="U14" s="769">
        <f t="shared" si="1"/>
        <v>100</v>
      </c>
      <c r="V14" s="768" t="s">
        <v>17</v>
      </c>
      <c r="W14" s="769">
        <f t="shared" si="2"/>
        <v>100</v>
      </c>
      <c r="X14" s="770"/>
      <c r="Y14" s="3123"/>
      <c r="Z14" s="55">
        <f t="shared" si="7"/>
        <v>0</v>
      </c>
      <c r="AA14" s="771">
        <f>D14/F14</f>
        <v>1</v>
      </c>
      <c r="AB14" s="771">
        <f>D14/H14</f>
        <v>1</v>
      </c>
      <c r="AC14" s="771">
        <f>D14/J14</f>
        <v>1</v>
      </c>
    </row>
    <row r="15" spans="1:30" ht="15">
      <c r="A15" s="439" t="s">
        <v>2551</v>
      </c>
      <c r="B15" s="69" t="s">
        <v>2087</v>
      </c>
      <c r="C15" s="2600">
        <f>估价对象房地状况!C15</f>
        <v>0</v>
      </c>
      <c r="D15" s="440">
        <v>100</v>
      </c>
      <c r="E15" s="441"/>
      <c r="F15" s="440">
        <f>SUMIF(88:88,E16,89:89)-SUMIF(88:88,C16,89:89)+100</f>
        <v>95</v>
      </c>
      <c r="G15" s="441"/>
      <c r="H15" s="440">
        <f>SUMIF(88:88,G16,89:89)-SUMIF(88:88,C16,89:89)+100</f>
        <v>95</v>
      </c>
      <c r="I15" s="443"/>
      <c r="J15" s="440">
        <f>SUMIF(88:88,I16,89:89)-SUMIF(88:88,C16,89:89)+100</f>
        <v>95</v>
      </c>
      <c r="K15" s="672">
        <v>5</v>
      </c>
      <c r="L15" s="1139"/>
      <c r="M15" s="1130"/>
      <c r="N15" s="1130"/>
      <c r="O15" s="1138"/>
      <c r="P15" s="3283" t="s">
        <v>2552</v>
      </c>
      <c r="Q15" s="1809" t="str">
        <f t="shared" si="6"/>
        <v>居住社区成熟度</v>
      </c>
      <c r="R15" s="772" t="s">
        <v>17</v>
      </c>
      <c r="S15" s="773">
        <f t="shared" si="0"/>
        <v>95</v>
      </c>
      <c r="T15" s="772" t="s">
        <v>17</v>
      </c>
      <c r="U15" s="773">
        <f t="shared" si="1"/>
        <v>95</v>
      </c>
      <c r="V15" s="772" t="s">
        <v>17</v>
      </c>
      <c r="W15" s="773">
        <f t="shared" si="2"/>
        <v>95</v>
      </c>
      <c r="X15" s="1812"/>
      <c r="Y15" s="3283" t="s">
        <v>2552</v>
      </c>
      <c r="Z15" s="1813" t="str">
        <f t="shared" si="7"/>
        <v>居住社区成熟度</v>
      </c>
      <c r="AA15" s="1810">
        <f t="shared" si="3"/>
        <v>1.0526315789473684</v>
      </c>
      <c r="AB15" s="1810">
        <f t="shared" si="4"/>
        <v>1.0526315789473684</v>
      </c>
      <c r="AC15" s="1810">
        <f t="shared" si="5"/>
        <v>1.0526315789473684</v>
      </c>
    </row>
    <row r="16" spans="1:30" ht="15">
      <c r="A16" s="427"/>
      <c r="B16" s="445"/>
      <c r="C16" s="446" t="s">
        <v>3152</v>
      </c>
      <c r="D16" s="447"/>
      <c r="E16" s="2602" t="s">
        <v>3193</v>
      </c>
      <c r="F16" s="447"/>
      <c r="G16" s="2602" t="s">
        <v>3193</v>
      </c>
      <c r="H16" s="449"/>
      <c r="I16" s="2601" t="s">
        <v>3193</v>
      </c>
      <c r="J16" s="447"/>
      <c r="K16" s="671"/>
      <c r="L16" s="1139"/>
      <c r="M16" s="1130"/>
      <c r="N16" s="1130"/>
      <c r="O16" s="1138"/>
      <c r="P16" s="3284"/>
      <c r="Q16" s="1809"/>
      <c r="R16" s="772"/>
      <c r="S16" s="773"/>
      <c r="T16" s="772"/>
      <c r="U16" s="773"/>
      <c r="V16" s="772"/>
      <c r="W16" s="773"/>
      <c r="X16" s="1812"/>
      <c r="Y16" s="3284"/>
      <c r="Z16" s="1813"/>
      <c r="AA16" s="1810">
        <v>1</v>
      </c>
      <c r="AB16" s="1810">
        <v>1</v>
      </c>
      <c r="AC16" s="1810">
        <v>1</v>
      </c>
    </row>
    <row r="17" spans="1:29" ht="15">
      <c r="A17" s="427"/>
      <c r="B17" s="450" t="s">
        <v>2645</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284"/>
      <c r="Q17" s="1809" t="str">
        <f>B17</f>
        <v>商业繁华度</v>
      </c>
      <c r="R17" s="772" t="s">
        <v>17</v>
      </c>
      <c r="S17" s="773">
        <f>F17</f>
        <v>100</v>
      </c>
      <c r="T17" s="772" t="s">
        <v>17</v>
      </c>
      <c r="U17" s="773">
        <f>H17</f>
        <v>100</v>
      </c>
      <c r="V17" s="772" t="s">
        <v>17</v>
      </c>
      <c r="W17" s="773">
        <f>J17</f>
        <v>100</v>
      </c>
      <c r="X17" s="1812"/>
      <c r="Y17" s="3284"/>
      <c r="Z17" s="1813" t="str">
        <f>Q17</f>
        <v>商业繁华度</v>
      </c>
      <c r="AA17" s="1810">
        <f t="shared" si="3"/>
        <v>1</v>
      </c>
      <c r="AB17" s="1810">
        <f t="shared" si="4"/>
        <v>1</v>
      </c>
      <c r="AC17" s="1810">
        <f t="shared" si="5"/>
        <v>1</v>
      </c>
    </row>
    <row r="18" spans="1:29" ht="15">
      <c r="A18" s="427"/>
      <c r="B18" s="455"/>
      <c r="C18" s="2605" t="s">
        <v>3152</v>
      </c>
      <c r="D18" s="449"/>
      <c r="E18" s="2602" t="s">
        <v>3152</v>
      </c>
      <c r="F18" s="449"/>
      <c r="G18" s="2607" t="s">
        <v>3152</v>
      </c>
      <c r="H18" s="447"/>
      <c r="I18" s="2606" t="s">
        <v>3152</v>
      </c>
      <c r="J18" s="447"/>
      <c r="K18" s="671"/>
      <c r="L18" s="1139"/>
      <c r="M18" s="1130"/>
      <c r="N18" s="1130"/>
      <c r="O18" s="1138"/>
      <c r="P18" s="3284"/>
      <c r="Q18" s="1809"/>
      <c r="R18" s="772"/>
      <c r="S18" s="773"/>
      <c r="T18" s="772"/>
      <c r="U18" s="773"/>
      <c r="V18" s="772"/>
      <c r="W18" s="773"/>
      <c r="X18" s="1812"/>
      <c r="Y18" s="3284"/>
      <c r="Z18" s="1813"/>
      <c r="AA18" s="1810">
        <v>1</v>
      </c>
      <c r="AB18" s="1810">
        <v>1</v>
      </c>
      <c r="AC18" s="1810">
        <v>1</v>
      </c>
    </row>
    <row r="19" spans="1:29" ht="15">
      <c r="A19" s="427"/>
      <c r="B19" s="450" t="s">
        <v>2679</v>
      </c>
      <c r="C19" s="2660">
        <f>估价对象房地状况!C17</f>
        <v>0</v>
      </c>
      <c r="D19" s="454">
        <v>100</v>
      </c>
      <c r="E19" s="456"/>
      <c r="F19" s="454">
        <f>SUMIF(92:92,E20,93:93)-SUMIF(92:92,C20,93:93)+100</f>
        <v>95</v>
      </c>
      <c r="G19" s="456"/>
      <c r="H19" s="449">
        <f>SUMIF(92:92,G20,93:93)-SUMIF(92:92,C20,93:93)+100</f>
        <v>95</v>
      </c>
      <c r="I19" s="458"/>
      <c r="J19" s="449">
        <f>SUMIF(92:92,I20,93:93)-SUMIF(92:92,C20,93:93)+100</f>
        <v>95</v>
      </c>
      <c r="K19" s="3405">
        <v>5</v>
      </c>
      <c r="L19" s="1139"/>
      <c r="M19" s="1130"/>
      <c r="N19" s="1130"/>
      <c r="O19" s="1138"/>
      <c r="P19" s="3284"/>
      <c r="Q19" s="1809" t="str">
        <f>B19</f>
        <v>办公集聚程度</v>
      </c>
      <c r="R19" s="772" t="s">
        <v>17</v>
      </c>
      <c r="S19" s="773">
        <f>F19</f>
        <v>95</v>
      </c>
      <c r="T19" s="772" t="s">
        <v>17</v>
      </c>
      <c r="U19" s="773">
        <f>H19</f>
        <v>95</v>
      </c>
      <c r="V19" s="772" t="s">
        <v>17</v>
      </c>
      <c r="W19" s="773">
        <f>J19</f>
        <v>95</v>
      </c>
      <c r="X19" s="1812"/>
      <c r="Y19" s="3284"/>
      <c r="Z19" s="1813" t="str">
        <f>Q19</f>
        <v>办公集聚程度</v>
      </c>
      <c r="AA19" s="1810">
        <f t="shared" si="3"/>
        <v>1.0526315789473684</v>
      </c>
      <c r="AB19" s="1810">
        <f t="shared" si="4"/>
        <v>1.0526315789473684</v>
      </c>
      <c r="AC19" s="1810">
        <f t="shared" si="5"/>
        <v>1.0526315789473684</v>
      </c>
    </row>
    <row r="20" spans="1:29" ht="15">
      <c r="A20" s="427"/>
      <c r="B20" s="455"/>
      <c r="C20" s="446" t="s">
        <v>3117</v>
      </c>
      <c r="D20" s="447"/>
      <c r="E20" s="3395" t="s">
        <v>3152</v>
      </c>
      <c r="F20" s="447"/>
      <c r="G20" s="3395" t="s">
        <v>3152</v>
      </c>
      <c r="H20" s="447"/>
      <c r="I20" s="3396" t="s">
        <v>3152</v>
      </c>
      <c r="J20" s="447"/>
      <c r="K20" s="671"/>
      <c r="L20" s="1139"/>
      <c r="M20" s="1130"/>
      <c r="N20" s="1130"/>
      <c r="O20" s="1138"/>
      <c r="P20" s="3284"/>
      <c r="Q20" s="1809"/>
      <c r="R20" s="772"/>
      <c r="S20" s="773"/>
      <c r="T20" s="772"/>
      <c r="U20" s="773"/>
      <c r="V20" s="772"/>
      <c r="W20" s="773"/>
      <c r="X20" s="1812"/>
      <c r="Y20" s="3284"/>
      <c r="Z20" s="1813"/>
      <c r="AA20" s="1810">
        <v>1</v>
      </c>
      <c r="AB20" s="1810">
        <v>1</v>
      </c>
      <c r="AC20" s="1810">
        <v>1</v>
      </c>
    </row>
    <row r="21" spans="1:29" ht="15">
      <c r="A21" s="427"/>
      <c r="B21" s="450" t="s">
        <v>2701</v>
      </c>
      <c r="C21" s="2604">
        <f>估价对象房地状况!C18</f>
        <v>0</v>
      </c>
      <c r="D21" s="449">
        <v>100</v>
      </c>
      <c r="E21" s="451"/>
      <c r="F21" s="454">
        <f>SUMIF(94:94,E22,95:95)-SUMIF(94:94,C22,95:95)+100</f>
        <v>100</v>
      </c>
      <c r="G21" s="451"/>
      <c r="H21" s="449">
        <f>SUMIF(94:94,G22,95:95)-SUMIF(94:94,C22,95:95)+100</f>
        <v>100</v>
      </c>
      <c r="I21" s="453"/>
      <c r="J21" s="449">
        <f>SUMIF(94:94,I22,95:95)-SUMIF(94:94,C22,95:95)+100</f>
        <v>100</v>
      </c>
      <c r="K21" s="672">
        <v>3</v>
      </c>
      <c r="L21" s="1139"/>
      <c r="M21" s="1130"/>
      <c r="N21" s="1130"/>
      <c r="O21" s="1138"/>
      <c r="P21" s="3284"/>
      <c r="Q21" s="1809" t="str">
        <f>B21</f>
        <v>交通便捷度</v>
      </c>
      <c r="R21" s="772" t="s">
        <v>17</v>
      </c>
      <c r="S21" s="773">
        <f>F21</f>
        <v>100</v>
      </c>
      <c r="T21" s="772" t="s">
        <v>17</v>
      </c>
      <c r="U21" s="773">
        <f>H21</f>
        <v>100</v>
      </c>
      <c r="V21" s="772" t="s">
        <v>17</v>
      </c>
      <c r="W21" s="773">
        <f>J21</f>
        <v>100</v>
      </c>
      <c r="X21" s="1812"/>
      <c r="Y21" s="3284"/>
      <c r="Z21" s="1813" t="str">
        <f>Q21</f>
        <v>交通便捷度</v>
      </c>
      <c r="AA21" s="1810">
        <f t="shared" si="3"/>
        <v>1</v>
      </c>
      <c r="AB21" s="1810">
        <f t="shared" si="4"/>
        <v>1</v>
      </c>
      <c r="AC21" s="1810">
        <f t="shared" si="5"/>
        <v>1</v>
      </c>
    </row>
    <row r="22" spans="1:29" ht="15">
      <c r="A22" s="427"/>
      <c r="B22" s="1383"/>
      <c r="C22" s="446" t="s">
        <v>3152</v>
      </c>
      <c r="D22" s="449"/>
      <c r="E22" s="2602" t="s">
        <v>3152</v>
      </c>
      <c r="F22" s="447"/>
      <c r="G22" s="2602" t="s">
        <v>3152</v>
      </c>
      <c r="H22" s="447"/>
      <c r="I22" s="2601" t="s">
        <v>3152</v>
      </c>
      <c r="J22" s="447"/>
      <c r="K22" s="671"/>
      <c r="L22" s="1139"/>
      <c r="M22" s="1130"/>
      <c r="N22" s="1130"/>
      <c r="O22" s="1138"/>
      <c r="P22" s="3284"/>
      <c r="Q22" s="1809"/>
      <c r="R22" s="772"/>
      <c r="S22" s="773"/>
      <c r="T22" s="772"/>
      <c r="U22" s="773"/>
      <c r="V22" s="772"/>
      <c r="W22" s="773"/>
      <c r="X22" s="1812"/>
      <c r="Y22" s="3284"/>
      <c r="Z22" s="1813"/>
      <c r="AA22" s="1810">
        <v>1</v>
      </c>
      <c r="AB22" s="1810">
        <v>1</v>
      </c>
      <c r="AC22" s="1810">
        <v>1</v>
      </c>
    </row>
    <row r="23" spans="1:29" ht="15">
      <c r="A23" s="403"/>
      <c r="B23" s="450" t="s">
        <v>2739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9"/>
      <c r="M23" s="1130"/>
      <c r="N23" s="1130"/>
      <c r="O23" s="1138"/>
      <c r="P23" s="3284"/>
      <c r="Q23" s="1809" t="str">
        <f t="shared" ref="Q23:Q37" si="8">B23</f>
        <v>区域土地利用方向</v>
      </c>
      <c r="R23" s="772" t="s">
        <v>17</v>
      </c>
      <c r="S23" s="773">
        <f>F23</f>
        <v>100</v>
      </c>
      <c r="T23" s="772" t="s">
        <v>17</v>
      </c>
      <c r="U23" s="773">
        <f>H23</f>
        <v>100</v>
      </c>
      <c r="V23" s="772" t="s">
        <v>17</v>
      </c>
      <c r="W23" s="773">
        <f>J23</f>
        <v>100</v>
      </c>
      <c r="X23" s="1812"/>
      <c r="Y23" s="3284"/>
      <c r="Z23" s="1813" t="str">
        <f>Q23</f>
        <v>区域土地利用方向</v>
      </c>
      <c r="AA23" s="1810">
        <f t="shared" si="3"/>
        <v>1</v>
      </c>
      <c r="AB23" s="1810">
        <f t="shared" si="4"/>
        <v>1</v>
      </c>
      <c r="AC23" s="1810">
        <f t="shared" si="5"/>
        <v>1</v>
      </c>
    </row>
    <row r="24" spans="1:29" ht="15">
      <c r="A24" s="403"/>
      <c r="B24" s="455"/>
      <c r="C24" s="615" t="s">
        <v>3117</v>
      </c>
      <c r="D24" s="447"/>
      <c r="E24" s="615" t="s">
        <v>3117</v>
      </c>
      <c r="F24" s="447"/>
      <c r="G24" s="2601" t="s">
        <v>3117</v>
      </c>
      <c r="H24" s="447"/>
      <c r="I24" s="2601" t="s">
        <v>3117</v>
      </c>
      <c r="J24" s="447"/>
      <c r="K24" s="808"/>
      <c r="L24" s="1139"/>
      <c r="M24" s="1130"/>
      <c r="N24" s="1130"/>
      <c r="O24" s="1138"/>
      <c r="P24" s="3284"/>
      <c r="Q24" s="1809"/>
      <c r="R24" s="772"/>
      <c r="S24" s="773"/>
      <c r="T24" s="772"/>
      <c r="U24" s="773"/>
      <c r="V24" s="772"/>
      <c r="W24" s="773"/>
      <c r="X24" s="1812"/>
      <c r="Y24" s="3284"/>
      <c r="Z24" s="1813"/>
      <c r="AA24" s="1810"/>
      <c r="AB24" s="1810"/>
      <c r="AC24" s="1810"/>
    </row>
    <row r="25" spans="1:29" ht="27">
      <c r="A25" s="403"/>
      <c r="B25" s="1383" t="s">
        <v>2740</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3</v>
      </c>
      <c r="L25" s="1139"/>
      <c r="M25" s="1130"/>
      <c r="N25" s="1130"/>
      <c r="O25" s="1138"/>
      <c r="P25" s="3284"/>
      <c r="Q25" s="1809" t="str">
        <f t="shared" si="8"/>
        <v>自然及人文环境状况</v>
      </c>
      <c r="R25" s="772" t="s">
        <v>17</v>
      </c>
      <c r="S25" s="773">
        <f>F25</f>
        <v>100</v>
      </c>
      <c r="T25" s="772" t="s">
        <v>17</v>
      </c>
      <c r="U25" s="773">
        <f>H25</f>
        <v>100</v>
      </c>
      <c r="V25" s="772" t="s">
        <v>17</v>
      </c>
      <c r="W25" s="773">
        <f>J25</f>
        <v>100</v>
      </c>
      <c r="X25" s="1812"/>
      <c r="Y25" s="3284"/>
      <c r="Z25" s="1813" t="str">
        <f>Q25</f>
        <v>自然及人文环境状况</v>
      </c>
      <c r="AA25" s="1810">
        <f t="shared" si="3"/>
        <v>1</v>
      </c>
      <c r="AB25" s="1810">
        <f t="shared" si="4"/>
        <v>1</v>
      </c>
      <c r="AC25" s="1810">
        <f t="shared" si="5"/>
        <v>1</v>
      </c>
    </row>
    <row r="26" spans="1:29" ht="15">
      <c r="A26" s="403"/>
      <c r="B26" s="455"/>
      <c r="C26" s="446" t="s">
        <v>3117</v>
      </c>
      <c r="D26" s="447"/>
      <c r="E26" s="446" t="s">
        <v>3117</v>
      </c>
      <c r="F26" s="447"/>
      <c r="G26" s="2608" t="s">
        <v>3117</v>
      </c>
      <c r="H26" s="447"/>
      <c r="I26" s="446" t="s">
        <v>3117</v>
      </c>
      <c r="J26" s="447"/>
      <c r="K26" s="671"/>
      <c r="L26" s="1139"/>
      <c r="M26" s="1130"/>
      <c r="N26" s="1130"/>
      <c r="O26" s="1138"/>
      <c r="P26" s="3284"/>
      <c r="Q26" s="1809"/>
      <c r="R26" s="772"/>
      <c r="S26" s="773"/>
      <c r="T26" s="772"/>
      <c r="U26" s="773"/>
      <c r="V26" s="772"/>
      <c r="W26" s="773"/>
      <c r="X26" s="1812"/>
      <c r="Y26" s="3284"/>
      <c r="Z26" s="1813"/>
      <c r="AA26" s="1810">
        <v>1</v>
      </c>
      <c r="AB26" s="1810">
        <v>1</v>
      </c>
      <c r="AC26" s="1810">
        <v>1</v>
      </c>
    </row>
    <row r="27" spans="1:29" s="117" customFormat="1" ht="15">
      <c r="A27" s="648"/>
      <c r="B27" s="1383" t="s">
        <v>2646</v>
      </c>
      <c r="C27" s="2604">
        <f>估价对象房地状况!C21</f>
        <v>0</v>
      </c>
      <c r="D27" s="449">
        <v>100</v>
      </c>
      <c r="E27" s="451"/>
      <c r="F27" s="449">
        <f>SUMIF(100:100,E28,101:101)-SUMIF(100:100,C28,101:101)+100</f>
        <v>95</v>
      </c>
      <c r="G27" s="451"/>
      <c r="H27" s="449">
        <f>SUMIF(100:100,G28,101:101)-SUMIF(100:100,C28,101:101)+100</f>
        <v>95</v>
      </c>
      <c r="I27" s="453"/>
      <c r="J27" s="449">
        <f>SUMIF(100:100,I28,101:101)-SUMIF(100:100,C28,101:101)+100</f>
        <v>95</v>
      </c>
      <c r="K27" s="3405">
        <v>5</v>
      </c>
      <c r="L27" s="1131"/>
      <c r="M27" s="1132"/>
      <c r="N27" s="1132"/>
      <c r="O27" s="1133"/>
      <c r="P27" s="3284"/>
      <c r="Q27" s="1794" t="str">
        <f t="shared" si="8"/>
        <v>公共配套设施</v>
      </c>
      <c r="R27" s="768" t="s">
        <v>17</v>
      </c>
      <c r="S27" s="769">
        <f>F27</f>
        <v>95</v>
      </c>
      <c r="T27" s="768" t="s">
        <v>17</v>
      </c>
      <c r="U27" s="769">
        <f>H27</f>
        <v>95</v>
      </c>
      <c r="V27" s="768" t="s">
        <v>17</v>
      </c>
      <c r="W27" s="769">
        <f>J27</f>
        <v>95</v>
      </c>
      <c r="X27" s="770"/>
      <c r="Y27" s="3284"/>
      <c r="Z27" s="55" t="str">
        <f>Q27</f>
        <v>公共配套设施</v>
      </c>
      <c r="AA27" s="1810">
        <f>D27/F27</f>
        <v>1.0526315789473684</v>
      </c>
      <c r="AB27" s="1810">
        <f>D27/H27</f>
        <v>1.0526315789473684</v>
      </c>
      <c r="AC27" s="1810">
        <f>D27/J27</f>
        <v>1.0526315789473684</v>
      </c>
    </row>
    <row r="28" spans="1:29" s="117" customFormat="1" ht="15">
      <c r="A28" s="648"/>
      <c r="B28" s="455"/>
      <c r="C28" s="2696" t="s">
        <v>3152</v>
      </c>
      <c r="D28" s="447"/>
      <c r="E28" s="3397" t="s">
        <v>3193</v>
      </c>
      <c r="F28" s="447"/>
      <c r="G28" s="3398" t="s">
        <v>3193</v>
      </c>
      <c r="H28" s="447"/>
      <c r="I28" s="3399" t="s">
        <v>3193</v>
      </c>
      <c r="J28" s="447"/>
      <c r="K28" s="671"/>
      <c r="L28" s="1131"/>
      <c r="M28" s="1132"/>
      <c r="N28" s="1132"/>
      <c r="O28" s="1133"/>
      <c r="P28" s="3284"/>
      <c r="Q28" s="1794"/>
      <c r="R28" s="768"/>
      <c r="S28" s="769"/>
      <c r="T28" s="768"/>
      <c r="U28" s="769"/>
      <c r="V28" s="768"/>
      <c r="W28" s="769"/>
      <c r="X28" s="770"/>
      <c r="Y28" s="3284"/>
      <c r="Z28" s="55"/>
      <c r="AA28" s="1810">
        <v>1</v>
      </c>
      <c r="AB28" s="1810">
        <v>1</v>
      </c>
      <c r="AC28" s="1810">
        <v>1</v>
      </c>
    </row>
    <row r="29" spans="1:29" s="117" customFormat="1" ht="15">
      <c r="A29" s="648"/>
      <c r="B29" s="1383" t="s">
        <v>2647</v>
      </c>
      <c r="C29" s="2604">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3</v>
      </c>
      <c r="L29" s="1131"/>
      <c r="M29" s="1132"/>
      <c r="N29" s="1132"/>
      <c r="O29" s="1133"/>
      <c r="P29" s="3284"/>
      <c r="Q29" s="1794" t="str">
        <f>B29</f>
        <v>基础设施水平</v>
      </c>
      <c r="R29" s="768" t="s">
        <v>17</v>
      </c>
      <c r="S29" s="769">
        <f>F29</f>
        <v>100</v>
      </c>
      <c r="T29" s="768" t="s">
        <v>17</v>
      </c>
      <c r="U29" s="769">
        <f>H29</f>
        <v>100</v>
      </c>
      <c r="V29" s="768" t="s">
        <v>17</v>
      </c>
      <c r="W29" s="769">
        <f>J29</f>
        <v>100</v>
      </c>
      <c r="X29" s="770"/>
      <c r="Y29" s="3284"/>
      <c r="Z29" s="55" t="str">
        <f>Q29</f>
        <v>基础设施水平</v>
      </c>
      <c r="AA29" s="1810">
        <f>D29/F29</f>
        <v>1</v>
      </c>
      <c r="AB29" s="1810">
        <f>D29/H29</f>
        <v>1</v>
      </c>
      <c r="AC29" s="1810">
        <f>D29/J29</f>
        <v>1</v>
      </c>
    </row>
    <row r="30" spans="1:29" s="117" customFormat="1" ht="15">
      <c r="A30" s="648"/>
      <c r="B30" s="455"/>
      <c r="C30" s="2696" t="s">
        <v>3118</v>
      </c>
      <c r="D30" s="447"/>
      <c r="E30" s="2696" t="s">
        <v>3118</v>
      </c>
      <c r="F30" s="447"/>
      <c r="G30" s="2697" t="s">
        <v>3118</v>
      </c>
      <c r="H30" s="447"/>
      <c r="I30" s="2697" t="s">
        <v>3118</v>
      </c>
      <c r="J30" s="447"/>
      <c r="K30" s="671"/>
      <c r="L30" s="1131"/>
      <c r="M30" s="1132"/>
      <c r="N30" s="1132"/>
      <c r="O30" s="1133"/>
      <c r="P30" s="3284"/>
      <c r="Q30" s="1794"/>
      <c r="R30" s="768"/>
      <c r="S30" s="769"/>
      <c r="T30" s="768"/>
      <c r="U30" s="769"/>
      <c r="V30" s="768"/>
      <c r="W30" s="769"/>
      <c r="X30" s="770"/>
      <c r="Y30" s="3284"/>
      <c r="Z30" s="55"/>
      <c r="AA30" s="1810">
        <v>1</v>
      </c>
      <c r="AB30" s="1810">
        <v>1</v>
      </c>
      <c r="AC30" s="1810">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v>1</v>
      </c>
      <c r="L31" s="1139"/>
      <c r="M31" s="1130"/>
      <c r="N31" s="1130"/>
      <c r="O31" s="1138"/>
      <c r="P31" s="3284"/>
      <c r="Q31" s="1809" t="str">
        <f t="shared" si="8"/>
        <v>临街状况</v>
      </c>
      <c r="R31" s="772" t="s">
        <v>17</v>
      </c>
      <c r="S31" s="773">
        <f t="shared" ref="S31:S45" si="9">F31</f>
        <v>100</v>
      </c>
      <c r="T31" s="772" t="s">
        <v>17</v>
      </c>
      <c r="U31" s="773">
        <f t="shared" ref="U31:U45" si="10">H31</f>
        <v>100</v>
      </c>
      <c r="V31" s="772" t="s">
        <v>17</v>
      </c>
      <c r="W31" s="773">
        <f t="shared" ref="W31:W45" si="11">J31</f>
        <v>100</v>
      </c>
      <c r="X31" s="1812"/>
      <c r="Y31" s="3284"/>
      <c r="Z31" s="1813" t="str">
        <f t="shared" ref="Z31:Z45" si="12">Q31</f>
        <v>临街状况</v>
      </c>
      <c r="AA31" s="1810">
        <f t="shared" si="3"/>
        <v>1</v>
      </c>
      <c r="AB31" s="1810">
        <f t="shared" si="4"/>
        <v>1</v>
      </c>
      <c r="AC31" s="1810">
        <f t="shared" si="5"/>
        <v>1</v>
      </c>
    </row>
    <row r="32" spans="1:29" ht="27">
      <c r="A32" s="427"/>
      <c r="B32" s="1383" t="s">
        <v>2683</v>
      </c>
      <c r="C32" s="453"/>
      <c r="D32" s="449">
        <v>100</v>
      </c>
      <c r="E32" s="451"/>
      <c r="F32" s="449">
        <f>SUMIF(106:106,E33,107:107)-SUMIF(106:106,C33,107:107)+100</f>
        <v>101</v>
      </c>
      <c r="G32" s="451"/>
      <c r="H32" s="449">
        <f>SUMIF(106:106,G33,107:107)-SUMIF(106:106,C33,107:107)+100</f>
        <v>102</v>
      </c>
      <c r="I32" s="453"/>
      <c r="J32" s="449">
        <f>SUMIF(106:106,I33,107:107)-SUMIF(106:106,C33,107:107)+100</f>
        <v>102</v>
      </c>
      <c r="K32" s="672">
        <v>1</v>
      </c>
      <c r="L32" s="1139"/>
      <c r="M32" s="1130"/>
      <c r="N32" s="1130"/>
      <c r="O32" s="1138"/>
      <c r="P32" s="3284"/>
      <c r="Q32" s="1809" t="str">
        <f t="shared" si="8"/>
        <v>毗邻道路的类型与等级</v>
      </c>
      <c r="R32" s="772" t="s">
        <v>17</v>
      </c>
      <c r="S32" s="773">
        <f t="shared" si="9"/>
        <v>101</v>
      </c>
      <c r="T32" s="772" t="s">
        <v>17</v>
      </c>
      <c r="U32" s="773">
        <f t="shared" si="10"/>
        <v>102</v>
      </c>
      <c r="V32" s="772" t="s">
        <v>17</v>
      </c>
      <c r="W32" s="773">
        <f t="shared" si="11"/>
        <v>102</v>
      </c>
      <c r="X32" s="1812"/>
      <c r="Y32" s="3284"/>
      <c r="Z32" s="1813" t="str">
        <f t="shared" si="12"/>
        <v>毗邻道路的类型与等级</v>
      </c>
      <c r="AA32" s="1810">
        <f t="shared" si="3"/>
        <v>0.99009900990099009</v>
      </c>
      <c r="AB32" s="1810">
        <f t="shared" si="4"/>
        <v>0.98039215686274506</v>
      </c>
      <c r="AC32" s="1810">
        <f t="shared" si="5"/>
        <v>0.98039215686274506</v>
      </c>
    </row>
    <row r="33" spans="1:29" ht="15.75" thickBot="1">
      <c r="A33" s="427"/>
      <c r="B33" s="455"/>
      <c r="C33" s="446" t="s">
        <v>3207</v>
      </c>
      <c r="D33" s="447"/>
      <c r="E33" s="446" t="s">
        <v>3186</v>
      </c>
      <c r="F33" s="447"/>
      <c r="G33" s="2608" t="s">
        <v>3192</v>
      </c>
      <c r="H33" s="447"/>
      <c r="I33" s="446" t="s">
        <v>3192</v>
      </c>
      <c r="J33" s="447"/>
      <c r="K33" s="612"/>
      <c r="L33" s="1139"/>
      <c r="M33" s="1130"/>
      <c r="N33" s="1130"/>
      <c r="O33" s="1138"/>
      <c r="P33" s="3284"/>
      <c r="Q33" s="1809"/>
      <c r="R33" s="772"/>
      <c r="S33" s="773"/>
      <c r="T33" s="772"/>
      <c r="U33" s="773"/>
      <c r="V33" s="772"/>
      <c r="W33" s="773"/>
      <c r="X33" s="1812"/>
      <c r="Y33" s="3284"/>
      <c r="Z33" s="1813"/>
      <c r="AA33" s="1810">
        <v>1</v>
      </c>
      <c r="AB33" s="1810">
        <v>1</v>
      </c>
      <c r="AC33" s="1810">
        <v>1</v>
      </c>
    </row>
    <row r="34" spans="1:29" ht="15.75" hidden="1" thickBot="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1</v>
      </c>
      <c r="L34" s="1139"/>
      <c r="M34" s="1130"/>
      <c r="N34" s="1130"/>
      <c r="O34" s="1138"/>
      <c r="P34" s="3284"/>
      <c r="Q34" s="1809" t="str">
        <f t="shared" si="8"/>
        <v>土地级别</v>
      </c>
      <c r="R34" s="772" t="s">
        <v>17</v>
      </c>
      <c r="S34" s="773">
        <f t="shared" si="9"/>
        <v>100</v>
      </c>
      <c r="T34" s="772" t="s">
        <v>17</v>
      </c>
      <c r="U34" s="773">
        <f t="shared" si="10"/>
        <v>100</v>
      </c>
      <c r="V34" s="772" t="s">
        <v>17</v>
      </c>
      <c r="W34" s="773">
        <f t="shared" si="11"/>
        <v>100</v>
      </c>
      <c r="X34" s="1812"/>
      <c r="Y34" s="3284"/>
      <c r="Z34" s="1813" t="str">
        <f t="shared" si="12"/>
        <v>土地级别</v>
      </c>
      <c r="AA34" s="1810">
        <f t="shared" si="3"/>
        <v>1</v>
      </c>
      <c r="AB34" s="1810">
        <f t="shared" si="4"/>
        <v>1</v>
      </c>
      <c r="AC34" s="1810">
        <f t="shared" si="5"/>
        <v>1</v>
      </c>
    </row>
    <row r="35" spans="1:29" ht="15" hidden="1">
      <c r="A35" s="403"/>
      <c r="B35" s="1385"/>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84"/>
      <c r="Q35" s="1809">
        <f t="shared" si="8"/>
        <v>0</v>
      </c>
      <c r="R35" s="772" t="s">
        <v>17</v>
      </c>
      <c r="S35" s="773">
        <f t="shared" si="9"/>
        <v>100</v>
      </c>
      <c r="T35" s="772" t="s">
        <v>17</v>
      </c>
      <c r="U35" s="773">
        <f t="shared" si="10"/>
        <v>100</v>
      </c>
      <c r="V35" s="772" t="s">
        <v>17</v>
      </c>
      <c r="W35" s="773">
        <f t="shared" si="11"/>
        <v>100</v>
      </c>
      <c r="X35" s="1812"/>
      <c r="Y35" s="3284"/>
      <c r="Z35" s="1813">
        <f t="shared" si="12"/>
        <v>0</v>
      </c>
      <c r="AA35" s="1810">
        <f t="shared" si="3"/>
        <v>1</v>
      </c>
      <c r="AB35" s="1810">
        <f t="shared" si="4"/>
        <v>1</v>
      </c>
      <c r="AC35" s="1810">
        <f t="shared" si="5"/>
        <v>1</v>
      </c>
    </row>
    <row r="36" spans="1:29" ht="15" hidden="1">
      <c r="A36" s="674"/>
      <c r="B36" s="1386"/>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5" t="s">
        <v>2557</v>
      </c>
      <c r="Q36" s="1809">
        <f t="shared" si="8"/>
        <v>0</v>
      </c>
      <c r="R36" s="772" t="s">
        <v>17</v>
      </c>
      <c r="S36" s="773">
        <f t="shared" si="9"/>
        <v>100</v>
      </c>
      <c r="T36" s="772" t="s">
        <v>17</v>
      </c>
      <c r="U36" s="773">
        <f t="shared" si="10"/>
        <v>100</v>
      </c>
      <c r="V36" s="772" t="s">
        <v>17</v>
      </c>
      <c r="W36" s="773">
        <f t="shared" si="11"/>
        <v>100</v>
      </c>
      <c r="X36" s="1812"/>
      <c r="Y36" s="3286" t="s">
        <v>2557</v>
      </c>
      <c r="Z36" s="1813">
        <f t="shared" si="12"/>
        <v>0</v>
      </c>
      <c r="AA36" s="1810">
        <f t="shared" si="3"/>
        <v>1</v>
      </c>
      <c r="AB36" s="1810">
        <f t="shared" si="4"/>
        <v>1</v>
      </c>
      <c r="AC36" s="1810">
        <f t="shared" si="5"/>
        <v>1</v>
      </c>
    </row>
    <row r="37" spans="1:29" s="470" customFormat="1" ht="15.75" hidden="1" thickBot="1">
      <c r="A37" s="675"/>
      <c r="B37" s="1387"/>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6"/>
      <c r="Q37" s="1809">
        <f t="shared" si="8"/>
        <v>0</v>
      </c>
      <c r="R37" s="775" t="s">
        <v>17</v>
      </c>
      <c r="S37" s="776">
        <f t="shared" si="9"/>
        <v>100</v>
      </c>
      <c r="T37" s="775" t="s">
        <v>17</v>
      </c>
      <c r="U37" s="776">
        <f t="shared" si="10"/>
        <v>100</v>
      </c>
      <c r="V37" s="775" t="s">
        <v>17</v>
      </c>
      <c r="W37" s="776">
        <f t="shared" si="11"/>
        <v>100</v>
      </c>
      <c r="X37" s="777"/>
      <c r="Y37" s="3286"/>
      <c r="Z37" s="778">
        <f t="shared" si="12"/>
        <v>0</v>
      </c>
      <c r="AA37" s="1810">
        <f t="shared" si="3"/>
        <v>1</v>
      </c>
      <c r="AB37" s="1810">
        <f t="shared" si="4"/>
        <v>1</v>
      </c>
      <c r="AC37" s="1810">
        <f t="shared" si="5"/>
        <v>1</v>
      </c>
    </row>
    <row r="38" spans="1:29" ht="15">
      <c r="A38" s="471" t="s">
        <v>2555</v>
      </c>
      <c r="B38" s="455" t="s">
        <v>2742</v>
      </c>
      <c r="C38" s="678">
        <f>'数据-基础表'!A3</f>
        <v>17182</v>
      </c>
      <c r="D38" s="466">
        <v>100</v>
      </c>
      <c r="E38" s="678">
        <v>52552</v>
      </c>
      <c r="F38" s="466">
        <f>LOOKUP(E38,117:117,118:118)-LOOKUP(C38,117:117,118:118)+100</f>
        <v>100.5</v>
      </c>
      <c r="G38" s="678">
        <v>7530</v>
      </c>
      <c r="H38" s="466">
        <f>LOOKUP(G38,117:117,118:118)-LOOKUP(C38,117:117,118:118)+100</f>
        <v>100</v>
      </c>
      <c r="I38" s="529">
        <v>13396</v>
      </c>
      <c r="J38" s="466">
        <f>LOOKUP(I38,117:117,118:118)-LOOKUP(C38,117:117,118:118)+100</f>
        <v>100</v>
      </c>
      <c r="K38" s="612"/>
      <c r="L38" s="1139"/>
      <c r="M38" s="1130"/>
      <c r="N38" s="1130"/>
      <c r="O38" s="1138"/>
      <c r="P38" s="3286"/>
      <c r="Q38" s="1809" t="str">
        <f>B38</f>
        <v>宗地面积</v>
      </c>
      <c r="R38" s="772" t="s">
        <v>17</v>
      </c>
      <c r="S38" s="773">
        <f t="shared" si="9"/>
        <v>100.5</v>
      </c>
      <c r="T38" s="772" t="s">
        <v>17</v>
      </c>
      <c r="U38" s="773">
        <f t="shared" si="10"/>
        <v>100</v>
      </c>
      <c r="V38" s="772" t="s">
        <v>17</v>
      </c>
      <c r="W38" s="773">
        <f t="shared" si="11"/>
        <v>100</v>
      </c>
      <c r="X38" s="1812"/>
      <c r="Y38" s="3286"/>
      <c r="Z38" s="1813" t="str">
        <f t="shared" si="12"/>
        <v>宗地面积</v>
      </c>
      <c r="AA38" s="1810">
        <f t="shared" si="3"/>
        <v>0.99502487562189057</v>
      </c>
      <c r="AB38" s="1810">
        <f t="shared" si="4"/>
        <v>1</v>
      </c>
      <c r="AC38" s="1810">
        <f t="shared" si="5"/>
        <v>1</v>
      </c>
    </row>
    <row r="39" spans="1:29" ht="15">
      <c r="A39" s="471"/>
      <c r="B39" s="421" t="s">
        <v>2743</v>
      </c>
      <c r="C39" s="2610" t="s">
        <v>3171</v>
      </c>
      <c r="D39" s="434">
        <v>100</v>
      </c>
      <c r="E39" s="2610" t="s">
        <v>3171</v>
      </c>
      <c r="F39" s="434">
        <f>SUMIF(119:119,E39,120:120)-SUMIF(119:119,C39,120:120)+100</f>
        <v>100</v>
      </c>
      <c r="G39" s="2610" t="s">
        <v>3171</v>
      </c>
      <c r="H39" s="434">
        <f>SUMIF(119:119,G39,120:120)-SUMIF(119:119,C39,120:120)+100</f>
        <v>100</v>
      </c>
      <c r="I39" s="2610" t="s">
        <v>3171</v>
      </c>
      <c r="J39" s="434">
        <f>SUMIF(119:119,I39,120:120)-SUMIF(119:119,C39,120:120)+100</f>
        <v>100</v>
      </c>
      <c r="K39" s="611">
        <v>1</v>
      </c>
      <c r="L39" s="1139"/>
      <c r="M39" s="1130"/>
      <c r="N39" s="1130"/>
      <c r="O39" s="1138"/>
      <c r="P39" s="3286"/>
      <c r="Q39" s="1809" t="str">
        <f t="shared" ref="Q39:Q45" si="13">B39</f>
        <v>宗地形状</v>
      </c>
      <c r="R39" s="772" t="s">
        <v>17</v>
      </c>
      <c r="S39" s="773">
        <f t="shared" si="9"/>
        <v>100</v>
      </c>
      <c r="T39" s="772" t="s">
        <v>17</v>
      </c>
      <c r="U39" s="773">
        <f t="shared" si="10"/>
        <v>100</v>
      </c>
      <c r="V39" s="772" t="s">
        <v>17</v>
      </c>
      <c r="W39" s="773">
        <f t="shared" si="11"/>
        <v>100</v>
      </c>
      <c r="X39" s="1812"/>
      <c r="Y39" s="3286"/>
      <c r="Z39" s="1813" t="str">
        <f t="shared" si="12"/>
        <v>宗地形状</v>
      </c>
      <c r="AA39" s="1810">
        <f t="shared" si="3"/>
        <v>1</v>
      </c>
      <c r="AB39" s="1810">
        <f t="shared" si="4"/>
        <v>1</v>
      </c>
      <c r="AC39" s="1810">
        <f t="shared" si="5"/>
        <v>1</v>
      </c>
    </row>
    <row r="40" spans="1:29" ht="15">
      <c r="A40" s="471"/>
      <c r="B40" s="421" t="s">
        <v>2744</v>
      </c>
      <c r="C40" s="2610" t="s">
        <v>3172</v>
      </c>
      <c r="D40" s="434">
        <v>100</v>
      </c>
      <c r="E40" s="2610" t="s">
        <v>3172</v>
      </c>
      <c r="F40" s="434">
        <f>SUMIF(121:121,E40,122:122)-SUMIF(121:121,C40,122:122)+100</f>
        <v>100</v>
      </c>
      <c r="G40" s="2610" t="s">
        <v>3172</v>
      </c>
      <c r="H40" s="434">
        <f>SUMIF(121:121,G40,122:122)-SUMIF(121:121,C40,122:122)+100</f>
        <v>100</v>
      </c>
      <c r="I40" s="2610" t="s">
        <v>3172</v>
      </c>
      <c r="J40" s="434">
        <f>SUMIF(121:121,I40,122:122)-SUMIF(121:121,C40,122:122)+100</f>
        <v>100</v>
      </c>
      <c r="K40" s="611">
        <v>1</v>
      </c>
      <c r="L40" s="1139"/>
      <c r="M40" s="1130"/>
      <c r="N40" s="1130"/>
      <c r="O40" s="1138"/>
      <c r="P40" s="3286"/>
      <c r="Q40" s="1809" t="str">
        <f t="shared" si="13"/>
        <v>临街宽度及深度</v>
      </c>
      <c r="R40" s="772" t="s">
        <v>17</v>
      </c>
      <c r="S40" s="773">
        <f t="shared" si="9"/>
        <v>100</v>
      </c>
      <c r="T40" s="772" t="s">
        <v>17</v>
      </c>
      <c r="U40" s="773">
        <f t="shared" si="10"/>
        <v>100</v>
      </c>
      <c r="V40" s="772" t="s">
        <v>17</v>
      </c>
      <c r="W40" s="773">
        <f t="shared" si="11"/>
        <v>100</v>
      </c>
      <c r="X40" s="1812"/>
      <c r="Y40" s="3286"/>
      <c r="Z40" s="1813" t="str">
        <f t="shared" si="12"/>
        <v>临街宽度及深度</v>
      </c>
      <c r="AA40" s="1810">
        <f t="shared" si="3"/>
        <v>1</v>
      </c>
      <c r="AB40" s="1810">
        <f t="shared" si="4"/>
        <v>1</v>
      </c>
      <c r="AC40" s="1810">
        <f t="shared" si="5"/>
        <v>1</v>
      </c>
    </row>
    <row r="41" spans="1:29" s="117" customFormat="1" ht="15">
      <c r="A41" s="472"/>
      <c r="B41" s="421" t="s">
        <v>2745</v>
      </c>
      <c r="C41" s="2698" t="s">
        <v>3173</v>
      </c>
      <c r="D41" s="135">
        <v>100</v>
      </c>
      <c r="E41" s="2698" t="s">
        <v>3173</v>
      </c>
      <c r="F41" s="434">
        <f>SUMIF(123:123,E41,124:124)-SUMIF(123:123,C41,124:124)+100</f>
        <v>100</v>
      </c>
      <c r="G41" s="2698" t="s">
        <v>3173</v>
      </c>
      <c r="H41" s="434">
        <f>SUMIF(123:123,G41,124:124)-SUMIF(123:123,C41,124:124)+100</f>
        <v>100</v>
      </c>
      <c r="I41" s="2698" t="s">
        <v>3173</v>
      </c>
      <c r="J41" s="434">
        <f>SUMIF(123:123,I41,124:124)-SUMIF(123:123,C41,124:124)+100</f>
        <v>100</v>
      </c>
      <c r="K41" s="611">
        <v>1</v>
      </c>
      <c r="L41" s="1131"/>
      <c r="M41" s="1132"/>
      <c r="N41" s="1132"/>
      <c r="O41" s="1133"/>
      <c r="P41" s="3286"/>
      <c r="Q41" s="1809" t="str">
        <f t="shared" si="13"/>
        <v>宗地开发程度</v>
      </c>
      <c r="R41" s="768" t="s">
        <v>17</v>
      </c>
      <c r="S41" s="769">
        <f t="shared" si="9"/>
        <v>100</v>
      </c>
      <c r="T41" s="768" t="s">
        <v>17</v>
      </c>
      <c r="U41" s="769">
        <f t="shared" si="10"/>
        <v>100</v>
      </c>
      <c r="V41" s="768" t="s">
        <v>17</v>
      </c>
      <c r="W41" s="769">
        <f t="shared" si="11"/>
        <v>100</v>
      </c>
      <c r="X41" s="770"/>
      <c r="Y41" s="3286"/>
      <c r="Z41" s="55" t="str">
        <f t="shared" si="12"/>
        <v>宗地开发程度</v>
      </c>
      <c r="AA41" s="771">
        <f t="shared" si="3"/>
        <v>1</v>
      </c>
      <c r="AB41" s="771">
        <f t="shared" si="4"/>
        <v>1</v>
      </c>
      <c r="AC41" s="771">
        <f t="shared" si="5"/>
        <v>1</v>
      </c>
    </row>
    <row r="42" spans="1:29" ht="15.75" thickBot="1">
      <c r="A42" s="471"/>
      <c r="B42" s="421" t="s">
        <v>2746</v>
      </c>
      <c r="C42" s="2610" t="s">
        <v>3117</v>
      </c>
      <c r="D42" s="434">
        <v>100</v>
      </c>
      <c r="E42" s="2610" t="s">
        <v>3117</v>
      </c>
      <c r="F42" s="434">
        <f>SUMIF(125:125,E42,126:126)-SUMIF(125:125,C42,126:126)+100</f>
        <v>100</v>
      </c>
      <c r="G42" s="2610" t="s">
        <v>3117</v>
      </c>
      <c r="H42" s="434">
        <f>SUMIF(125:125,G42,126:126)-SUMIF(125:125,C42,126:126)+100</f>
        <v>100</v>
      </c>
      <c r="I42" s="2610" t="s">
        <v>3117</v>
      </c>
      <c r="J42" s="434">
        <f>SUMIF(125:125,I42,126:126)-SUMIF(125:125,C42,126:126)+100</f>
        <v>100</v>
      </c>
      <c r="K42" s="611">
        <v>1</v>
      </c>
      <c r="L42" s="1139"/>
      <c r="M42" s="1130"/>
      <c r="N42" s="1130"/>
      <c r="O42" s="1138"/>
      <c r="P42" s="3286" t="s">
        <v>2557</v>
      </c>
      <c r="Q42" s="1809" t="str">
        <f t="shared" si="13"/>
        <v>工程地质条件</v>
      </c>
      <c r="R42" s="772" t="s">
        <v>17</v>
      </c>
      <c r="S42" s="773">
        <f t="shared" si="9"/>
        <v>100</v>
      </c>
      <c r="T42" s="772" t="s">
        <v>17</v>
      </c>
      <c r="U42" s="773">
        <f t="shared" si="10"/>
        <v>100</v>
      </c>
      <c r="V42" s="772" t="s">
        <v>17</v>
      </c>
      <c r="W42" s="773">
        <f t="shared" si="11"/>
        <v>100</v>
      </c>
      <c r="X42" s="1812"/>
      <c r="Y42" s="3286" t="s">
        <v>2557</v>
      </c>
      <c r="Z42" s="1813" t="str">
        <f t="shared" si="12"/>
        <v>工程地质条件</v>
      </c>
      <c r="AA42" s="1810">
        <f t="shared" si="3"/>
        <v>1</v>
      </c>
      <c r="AB42" s="1810">
        <f t="shared" si="4"/>
        <v>1</v>
      </c>
      <c r="AC42" s="1810">
        <f t="shared" si="5"/>
        <v>1</v>
      </c>
    </row>
    <row r="43" spans="1:29" ht="15" hidden="1">
      <c r="A43" s="471"/>
      <c r="B43" s="1386"/>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6"/>
      <c r="Q43" s="1809">
        <f t="shared" si="13"/>
        <v>0</v>
      </c>
      <c r="R43" s="772" t="s">
        <v>17</v>
      </c>
      <c r="S43" s="773">
        <f t="shared" si="9"/>
        <v>100</v>
      </c>
      <c r="T43" s="772" t="s">
        <v>17</v>
      </c>
      <c r="U43" s="773">
        <f t="shared" si="10"/>
        <v>100</v>
      </c>
      <c r="V43" s="772" t="s">
        <v>17</v>
      </c>
      <c r="W43" s="773">
        <f t="shared" si="11"/>
        <v>100</v>
      </c>
      <c r="X43" s="1812"/>
      <c r="Y43" s="3286"/>
      <c r="Z43" s="1813">
        <f t="shared" si="12"/>
        <v>0</v>
      </c>
      <c r="AA43" s="1810">
        <f t="shared" si="3"/>
        <v>1</v>
      </c>
      <c r="AB43" s="1810">
        <f t="shared" si="4"/>
        <v>1</v>
      </c>
      <c r="AC43" s="1810">
        <f t="shared" si="5"/>
        <v>1</v>
      </c>
    </row>
    <row r="44" spans="1:29" ht="15" hidden="1">
      <c r="A44" s="471"/>
      <c r="B44" s="1386"/>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6"/>
      <c r="Q44" s="1809">
        <f t="shared" si="13"/>
        <v>0</v>
      </c>
      <c r="R44" s="772" t="s">
        <v>17</v>
      </c>
      <c r="S44" s="773">
        <f t="shared" si="9"/>
        <v>100</v>
      </c>
      <c r="T44" s="772" t="s">
        <v>17</v>
      </c>
      <c r="U44" s="773">
        <f t="shared" si="10"/>
        <v>100</v>
      </c>
      <c r="V44" s="772" t="s">
        <v>17</v>
      </c>
      <c r="W44" s="773">
        <f t="shared" si="11"/>
        <v>100</v>
      </c>
      <c r="X44" s="1812"/>
      <c r="Y44" s="3286"/>
      <c r="Z44" s="1813">
        <f t="shared" si="12"/>
        <v>0</v>
      </c>
      <c r="AA44" s="1810">
        <f t="shared" si="3"/>
        <v>1</v>
      </c>
      <c r="AB44" s="1810">
        <f t="shared" si="4"/>
        <v>1</v>
      </c>
      <c r="AC44" s="1810">
        <f t="shared" si="5"/>
        <v>1</v>
      </c>
    </row>
    <row r="45" spans="1:29" s="470" customFormat="1" ht="15.75" hidden="1" thickBot="1">
      <c r="A45" s="467"/>
      <c r="B45" s="1386"/>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6"/>
      <c r="Q45" s="1809">
        <f t="shared" si="13"/>
        <v>0</v>
      </c>
      <c r="R45" s="775" t="s">
        <v>17</v>
      </c>
      <c r="S45" s="776">
        <f t="shared" si="9"/>
        <v>100</v>
      </c>
      <c r="T45" s="775" t="s">
        <v>17</v>
      </c>
      <c r="U45" s="776">
        <f t="shared" si="10"/>
        <v>100</v>
      </c>
      <c r="V45" s="775" t="s">
        <v>17</v>
      </c>
      <c r="W45" s="776">
        <f t="shared" si="11"/>
        <v>100</v>
      </c>
      <c r="X45" s="777"/>
      <c r="Y45" s="3286"/>
      <c r="Z45" s="778">
        <f t="shared" si="12"/>
        <v>0</v>
      </c>
      <c r="AA45" s="1810">
        <f t="shared" si="3"/>
        <v>1</v>
      </c>
      <c r="AB45" s="1810">
        <f t="shared" si="4"/>
        <v>1</v>
      </c>
      <c r="AC45" s="1810">
        <f t="shared" si="5"/>
        <v>1</v>
      </c>
    </row>
    <row r="46" spans="1:29" ht="15">
      <c r="A46" s="478" t="s">
        <v>2712</v>
      </c>
      <c r="B46" s="2700" t="s">
        <v>2747</v>
      </c>
      <c r="C46" s="681" t="s">
        <v>1</v>
      </c>
      <c r="D46" s="480"/>
      <c r="E46" s="481">
        <v>7780</v>
      </c>
      <c r="F46" s="482"/>
      <c r="G46" s="483">
        <v>7780</v>
      </c>
      <c r="H46" s="484"/>
      <c r="I46" s="481">
        <v>6800</v>
      </c>
      <c r="J46" s="484"/>
      <c r="K46" s="781"/>
      <c r="L46" s="1142"/>
      <c r="M46" s="1143"/>
      <c r="N46" s="1130"/>
      <c r="O46" s="1143"/>
      <c r="P46" s="3268" t="str">
        <f>A46</f>
        <v>成交单价</v>
      </c>
      <c r="Q46" s="3268"/>
      <c r="R46" s="3281">
        <f>E46</f>
        <v>7780</v>
      </c>
      <c r="S46" s="3281"/>
      <c r="T46" s="3281">
        <f>G46</f>
        <v>7780</v>
      </c>
      <c r="U46" s="3281"/>
      <c r="V46" s="3281">
        <f>I46</f>
        <v>6800</v>
      </c>
      <c r="W46" s="3281"/>
      <c r="X46" s="757"/>
      <c r="Y46" s="779"/>
      <c r="Z46" s="757"/>
      <c r="AA46" s="757"/>
      <c r="AB46" s="757"/>
      <c r="AC46" s="757"/>
    </row>
    <row r="47" spans="1:29" ht="15.75" thickBot="1">
      <c r="A47" s="485" t="s">
        <v>2661</v>
      </c>
      <c r="B47" s="682"/>
      <c r="C47" s="489">
        <f>R48</f>
        <v>8727</v>
      </c>
      <c r="D47" s="488"/>
      <c r="E47" s="489">
        <f>R47</f>
        <v>8958</v>
      </c>
      <c r="F47" s="490"/>
      <c r="G47" s="487">
        <f>T47</f>
        <v>9185</v>
      </c>
      <c r="H47" s="488"/>
      <c r="I47" s="489">
        <f>V47</f>
        <v>8037</v>
      </c>
      <c r="J47" s="488"/>
      <c r="K47" s="782"/>
      <c r="L47" s="1142"/>
      <c r="M47" s="1143"/>
      <c r="N47" s="1143"/>
      <c r="O47" s="1143"/>
      <c r="P47" s="3268" t="str">
        <f>A47</f>
        <v>比较价值（元/平方米）</v>
      </c>
      <c r="Q47" s="3268"/>
      <c r="R47" s="3287">
        <f>ROUND(PRODUCT(R46,AA7:AA45),0)</f>
        <v>8958</v>
      </c>
      <c r="S47" s="3287"/>
      <c r="T47" s="3287">
        <f>ROUND(PRODUCT(T46,AB7:AB45),0)</f>
        <v>9185</v>
      </c>
      <c r="U47" s="3287"/>
      <c r="V47" s="3287">
        <f>ROUND(PRODUCT(V46,AC7:AC45),0)</f>
        <v>8037</v>
      </c>
      <c r="W47" s="3287"/>
      <c r="X47" s="757"/>
      <c r="Y47" s="757"/>
      <c r="Z47" s="757"/>
      <c r="AA47" s="757"/>
      <c r="AB47" s="757"/>
      <c r="AC47" s="757"/>
    </row>
    <row r="48" spans="1:29" ht="15.75" thickBot="1">
      <c r="A48" s="491" t="s">
        <v>2748</v>
      </c>
      <c r="B48" s="492"/>
      <c r="C48" s="493">
        <f>R48</f>
        <v>8727</v>
      </c>
      <c r="D48" s="493"/>
      <c r="E48" s="493"/>
      <c r="F48" s="493"/>
      <c r="G48" s="493"/>
      <c r="H48" s="493"/>
      <c r="I48" s="493"/>
      <c r="J48" s="493"/>
      <c r="K48" s="783"/>
      <c r="L48" s="1142"/>
      <c r="M48" s="1143"/>
      <c r="N48" s="1143"/>
      <c r="O48" s="1143"/>
      <c r="P48" s="3288" t="str">
        <f>A48</f>
        <v>估价对象XX用房的比较价值（楼面单价，元/平方米）</v>
      </c>
      <c r="Q48" s="3289"/>
      <c r="R48" s="3290">
        <f>ROUND(AVERAGE(R47:V47),0)</f>
        <v>8727</v>
      </c>
      <c r="S48" s="3290"/>
      <c r="T48" s="3290"/>
      <c r="U48" s="3290"/>
      <c r="V48" s="3290"/>
      <c r="W48" s="3290"/>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2663</v>
      </c>
      <c r="D51" s="497"/>
      <c r="E51" s="498">
        <f>IF(E46&lt;E47,E47/E46-1,E46/E47-1)</f>
        <v>0.15141388174807191</v>
      </c>
      <c r="F51" s="499" t="str">
        <f>IF(OR(E51&gt;=0.3,E51&lt;=-0.3),"超过30%","")</f>
        <v/>
      </c>
      <c r="G51" s="498">
        <f>IF(G46&lt;G47,G47/G46-1,G46/G47-1)</f>
        <v>0.18059125964010292</v>
      </c>
      <c r="H51" s="499" t="str">
        <f>IF(OR(G51&gt;=0.3,G51&lt;=-0.3),"超过30%","")</f>
        <v/>
      </c>
      <c r="I51" s="498">
        <f>IF(I46&lt;I47,I47/I46-1,I46/I47-1)</f>
        <v>0.18191176470588233</v>
      </c>
      <c r="J51" s="499" t="str">
        <f>IF(OR(I51&gt;=0.3,I51&lt;=-0.3),"超过30%","")</f>
        <v/>
      </c>
      <c r="K51" s="1104"/>
      <c r="L51" s="1105"/>
      <c r="M51" s="1143"/>
      <c r="N51" s="1143"/>
      <c r="O51" s="1143"/>
    </row>
    <row r="52" spans="1:15" ht="13.5" customHeight="1">
      <c r="A52" s="1143"/>
      <c r="B52" s="1143"/>
      <c r="C52" s="496" t="s">
        <v>2664</v>
      </c>
      <c r="D52" s="500"/>
      <c r="E52" s="498">
        <f>IF(E47&lt;G47,G47/E47-1,E47/G47-1)</f>
        <v>2.5340477785219973E-2</v>
      </c>
      <c r="F52" s="499" t="str">
        <f>IF(OR(E52&gt;=0.2,E52&lt;=-0.2),"超过20%","")</f>
        <v/>
      </c>
      <c r="G52" s="498">
        <f>IF(G47&lt;I47,I47/G47-1,G47/I47-1)</f>
        <v>0.14283936792335439</v>
      </c>
      <c r="H52" s="499" t="str">
        <f>IF(OR(G52&gt;=0.2,G52&lt;=-0.2),"超过20%","")</f>
        <v/>
      </c>
      <c r="I52" s="498">
        <f>IF(I47&lt;E47,E47/I47-1,I47/E47-1)</f>
        <v>0.11459499813363205</v>
      </c>
      <c r="J52" s="499" t="str">
        <f>IF(OR(I52&gt;=0.2,I52&lt;=-0.2),"超过20%","")</f>
        <v/>
      </c>
      <c r="K52" s="1104"/>
      <c r="L52" s="1105"/>
      <c r="M52" s="1143"/>
      <c r="N52" s="1143"/>
      <c r="O52" s="1143"/>
    </row>
    <row r="53" spans="1:15" s="501" customFormat="1" ht="13.5" customHeight="1">
      <c r="A53" s="1144"/>
      <c r="B53" s="1144"/>
      <c r="C53" s="496" t="s">
        <v>2665</v>
      </c>
      <c r="D53" s="500"/>
      <c r="E53" s="498">
        <f>IF(E46&lt;G46,G46/E46-1,E46/G46-1)</f>
        <v>0</v>
      </c>
      <c r="F53" s="499" t="str">
        <f>IF(OR(E53&gt;=0.3,E53&lt;=-0.3),"超过30%","")</f>
        <v/>
      </c>
      <c r="G53" s="498">
        <f>IF(G46&lt;I46,I46/G46-1,G46/I46-1)</f>
        <v>0.14411764705882346</v>
      </c>
      <c r="H53" s="499" t="str">
        <f>IF(OR(G53&gt;=0.3,G53&lt;=-0.3),"超过30%","")</f>
        <v/>
      </c>
      <c r="I53" s="498">
        <f>IF(I46&lt;E46,E46/I46-1,I46/E46-1)</f>
        <v>0.14411764705882346</v>
      </c>
      <c r="J53" s="499" t="str">
        <f>IF(OR(I53&gt;=0.3,I53&lt;=-0.3),"超过30%","")</f>
        <v/>
      </c>
      <c r="K53" s="1147"/>
      <c r="L53" s="1148"/>
      <c r="M53" s="1144"/>
      <c r="N53" s="1144"/>
      <c r="O53" s="1144"/>
    </row>
    <row r="54" spans="1:15" s="501" customFormat="1" ht="15" thickBot="1">
      <c r="A54" s="1144"/>
      <c r="B54" s="1145"/>
      <c r="C54" s="760"/>
      <c r="D54" s="758"/>
      <c r="E54" s="758"/>
      <c r="F54" s="758"/>
      <c r="G54" s="758"/>
      <c r="H54" s="758"/>
      <c r="I54" s="758"/>
      <c r="J54" s="758"/>
      <c r="K54" s="1147"/>
      <c r="L54" s="1148"/>
      <c r="M54" s="1144"/>
      <c r="N54" s="1144"/>
      <c r="O54" s="1144"/>
    </row>
    <row r="55" spans="1:15" ht="27" customHeight="1">
      <c r="A55" s="683" t="s">
        <v>2749</v>
      </c>
      <c r="B55" s="684" t="s">
        <v>2750</v>
      </c>
      <c r="C55" s="2701" t="s">
        <v>2751</v>
      </c>
      <c r="D55" s="2702" t="s">
        <v>2752</v>
      </c>
      <c r="E55" s="685" t="s">
        <v>2753</v>
      </c>
      <c r="F55" s="1106" t="s">
        <v>2754</v>
      </c>
      <c r="G55" s="3269" t="s">
        <v>2755</v>
      </c>
      <c r="H55" s="3291"/>
      <c r="I55" s="143" t="s">
        <v>2756</v>
      </c>
      <c r="J55" s="2703" t="str">
        <f>项目基本情况!F35</f>
        <v>广东省</v>
      </c>
      <c r="K55" s="2704" t="s">
        <v>2757</v>
      </c>
      <c r="L55" s="1105"/>
      <c r="M55" s="1143"/>
      <c r="N55" s="1143"/>
      <c r="O55" s="1143"/>
    </row>
    <row r="56" spans="1:15" s="691" customFormat="1">
      <c r="A56" s="687" t="s">
        <v>2758</v>
      </c>
      <c r="B56" s="688">
        <f>C48</f>
        <v>8727</v>
      </c>
      <c r="C56" s="689">
        <v>1</v>
      </c>
      <c r="D56" s="1162">
        <v>1</v>
      </c>
      <c r="E56" s="689">
        <f>'数据-汇总表'!E8+'数据-汇总表'!E9</f>
        <v>73865.87</v>
      </c>
      <c r="F56" s="1102">
        <f t="shared" ref="F56:F65" si="14">ROUND(B56*E56/10000,0)</f>
        <v>64463</v>
      </c>
      <c r="G56" s="3292"/>
      <c r="H56" s="3268"/>
      <c r="I56" s="1107">
        <v>1</v>
      </c>
      <c r="J56" s="1110">
        <v>1</v>
      </c>
      <c r="K56" s="1144"/>
      <c r="L56" s="940"/>
      <c r="M56" s="940"/>
      <c r="N56" s="940"/>
      <c r="O56" s="940"/>
    </row>
    <row r="57" spans="1:15" s="691" customFormat="1">
      <c r="A57" s="692" t="s">
        <v>2759</v>
      </c>
      <c r="B57" s="261">
        <f>ROUND($C$48*C57*D57,0)</f>
        <v>0</v>
      </c>
      <c r="C57" s="199">
        <f t="shared" ref="C57:C65" si="15">IF($C$55="北京市系数",I57,J57)</f>
        <v>0</v>
      </c>
      <c r="D57" s="1163">
        <v>0.25</v>
      </c>
      <c r="E57" s="693"/>
      <c r="F57" s="1102">
        <f t="shared" si="14"/>
        <v>0</v>
      </c>
      <c r="G57" s="3293" t="s">
        <v>2760</v>
      </c>
      <c r="H57" s="1103">
        <f>项目基本情况!B37</f>
        <v>0</v>
      </c>
      <c r="I57" s="1107">
        <f>SUMIF(修正!A45:A56,H57,修正!B45:B56)</f>
        <v>0</v>
      </c>
      <c r="J57" s="1111"/>
      <c r="K57" s="1143"/>
      <c r="L57" s="940"/>
      <c r="M57" s="940"/>
      <c r="N57" s="940"/>
      <c r="O57" s="940"/>
    </row>
    <row r="58" spans="1:15" s="691" customFormat="1">
      <c r="A58" s="692" t="s">
        <v>2761</v>
      </c>
      <c r="B58" s="261">
        <f t="shared" ref="B58:B65" si="16">ROUND($C$48*C58*D58,0)</f>
        <v>0</v>
      </c>
      <c r="C58" s="199">
        <f t="shared" si="15"/>
        <v>0</v>
      </c>
      <c r="D58" s="1163">
        <v>0.25</v>
      </c>
      <c r="E58" s="693"/>
      <c r="F58" s="1102">
        <f t="shared" si="14"/>
        <v>0</v>
      </c>
      <c r="G58" s="3293"/>
      <c r="H58" s="1103">
        <f>项目基本情况!B37</f>
        <v>0</v>
      </c>
      <c r="I58" s="1107">
        <f>SUMIF(修正!A45:A56,H58,修正!C45:C56)</f>
        <v>0</v>
      </c>
      <c r="J58" s="1111"/>
      <c r="K58" s="1144"/>
      <c r="L58" s="940"/>
      <c r="M58" s="940"/>
      <c r="N58" s="940"/>
      <c r="O58" s="940"/>
    </row>
    <row r="59" spans="1:15" s="691" customFormat="1">
      <c r="A59" s="692" t="s">
        <v>2762</v>
      </c>
      <c r="B59" s="261">
        <f t="shared" si="16"/>
        <v>0</v>
      </c>
      <c r="C59" s="199">
        <f t="shared" si="15"/>
        <v>0</v>
      </c>
      <c r="D59" s="1163">
        <v>0.25</v>
      </c>
      <c r="E59" s="693"/>
      <c r="F59" s="1102">
        <f t="shared" si="14"/>
        <v>0</v>
      </c>
      <c r="G59" s="3293"/>
      <c r="H59" s="1103">
        <f>项目基本情况!B37</f>
        <v>0</v>
      </c>
      <c r="I59" s="1107">
        <f>SUMIF(修正!A45:A56,H59,修正!D45:D56)</f>
        <v>0</v>
      </c>
      <c r="J59" s="1111"/>
      <c r="K59" s="1143"/>
      <c r="L59" s="940"/>
      <c r="M59" s="940"/>
      <c r="N59" s="940"/>
      <c r="O59" s="940"/>
    </row>
    <row r="60" spans="1:15" s="691" customFormat="1">
      <c r="A60" s="692" t="s">
        <v>2763</v>
      </c>
      <c r="B60" s="261">
        <f t="shared" si="16"/>
        <v>0</v>
      </c>
      <c r="C60" s="199">
        <f t="shared" si="15"/>
        <v>0</v>
      </c>
      <c r="D60" s="1163">
        <v>0.25</v>
      </c>
      <c r="E60" s="693"/>
      <c r="F60" s="1102">
        <f t="shared" si="14"/>
        <v>0</v>
      </c>
      <c r="G60" s="3293"/>
      <c r="H60" s="1103">
        <f>项目基本情况!B37</f>
        <v>0</v>
      </c>
      <c r="I60" s="1107">
        <f>SUMIF(修正!A45:A56,H60,修正!E45:E56)</f>
        <v>0</v>
      </c>
      <c r="J60" s="1111"/>
      <c r="K60" s="1144"/>
      <c r="L60" s="940"/>
      <c r="M60" s="940"/>
      <c r="N60" s="940"/>
      <c r="O60" s="940"/>
    </row>
    <row r="61" spans="1:15" s="691" customFormat="1">
      <c r="A61" s="692" t="s">
        <v>2764</v>
      </c>
      <c r="B61" s="261">
        <f t="shared" si="16"/>
        <v>0</v>
      </c>
      <c r="C61" s="199">
        <f t="shared" si="15"/>
        <v>0</v>
      </c>
      <c r="D61" s="1163">
        <v>0.25</v>
      </c>
      <c r="E61" s="260">
        <f>'数据-汇总表'!E11</f>
        <v>0</v>
      </c>
      <c r="F61" s="1102">
        <f t="shared" si="14"/>
        <v>0</v>
      </c>
      <c r="G61" s="2705" t="s">
        <v>2765</v>
      </c>
      <c r="H61" s="1103">
        <f>项目基本情况!C37</f>
        <v>0</v>
      </c>
      <c r="I61" s="1107">
        <f>SUMIF(修正!A45:A56,H61,修正!F45:F56)</f>
        <v>0</v>
      </c>
      <c r="J61" s="1111"/>
      <c r="K61" s="1143"/>
      <c r="L61" s="940"/>
      <c r="M61" s="940"/>
      <c r="N61" s="940"/>
      <c r="O61" s="940"/>
    </row>
    <row r="62" spans="1:15" s="691" customFormat="1">
      <c r="A62" s="692" t="s">
        <v>2766</v>
      </c>
      <c r="B62" s="261">
        <f t="shared" si="16"/>
        <v>0</v>
      </c>
      <c r="C62" s="199">
        <f t="shared" si="15"/>
        <v>0</v>
      </c>
      <c r="D62" s="1163">
        <v>0.25</v>
      </c>
      <c r="E62" s="260">
        <f>'数据-汇总表'!E12</f>
        <v>0</v>
      </c>
      <c r="F62" s="1102">
        <f t="shared" si="14"/>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2768</v>
      </c>
      <c r="B63" s="261">
        <f t="shared" si="16"/>
        <v>0</v>
      </c>
      <c r="C63" s="199">
        <f t="shared" si="15"/>
        <v>0</v>
      </c>
      <c r="D63" s="1163">
        <v>0.25</v>
      </c>
      <c r="E63" s="260">
        <f>'数据-汇总表'!E13</f>
        <v>0</v>
      </c>
      <c r="F63" s="1102">
        <f t="shared" si="14"/>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2770</v>
      </c>
      <c r="B64" s="261">
        <f t="shared" si="16"/>
        <v>0</v>
      </c>
      <c r="C64" s="199">
        <f t="shared" si="15"/>
        <v>0</v>
      </c>
      <c r="D64" s="1163">
        <v>0.25</v>
      </c>
      <c r="E64" s="260">
        <f>'数据-汇总表'!E14</f>
        <v>0</v>
      </c>
      <c r="F64" s="1102">
        <f t="shared" si="14"/>
        <v>0</v>
      </c>
      <c r="G64" s="2705" t="s">
        <v>2760</v>
      </c>
      <c r="H64" s="1103">
        <f>项目基本情况!B37</f>
        <v>0</v>
      </c>
      <c r="I64" s="1107">
        <f>SUMIF(修正!A45:A56,H64,修正!H45:H56)</f>
        <v>0</v>
      </c>
      <c r="J64" s="1111"/>
      <c r="K64" s="1144"/>
      <c r="L64" s="940"/>
      <c r="M64" s="940"/>
      <c r="N64" s="940"/>
      <c r="O64" s="940"/>
    </row>
    <row r="65" spans="1:17" s="691" customFormat="1" ht="15" thickBot="1">
      <c r="A65" s="692" t="s">
        <v>2771</v>
      </c>
      <c r="B65" s="261">
        <f t="shared" si="16"/>
        <v>0</v>
      </c>
      <c r="C65" s="199">
        <f t="shared" si="15"/>
        <v>0</v>
      </c>
      <c r="D65" s="1163">
        <v>0.25</v>
      </c>
      <c r="E65" s="260">
        <f>'数据-汇总表'!E15</f>
        <v>0</v>
      </c>
      <c r="F65" s="1102">
        <f t="shared" si="14"/>
        <v>0</v>
      </c>
      <c r="G65" s="2706" t="s">
        <v>2765</v>
      </c>
      <c r="H65" s="1113">
        <f>项目基本情况!C37</f>
        <v>0</v>
      </c>
      <c r="I65" s="1109">
        <f>SUMIF(修正!A45:A56,H65,修正!H45:H56)</f>
        <v>0</v>
      </c>
      <c r="J65" s="1112"/>
      <c r="K65" s="1143"/>
      <c r="L65" s="940"/>
      <c r="M65" s="940"/>
      <c r="N65" s="940"/>
      <c r="O65" s="940"/>
    </row>
    <row r="66" spans="1:17" s="691" customFormat="1" ht="13.5" thickBot="1">
      <c r="A66" s="694" t="s">
        <v>2772</v>
      </c>
      <c r="B66" s="695" t="s">
        <v>28</v>
      </c>
      <c r="C66" s="695" t="s">
        <v>29</v>
      </c>
      <c r="D66" s="695" t="s">
        <v>1029</v>
      </c>
      <c r="E66" s="695">
        <f>IF(B46="楼面地价",SUM(E56:E65),'数据-汇总表'!D3)</f>
        <v>73865.87</v>
      </c>
      <c r="F66" s="696">
        <f>IF(B46="楼面地价",SUM(F56:F65),ROUND(C48*E66/10000,0))</f>
        <v>64463</v>
      </c>
      <c r="G66" s="785"/>
      <c r="H66" s="785"/>
      <c r="I66" s="785"/>
      <c r="J66" s="785"/>
      <c r="K66" s="1157"/>
      <c r="L66" s="940"/>
      <c r="M66" s="940"/>
      <c r="N66" s="940"/>
      <c r="O66" s="940"/>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2018-8-1</v>
      </c>
      <c r="D68" s="759">
        <f>EDATE(C68,-3)</f>
        <v>43221</v>
      </c>
      <c r="E68" s="759">
        <f>EDATE(D68,-3)</f>
        <v>43132</v>
      </c>
      <c r="F68" s="759">
        <f t="shared" ref="F68:O68" si="17">EDATE(E68,-3)</f>
        <v>43040</v>
      </c>
      <c r="G68" s="759">
        <f t="shared" si="17"/>
        <v>42948</v>
      </c>
      <c r="H68" s="759">
        <f t="shared" si="17"/>
        <v>42856</v>
      </c>
      <c r="I68" s="759">
        <f t="shared" si="17"/>
        <v>42767</v>
      </c>
      <c r="J68" s="759">
        <f t="shared" si="17"/>
        <v>42675</v>
      </c>
      <c r="K68" s="759">
        <f t="shared" si="17"/>
        <v>42583</v>
      </c>
      <c r="L68" s="759">
        <f t="shared" si="17"/>
        <v>42491</v>
      </c>
      <c r="M68" s="759">
        <f t="shared" si="17"/>
        <v>42401</v>
      </c>
      <c r="N68" s="759">
        <f t="shared" si="17"/>
        <v>42309</v>
      </c>
      <c r="O68" s="759">
        <f t="shared" si="17"/>
        <v>42217</v>
      </c>
    </row>
    <row r="69" spans="1:17" ht="21.75" thickBot="1">
      <c r="A69" s="761" t="s">
        <v>2666</v>
      </c>
      <c r="B69" s="757"/>
      <c r="C69" s="762"/>
      <c r="D69" s="762"/>
      <c r="E69" s="762"/>
      <c r="F69" s="763"/>
      <c r="G69" s="763"/>
      <c r="H69" s="762"/>
      <c r="I69" s="762"/>
      <c r="J69" s="1158"/>
      <c r="K69" s="1159"/>
      <c r="L69" s="1160"/>
      <c r="M69" s="1158"/>
      <c r="N69" s="1158"/>
      <c r="O69" s="1158"/>
      <c r="P69" s="502"/>
      <c r="Q69" s="503"/>
    </row>
    <row r="70" spans="1:17" s="507" customFormat="1" ht="15">
      <c r="A70" s="2707" t="s">
        <v>2773</v>
      </c>
      <c r="B70" s="1358"/>
      <c r="C70" s="1571" t="str">
        <f>YEAR(C68)&amp;"-"&amp;ROUNDUP(MONTH(C68)/3,0)</f>
        <v>2018-3</v>
      </c>
      <c r="D70" s="1571" t="str">
        <f>YEAR(D68)&amp;"-"&amp;ROUNDUP(MONTH(D68)/3,0)</f>
        <v>2018-2</v>
      </c>
      <c r="E70" s="1571" t="str">
        <f t="shared" ref="E70:O70" si="18">YEAR(E68)&amp;"-"&amp;ROUNDUP(MONTH(E68)/3,0)</f>
        <v>2018-1</v>
      </c>
      <c r="F70" s="1571" t="str">
        <f t="shared" si="18"/>
        <v>2017-4</v>
      </c>
      <c r="G70" s="1571" t="str">
        <f t="shared" si="18"/>
        <v>2017-3</v>
      </c>
      <c r="H70" s="1571" t="str">
        <f t="shared" si="18"/>
        <v>2017-2</v>
      </c>
      <c r="I70" s="1571" t="str">
        <f t="shared" si="18"/>
        <v>2017-1</v>
      </c>
      <c r="J70" s="1571" t="str">
        <f t="shared" si="18"/>
        <v>2016-4</v>
      </c>
      <c r="K70" s="1571" t="str">
        <f t="shared" si="18"/>
        <v>2016-3</v>
      </c>
      <c r="L70" s="1571" t="str">
        <f t="shared" si="18"/>
        <v>2016-2</v>
      </c>
      <c r="M70" s="1571" t="str">
        <f t="shared" si="18"/>
        <v>2016-1</v>
      </c>
      <c r="N70" s="1571" t="str">
        <f t="shared" si="18"/>
        <v>2015-4</v>
      </c>
      <c r="O70" s="1571" t="str">
        <f t="shared" si="18"/>
        <v>2015-3</v>
      </c>
      <c r="P70" s="506"/>
    </row>
    <row r="71" spans="1:17" s="117" customFormat="1" ht="30" customHeight="1">
      <c r="A71" s="2708" t="s">
        <v>2774</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v>93</v>
      </c>
      <c r="K71" s="594">
        <v>92</v>
      </c>
      <c r="L71" s="594">
        <v>91</v>
      </c>
      <c r="M71" s="594">
        <v>90</v>
      </c>
      <c r="N71" s="594">
        <v>89</v>
      </c>
      <c r="O71" s="1567"/>
      <c r="P71" s="503"/>
    </row>
    <row r="72" spans="1:17" s="117" customFormat="1" ht="15.75" thickBot="1">
      <c r="A72" s="514" t="s">
        <v>2577</v>
      </c>
      <c r="B72" s="515"/>
      <c r="C72" s="516"/>
      <c r="D72" s="517"/>
      <c r="E72" s="517"/>
      <c r="F72" s="517"/>
      <c r="G72" s="517"/>
      <c r="H72" s="517"/>
      <c r="I72" s="517"/>
      <c r="J72" s="517"/>
      <c r="K72" s="517"/>
      <c r="L72" s="517"/>
      <c r="M72" s="518"/>
      <c r="N72" s="517"/>
      <c r="O72" s="1161"/>
      <c r="P72" s="503"/>
      <c r="Q72" s="503"/>
    </row>
    <row r="73" spans="1:17" s="117" customFormat="1" ht="15">
      <c r="A73" s="520" t="s">
        <v>2542</v>
      </c>
      <c r="B73" s="509"/>
      <c r="C73" s="521" t="s">
        <v>2644</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2580</v>
      </c>
      <c r="B75" s="527" t="s">
        <v>2546</v>
      </c>
      <c r="C75" s="2970" t="s">
        <v>3159</v>
      </c>
      <c r="D75" s="2970" t="s">
        <v>4869</v>
      </c>
      <c r="E75" s="529"/>
      <c r="F75" s="529"/>
      <c r="G75" s="529"/>
      <c r="H75" s="529"/>
      <c r="I75" s="529"/>
      <c r="J75" s="529"/>
      <c r="K75" s="530"/>
      <c r="L75" s="531"/>
      <c r="M75" s="532"/>
      <c r="N75" s="1151"/>
      <c r="O75" s="1151"/>
      <c r="P75" s="45"/>
      <c r="Q75" s="503"/>
    </row>
    <row r="76" spans="1:17" ht="15.75" thickBot="1">
      <c r="A76" s="533"/>
      <c r="B76" s="534"/>
      <c r="C76" s="535">
        <v>100</v>
      </c>
      <c r="D76" s="3391">
        <v>102</v>
      </c>
      <c r="E76" s="535"/>
      <c r="F76" s="535"/>
      <c r="G76" s="535"/>
      <c r="H76" s="535"/>
      <c r="I76" s="535"/>
      <c r="J76" s="535"/>
      <c r="K76" s="535"/>
      <c r="L76" s="535"/>
      <c r="M76" s="536"/>
      <c r="N76" s="1152"/>
      <c r="O76" s="1152"/>
      <c r="P76" s="45"/>
      <c r="Q76" s="503"/>
    </row>
    <row r="77" spans="1:17" ht="27.75" thickTop="1">
      <c r="A77" s="533"/>
      <c r="B77" s="537" t="s">
        <v>2549</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2550</v>
      </c>
      <c r="C79" s="3407" t="str">
        <f>C80&amp;"（含）"&amp;"-"&amp;D80</f>
        <v>0（含）-2</v>
      </c>
      <c r="D79" s="3407" t="str">
        <f t="shared" ref="D79:L79" si="19">D80&amp;"（含）"&amp;"-"&amp;E80</f>
        <v>2（含）-4</v>
      </c>
      <c r="E79" s="3407" t="str">
        <f t="shared" si="19"/>
        <v>4（含）-6</v>
      </c>
      <c r="F79" s="3407" t="str">
        <f t="shared" si="19"/>
        <v>6（含）-</v>
      </c>
      <c r="G79" s="546" t="str">
        <f t="shared" si="19"/>
        <v>（含）-</v>
      </c>
      <c r="H79" s="546" t="str">
        <f t="shared" si="19"/>
        <v>（含）-</v>
      </c>
      <c r="I79" s="546" t="str">
        <f t="shared" si="19"/>
        <v>（含）-</v>
      </c>
      <c r="J79" s="546" t="str">
        <f t="shared" si="19"/>
        <v>（含）-</v>
      </c>
      <c r="K79" s="546" t="str">
        <f t="shared" si="19"/>
        <v>（含）-</v>
      </c>
      <c r="L79" s="546" t="str">
        <f t="shared" si="19"/>
        <v>（含）-</v>
      </c>
      <c r="M79" s="447" t="str">
        <f>M80&amp;"（含）"&amp;"-"&amp;P80</f>
        <v>（含）-</v>
      </c>
      <c r="N79" s="1152"/>
      <c r="O79" s="1152"/>
      <c r="P79" s="45"/>
      <c r="Q79" s="503"/>
    </row>
    <row r="80" spans="1:17" ht="15">
      <c r="A80" s="533"/>
      <c r="B80" s="547"/>
      <c r="C80" s="3408">
        <v>0</v>
      </c>
      <c r="D80" s="3408">
        <v>2</v>
      </c>
      <c r="E80" s="3408">
        <v>4</v>
      </c>
      <c r="F80" s="3408">
        <v>6</v>
      </c>
      <c r="G80" s="548"/>
      <c r="H80" s="548"/>
      <c r="I80" s="548"/>
      <c r="J80" s="548"/>
      <c r="K80" s="549"/>
      <c r="L80" s="550"/>
      <c r="M80" s="551"/>
      <c r="N80" s="1151"/>
      <c r="O80" s="1151"/>
      <c r="P80" s="45"/>
      <c r="Q80" s="503"/>
    </row>
    <row r="81" spans="1:17" ht="15.75" thickBot="1">
      <c r="A81" s="533"/>
      <c r="B81" s="534"/>
      <c r="C81" s="543">
        <v>100</v>
      </c>
      <c r="D81" s="543">
        <f t="shared" ref="D81:M81" si="20">IF($B$46="单位面积地价",C81+$K11,C81-$K11)</f>
        <v>99</v>
      </c>
      <c r="E81" s="543">
        <f t="shared" si="20"/>
        <v>98</v>
      </c>
      <c r="F81" s="543">
        <f t="shared" si="20"/>
        <v>97</v>
      </c>
      <c r="G81" s="543">
        <f t="shared" si="20"/>
        <v>96</v>
      </c>
      <c r="H81" s="543">
        <f t="shared" si="20"/>
        <v>95</v>
      </c>
      <c r="I81" s="543">
        <f t="shared" si="20"/>
        <v>94</v>
      </c>
      <c r="J81" s="543">
        <f t="shared" si="20"/>
        <v>93</v>
      </c>
      <c r="K81" s="543">
        <f t="shared" si="20"/>
        <v>92</v>
      </c>
      <c r="L81" s="543">
        <f t="shared" si="20"/>
        <v>91</v>
      </c>
      <c r="M81" s="543">
        <f t="shared" si="20"/>
        <v>90</v>
      </c>
      <c r="N81" s="1152"/>
      <c r="O81" s="1152"/>
      <c r="P81" s="45"/>
      <c r="Q81" s="503"/>
    </row>
    <row r="82" spans="1:17" s="470" customFormat="1" ht="15.75" thickTop="1">
      <c r="A82" s="552"/>
      <c r="B82" s="537" t="str">
        <f>B12</f>
        <v>商业自持</v>
      </c>
      <c r="C82" s="2968" t="s">
        <v>3205</v>
      </c>
      <c r="D82" s="2968" t="s">
        <v>3206</v>
      </c>
      <c r="E82" s="553"/>
      <c r="F82" s="553"/>
      <c r="G82" s="553"/>
      <c r="H82" s="554"/>
      <c r="I82" s="554"/>
      <c r="J82" s="554"/>
      <c r="K82" s="554"/>
      <c r="L82" s="555"/>
      <c r="M82" s="556"/>
      <c r="N82" s="1153"/>
      <c r="O82" s="1153"/>
      <c r="P82" s="557"/>
      <c r="Q82" s="558"/>
    </row>
    <row r="83" spans="1:17" s="470" customFormat="1" ht="15.75" thickBot="1">
      <c r="A83" s="552"/>
      <c r="B83" s="542"/>
      <c r="C83" s="559">
        <v>100</v>
      </c>
      <c r="D83" s="3391">
        <v>105</v>
      </c>
      <c r="E83" s="535"/>
      <c r="F83" s="535"/>
      <c r="G83" s="535"/>
      <c r="H83" s="535"/>
      <c r="I83" s="535"/>
      <c r="J83" s="535"/>
      <c r="K83" s="535"/>
      <c r="L83" s="535"/>
      <c r="M83" s="536"/>
      <c r="N83" s="1152"/>
      <c r="O83" s="1152"/>
      <c r="P83" s="557"/>
      <c r="Q83" s="558"/>
    </row>
    <row r="84" spans="1:17" s="470" customFormat="1" ht="15.75" hidden="1" thickTop="1">
      <c r="A84" s="552"/>
      <c r="B84" s="537">
        <f>B13</f>
        <v>0</v>
      </c>
      <c r="C84" s="553"/>
      <c r="D84" s="553"/>
      <c r="E84" s="553"/>
      <c r="F84" s="553"/>
      <c r="G84" s="553"/>
      <c r="H84" s="554"/>
      <c r="I84" s="554"/>
      <c r="J84" s="554"/>
      <c r="K84" s="554"/>
      <c r="L84" s="555"/>
      <c r="M84" s="556"/>
      <c r="N84" s="1153"/>
      <c r="O84" s="1153"/>
      <c r="P84" s="469"/>
      <c r="Q84" s="560"/>
    </row>
    <row r="85" spans="1:17" s="470" customFormat="1" ht="15.75" hidden="1" thickBot="1">
      <c r="A85" s="552"/>
      <c r="B85" s="542"/>
      <c r="C85" s="559"/>
      <c r="D85" s="559"/>
      <c r="E85" s="559"/>
      <c r="F85" s="559"/>
      <c r="G85" s="559"/>
      <c r="H85" s="561"/>
      <c r="I85" s="561"/>
      <c r="J85" s="561"/>
      <c r="K85" s="561"/>
      <c r="L85" s="561"/>
      <c r="M85" s="562"/>
      <c r="N85" s="1153"/>
      <c r="O85" s="1153"/>
      <c r="P85" s="557"/>
      <c r="Q85" s="558"/>
    </row>
    <row r="86" spans="1:17" s="470" customFormat="1" ht="15.75" hidden="1" thickTop="1">
      <c r="A86" s="552"/>
      <c r="B86" s="545">
        <f>B14</f>
        <v>0</v>
      </c>
      <c r="C86" s="522"/>
      <c r="D86" s="522"/>
      <c r="E86" s="522"/>
      <c r="F86" s="522"/>
      <c r="G86" s="522"/>
      <c r="H86" s="563"/>
      <c r="I86" s="563"/>
      <c r="J86" s="563"/>
      <c r="K86" s="563"/>
      <c r="L86" s="564"/>
      <c r="M86" s="565"/>
      <c r="N86" s="1153"/>
      <c r="O86" s="1153"/>
      <c r="P86" s="566"/>
      <c r="Q86" s="558"/>
    </row>
    <row r="87" spans="1:17" s="470" customFormat="1" ht="15.75" hidden="1" thickBot="1">
      <c r="A87" s="567"/>
      <c r="B87" s="568"/>
      <c r="C87" s="569"/>
      <c r="D87" s="569"/>
      <c r="E87" s="569"/>
      <c r="F87" s="569"/>
      <c r="G87" s="569"/>
      <c r="H87" s="570"/>
      <c r="I87" s="570"/>
      <c r="J87" s="570"/>
      <c r="K87" s="570"/>
      <c r="L87" s="570"/>
      <c r="M87" s="571"/>
      <c r="N87" s="1153"/>
      <c r="O87" s="1153"/>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1"/>
      <c r="O88" s="1151"/>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2"/>
      <c r="O89" s="1152"/>
      <c r="P89" s="45"/>
      <c r="Q89" s="503"/>
    </row>
    <row r="90" spans="1:17" ht="15.75" thickTop="1">
      <c r="A90" s="533"/>
      <c r="B90" s="537" t="s">
        <v>2775</v>
      </c>
      <c r="C90" s="577" t="s">
        <v>2589</v>
      </c>
      <c r="D90" s="577" t="s">
        <v>2590</v>
      </c>
      <c r="E90" s="577" t="s">
        <v>2591</v>
      </c>
      <c r="F90" s="577" t="s">
        <v>2592</v>
      </c>
      <c r="G90" s="577" t="s">
        <v>2593</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1"/>
      <c r="O92" s="1151"/>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52"/>
      <c r="O93" s="1152"/>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2776</v>
      </c>
      <c r="C96" s="577" t="s">
        <v>2589</v>
      </c>
      <c r="D96" s="577" t="s">
        <v>2590</v>
      </c>
      <c r="E96" s="577" t="s">
        <v>2591</v>
      </c>
      <c r="F96" s="577" t="s">
        <v>2592</v>
      </c>
      <c r="G96" s="577" t="s">
        <v>2593</v>
      </c>
      <c r="H96" s="577"/>
      <c r="I96" s="577"/>
      <c r="J96" s="577"/>
      <c r="K96" s="577"/>
      <c r="L96" s="697"/>
      <c r="M96" s="621"/>
      <c r="N96" s="1150"/>
      <c r="O96" s="1150"/>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2"/>
      <c r="O97" s="1152"/>
      <c r="P97" s="45"/>
      <c r="Q97" s="503"/>
    </row>
    <row r="98" spans="1:17" s="117" customFormat="1" ht="27.75" thickTop="1">
      <c r="A98" s="578"/>
      <c r="B98" s="537" t="s">
        <v>2777</v>
      </c>
      <c r="C98" s="572" t="s">
        <v>2589</v>
      </c>
      <c r="D98" s="572" t="s">
        <v>2590</v>
      </c>
      <c r="E98" s="572" t="s">
        <v>2591</v>
      </c>
      <c r="F98" s="572" t="s">
        <v>2592</v>
      </c>
      <c r="G98" s="572" t="s">
        <v>2593</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3"/>
      <c r="O100" s="1153"/>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3"/>
      <c r="O101" s="1153"/>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4"/>
      <c r="N102" s="1153"/>
      <c r="O102" s="1153"/>
      <c r="P102" s="557"/>
      <c r="Q102" s="558"/>
    </row>
    <row r="103" spans="1:17" s="470" customFormat="1" ht="15.75" thickBot="1">
      <c r="A103" s="552"/>
      <c r="B103" s="545"/>
      <c r="C103" s="543">
        <v>100</v>
      </c>
      <c r="D103" s="543">
        <f>C103-$K29</f>
        <v>97</v>
      </c>
      <c r="E103" s="543">
        <f>D103-$K29</f>
        <v>94</v>
      </c>
      <c r="F103" s="543">
        <f>E103-$K29</f>
        <v>91</v>
      </c>
      <c r="G103" s="543">
        <f>F103-$K29</f>
        <v>88</v>
      </c>
      <c r="H103" s="547"/>
      <c r="I103" s="547"/>
      <c r="J103" s="547"/>
      <c r="K103" s="547"/>
      <c r="L103" s="547"/>
      <c r="M103" s="1384"/>
      <c r="N103" s="1153"/>
      <c r="O103" s="1153"/>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1">D105-$K31</f>
        <v>98</v>
      </c>
      <c r="F105" s="543">
        <f t="shared" si="21"/>
        <v>97</v>
      </c>
      <c r="G105" s="543">
        <f t="shared" si="21"/>
        <v>96</v>
      </c>
      <c r="H105" s="543">
        <f t="shared" si="21"/>
        <v>95</v>
      </c>
      <c r="I105" s="543">
        <f t="shared" si="21"/>
        <v>94</v>
      </c>
      <c r="J105" s="543">
        <f t="shared" si="21"/>
        <v>93</v>
      </c>
      <c r="K105" s="543">
        <f t="shared" si="21"/>
        <v>92</v>
      </c>
      <c r="L105" s="543">
        <f t="shared" si="21"/>
        <v>91</v>
      </c>
      <c r="M105" s="543">
        <f t="shared" si="21"/>
        <v>90</v>
      </c>
      <c r="N105" s="1152"/>
      <c r="O105" s="1152"/>
      <c r="P105" s="45"/>
      <c r="Q105" s="503"/>
    </row>
    <row r="106" spans="1:17" ht="27.75" thickTop="1">
      <c r="A106" s="533"/>
      <c r="B106" s="537" t="s">
        <v>2683</v>
      </c>
      <c r="C106" s="2968" t="s">
        <v>3160</v>
      </c>
      <c r="D106" s="2968" t="s">
        <v>3161</v>
      </c>
      <c r="E106" s="2968" t="s">
        <v>3162</v>
      </c>
      <c r="F106" s="553"/>
      <c r="G106" s="553"/>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2">D107-$K32</f>
        <v>98</v>
      </c>
      <c r="F107" s="543">
        <f t="shared" si="22"/>
        <v>97</v>
      </c>
      <c r="G107" s="543">
        <f t="shared" si="22"/>
        <v>96</v>
      </c>
      <c r="H107" s="543">
        <f t="shared" si="22"/>
        <v>95</v>
      </c>
      <c r="I107" s="543">
        <f t="shared" si="22"/>
        <v>94</v>
      </c>
      <c r="J107" s="543">
        <f t="shared" si="22"/>
        <v>93</v>
      </c>
      <c r="K107" s="543">
        <f t="shared" si="22"/>
        <v>92</v>
      </c>
      <c r="L107" s="543">
        <f t="shared" si="22"/>
        <v>91</v>
      </c>
      <c r="M107" s="543">
        <f t="shared" si="22"/>
        <v>90</v>
      </c>
      <c r="N107" s="1152"/>
      <c r="O107" s="1152"/>
      <c r="P107" s="45"/>
      <c r="Q107" s="503"/>
    </row>
    <row r="108" spans="1:17" ht="15.75" thickTop="1">
      <c r="A108" s="533"/>
      <c r="B108" s="537" t="s">
        <v>2741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99</v>
      </c>
      <c r="E109" s="543">
        <f t="shared" ref="E109:M109" si="23">D109-$K34</f>
        <v>98</v>
      </c>
      <c r="F109" s="543">
        <f t="shared" si="23"/>
        <v>97</v>
      </c>
      <c r="G109" s="543">
        <f t="shared" si="23"/>
        <v>96</v>
      </c>
      <c r="H109" s="543">
        <f t="shared" si="23"/>
        <v>95</v>
      </c>
      <c r="I109" s="543">
        <f t="shared" si="23"/>
        <v>94</v>
      </c>
      <c r="J109" s="543">
        <f t="shared" si="23"/>
        <v>93</v>
      </c>
      <c r="K109" s="543">
        <f t="shared" si="23"/>
        <v>92</v>
      </c>
      <c r="L109" s="543">
        <f t="shared" si="23"/>
        <v>91</v>
      </c>
      <c r="M109" s="543">
        <f t="shared" si="23"/>
        <v>90</v>
      </c>
      <c r="N109" s="1152"/>
      <c r="O109" s="1152"/>
      <c r="P109" s="45"/>
      <c r="Q109" s="503"/>
    </row>
    <row r="110" spans="1:17" ht="15.75" hidden="1" thickTop="1">
      <c r="A110" s="533"/>
      <c r="B110" s="545">
        <f>B35</f>
        <v>0</v>
      </c>
      <c r="C110" s="553"/>
      <c r="D110" s="553"/>
      <c r="E110" s="553"/>
      <c r="F110" s="553"/>
      <c r="G110" s="586"/>
      <c r="H110" s="586"/>
      <c r="I110" s="586"/>
      <c r="J110" s="586"/>
      <c r="K110" s="587"/>
      <c r="L110" s="588"/>
      <c r="M110" s="589"/>
      <c r="N110" s="1151"/>
      <c r="O110" s="1151"/>
      <c r="P110" s="45"/>
      <c r="Q110" s="503"/>
    </row>
    <row r="111" spans="1:17" ht="15.75" hidden="1" thickBot="1">
      <c r="A111" s="533"/>
      <c r="B111" s="568"/>
      <c r="C111" s="559"/>
      <c r="D111" s="559"/>
      <c r="E111" s="559"/>
      <c r="F111" s="559"/>
      <c r="G111" s="590"/>
      <c r="H111" s="590"/>
      <c r="I111" s="590"/>
      <c r="J111" s="590"/>
      <c r="K111" s="590"/>
      <c r="L111" s="590"/>
      <c r="M111" s="591"/>
      <c r="N111" s="1152"/>
      <c r="O111" s="1152"/>
      <c r="P111" s="45"/>
      <c r="Q111" s="503"/>
    </row>
    <row r="112" spans="1:17" ht="15" hidden="1" thickTop="1">
      <c r="A112" s="674"/>
      <c r="B112" s="537">
        <f>B36</f>
        <v>0</v>
      </c>
      <c r="C112" s="522"/>
      <c r="D112" s="522"/>
      <c r="E112" s="522"/>
      <c r="F112" s="522"/>
      <c r="G112" s="582"/>
      <c r="H112" s="582"/>
      <c r="I112" s="582"/>
      <c r="J112" s="582"/>
      <c r="K112" s="583"/>
      <c r="L112" s="584"/>
      <c r="M112" s="585"/>
      <c r="N112" s="1151"/>
      <c r="O112" s="1151"/>
      <c r="P112" s="45"/>
      <c r="Q112" s="503"/>
    </row>
    <row r="113" spans="1:17" ht="15.75" hidden="1" thickBot="1">
      <c r="A113" s="533"/>
      <c r="B113" s="542"/>
      <c r="C113" s="569"/>
      <c r="D113" s="569"/>
      <c r="E113" s="569"/>
      <c r="F113" s="569"/>
      <c r="G113" s="535"/>
      <c r="H113" s="535"/>
      <c r="I113" s="535"/>
      <c r="J113" s="535"/>
      <c r="K113" s="535"/>
      <c r="L113" s="535"/>
      <c r="M113" s="536"/>
      <c r="N113" s="1152"/>
      <c r="O113" s="1152"/>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hidden="1" thickBot="1">
      <c r="A115" s="552"/>
      <c r="B115" s="545"/>
      <c r="C115" s="511"/>
      <c r="D115" s="676"/>
      <c r="E115" s="676"/>
      <c r="F115" s="676"/>
      <c r="G115" s="676"/>
      <c r="H115" s="676"/>
      <c r="I115" s="676"/>
      <c r="J115" s="676"/>
      <c r="K115" s="676"/>
      <c r="L115" s="676"/>
      <c r="M115" s="698"/>
      <c r="N115" s="1152"/>
      <c r="O115" s="1152"/>
      <c r="P115" s="557"/>
      <c r="Q115" s="558"/>
    </row>
    <row r="116" spans="1:17" ht="29.25" thickTop="1">
      <c r="A116" s="526" t="s">
        <v>2555</v>
      </c>
      <c r="B116" s="527" t="s">
        <v>2782</v>
      </c>
      <c r="C116" s="528" t="str">
        <f>C117&amp;"(含)"&amp;"-"&amp;D117</f>
        <v>0(含)-50000</v>
      </c>
      <c r="D116" s="528" t="str">
        <f t="shared" ref="D116:M116" si="24">D117&amp;"(含)"&amp;"-"&amp;E117</f>
        <v>50000(含)-100000</v>
      </c>
      <c r="E116" s="528" t="str">
        <f t="shared" si="24"/>
        <v>100000(含)-150000</v>
      </c>
      <c r="F116" s="528" t="str">
        <f t="shared" si="24"/>
        <v>150000(含)-200000</v>
      </c>
      <c r="G116" s="528" t="str">
        <f t="shared" si="24"/>
        <v>200000(含)-</v>
      </c>
      <c r="H116" s="528" t="str">
        <f t="shared" si="24"/>
        <v>(含)-</v>
      </c>
      <c r="I116" s="528" t="str">
        <f t="shared" si="24"/>
        <v>(含)-</v>
      </c>
      <c r="J116" s="528" t="str">
        <f t="shared" si="24"/>
        <v>(含)-</v>
      </c>
      <c r="K116" s="528" t="str">
        <f t="shared" si="24"/>
        <v>(含)-</v>
      </c>
      <c r="L116" s="528" t="str">
        <f t="shared" si="24"/>
        <v>(含)-</v>
      </c>
      <c r="M116" s="528" t="str">
        <f t="shared" si="24"/>
        <v>(含)-</v>
      </c>
      <c r="N116" s="1151"/>
      <c r="O116" s="1151"/>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51"/>
      <c r="O117" s="1151"/>
      <c r="P117" s="45"/>
      <c r="Q117" s="503"/>
    </row>
    <row r="118" spans="1:17" ht="15.75" thickBot="1">
      <c r="A118" s="533"/>
      <c r="B118" s="542"/>
      <c r="C118" s="569">
        <v>100</v>
      </c>
      <c r="D118" s="590">
        <f>C118+0.5</f>
        <v>100.5</v>
      </c>
      <c r="E118" s="590">
        <f t="shared" ref="E118:G118" si="25">D118+0.5</f>
        <v>101</v>
      </c>
      <c r="F118" s="590">
        <f t="shared" si="25"/>
        <v>101.5</v>
      </c>
      <c r="G118" s="590">
        <f t="shared" si="25"/>
        <v>102</v>
      </c>
      <c r="H118" s="590"/>
      <c r="I118" s="590"/>
      <c r="J118" s="590"/>
      <c r="K118" s="590"/>
      <c r="L118" s="590"/>
      <c r="M118" s="591"/>
      <c r="N118" s="1152"/>
      <c r="O118" s="1152"/>
      <c r="P118" s="45"/>
      <c r="Q118" s="503"/>
    </row>
    <row r="119" spans="1:17" ht="15" thickTop="1">
      <c r="A119" s="598"/>
      <c r="B119" s="537" t="s">
        <v>2783</v>
      </c>
      <c r="C119" s="2971" t="s">
        <v>3163</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2"/>
      <c r="O120" s="1152"/>
      <c r="P120" s="45"/>
      <c r="Q120" s="503"/>
    </row>
    <row r="121" spans="1:17" ht="15" thickTop="1">
      <c r="A121" s="598"/>
      <c r="B121" s="537" t="s">
        <v>2784</v>
      </c>
      <c r="C121" s="2968" t="s">
        <v>3164</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2785</v>
      </c>
      <c r="C123" s="2972" t="s">
        <v>3165</v>
      </c>
      <c r="D123" s="2972" t="s">
        <v>3166</v>
      </c>
      <c r="E123" s="2972" t="s">
        <v>3167</v>
      </c>
      <c r="F123" s="2972" t="s">
        <v>3168</v>
      </c>
      <c r="G123" s="2972" t="s">
        <v>3169</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2786</v>
      </c>
      <c r="C125" s="2968" t="s">
        <v>3170</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8" sqref="M18"/>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9.5"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2454</v>
      </c>
      <c r="B1" s="1580"/>
      <c r="C1" s="1581"/>
      <c r="D1" s="1579"/>
      <c r="E1" s="319"/>
      <c r="F1" s="319"/>
      <c r="G1" s="1580"/>
      <c r="H1" s="319"/>
      <c r="I1" s="319"/>
      <c r="J1" s="319"/>
      <c r="K1" s="319">
        <f>MATCH(C1,'数据-取费表'!A6:A16,0)+5</f>
        <v>10</v>
      </c>
    </row>
    <row r="2" spans="1:33" ht="18" customHeight="1">
      <c r="A2" s="244" t="s">
        <v>2322</v>
      </c>
      <c r="B2" s="247">
        <f ca="1">C32</f>
        <v>152655</v>
      </c>
      <c r="C2" s="319" t="s">
        <v>2455</v>
      </c>
      <c r="D2" s="319"/>
      <c r="E2" s="319"/>
      <c r="F2" s="319"/>
      <c r="G2" s="319"/>
      <c r="H2" s="319"/>
      <c r="I2" s="319"/>
      <c r="J2" s="319"/>
      <c r="K2" s="319"/>
    </row>
    <row r="3" spans="1:33" ht="18" customHeight="1" thickBot="1">
      <c r="A3" s="246" t="s">
        <v>2324</v>
      </c>
      <c r="B3" s="247">
        <f ca="1">ROUND(B2*10000/IF(C1="",'数据-汇总表'!E3,INDIRECT("'数据-取费表'!K"&amp;$K$1)),0)</f>
        <v>20667</v>
      </c>
      <c r="C3" s="319" t="s">
        <v>2456</v>
      </c>
      <c r="D3" s="319"/>
      <c r="E3" s="319"/>
      <c r="F3" s="319"/>
      <c r="G3" s="319"/>
      <c r="H3" s="319"/>
      <c r="I3" s="319"/>
      <c r="J3" s="319"/>
      <c r="K3" s="319"/>
    </row>
    <row r="4" spans="1:33" s="955" customFormat="1" ht="16.5" customHeight="1">
      <c r="A4" s="952" t="s">
        <v>2457</v>
      </c>
      <c r="B4" s="953"/>
      <c r="C4" s="995">
        <f ca="1">SUM(C8:K8)</f>
        <v>179268</v>
      </c>
      <c r="D4" s="953"/>
      <c r="E4" s="953"/>
      <c r="F4" s="953"/>
      <c r="G4" s="953"/>
      <c r="H4" s="953"/>
      <c r="I4" s="953"/>
      <c r="J4" s="953"/>
      <c r="K4" s="954"/>
    </row>
    <row r="5" spans="1:33" s="959" customFormat="1" ht="51">
      <c r="A5" s="956" t="s">
        <v>2458</v>
      </c>
      <c r="B5" s="957" t="s">
        <v>2459</v>
      </c>
      <c r="C5" s="2551" t="s">
        <v>3106</v>
      </c>
      <c r="D5" s="2551" t="s">
        <v>4854</v>
      </c>
      <c r="E5" s="2551" t="s">
        <v>4856</v>
      </c>
      <c r="F5" s="2551" t="s">
        <v>4864</v>
      </c>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2460</v>
      </c>
      <c r="C6" s="3403">
        <f ca="1">商业收益法!B3</f>
        <v>28764</v>
      </c>
      <c r="D6" s="3403">
        <f>精装公寓比较法!B3</f>
        <v>25352</v>
      </c>
      <c r="E6" s="3403">
        <f>简装公寓比较法!B3</f>
        <v>24377</v>
      </c>
      <c r="F6" s="961">
        <f ca="1">办公收益法!B3</f>
        <v>22131</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39" t="s">
        <v>2462</v>
      </c>
      <c r="C7" s="320">
        <f>SUMIF('数据-汇总表'!$C19:$C33,假设开发法!C5,'数据-汇总表'!$E19:$E33)</f>
        <v>10500.04</v>
      </c>
      <c r="D7" s="320">
        <f>SUMIF('数据-汇总表'!$C19:$C33,假设开发法!D5,'数据-汇总表'!$E19:$E33)</f>
        <v>13722.48</v>
      </c>
      <c r="E7" s="320">
        <f>SUMIF('数据-汇总表'!$C19:$C33,假设开发法!E5,'数据-汇总表'!$E19:$E33)</f>
        <v>19639.79</v>
      </c>
      <c r="F7" s="320">
        <f>SUMIF('数据-汇总表'!$C19:$C33,假设开发法!F5,'数据-汇总表'!$E19:$E33)</f>
        <v>30003.56</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2463</v>
      </c>
      <c r="B8" s="176" t="s">
        <v>2464</v>
      </c>
      <c r="C8" s="996">
        <f ca="1">商业收益法!B2</f>
        <v>30202</v>
      </c>
      <c r="D8" s="996">
        <f>精装公寓比较法!B2</f>
        <v>34789</v>
      </c>
      <c r="E8" s="996">
        <f>简装公寓比较法!B2</f>
        <v>47876</v>
      </c>
      <c r="F8" s="997">
        <f ca="1">办公收益法!B2</f>
        <v>66401</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1334</v>
      </c>
      <c r="B11" s="971" t="s">
        <v>2472</v>
      </c>
      <c r="C11" s="322">
        <f ca="1">IF(C1="",'数据-取费表'!P16,INDIRECT("'数据-取费表'!p"&amp;$K$1)+INDIRECT("'数据-取费表'!ar"&amp;$K$1))</f>
        <v>6178</v>
      </c>
      <c r="D11" s="972"/>
      <c r="E11" s="374"/>
      <c r="F11" s="973">
        <f ca="1">1-IF('数据-取费表'!B24=0,1,IF(C1="",'数据-取费表'!N16,INDIRECT("'数据-取费表'!n"&amp;$K$1)))</f>
        <v>0.27300000000000002</v>
      </c>
      <c r="G11" s="8"/>
      <c r="H11" s="967"/>
      <c r="I11" s="967"/>
      <c r="J11" s="967"/>
      <c r="K11" s="968"/>
    </row>
    <row r="12" spans="1:33" s="974" customFormat="1" ht="13.5" customHeight="1">
      <c r="A12" s="970" t="s">
        <v>1335</v>
      </c>
      <c r="B12" s="971" t="s">
        <v>2473</v>
      </c>
      <c r="C12" s="24">
        <f ca="1">ROUND(C11*F12,0)</f>
        <v>185</v>
      </c>
      <c r="D12" s="972"/>
      <c r="E12" s="374"/>
      <c r="F12" s="975">
        <f>'数据-取费表'!B33</f>
        <v>0.03</v>
      </c>
      <c r="G12" s="8" t="s">
        <v>2474</v>
      </c>
      <c r="H12" s="967"/>
      <c r="I12" s="967"/>
      <c r="J12" s="967"/>
      <c r="K12" s="968"/>
    </row>
    <row r="13" spans="1:33" s="974" customFormat="1" ht="13.5" customHeight="1">
      <c r="A13" s="970" t="s">
        <v>1336</v>
      </c>
      <c r="B13" s="971" t="s">
        <v>2475</v>
      </c>
      <c r="C13" s="24">
        <f ca="1">ROUND(IF(C1="",SUMIF('数据-取费表'!C:C,"住宅",'数据-取费表'!P:P)*F13,IF(INDIRECT("'数据-取费表'!c"&amp;$K$1)="住宅",INDIRECT("'数据-取费表'!P"&amp;$K$1)*F13,0)),0)</f>
        <v>0</v>
      </c>
      <c r="D13" s="1032"/>
      <c r="E13" s="374"/>
      <c r="F13" s="975">
        <f>'数据-取费表'!B34</f>
        <v>0</v>
      </c>
      <c r="G13" s="8" t="s">
        <v>2476</v>
      </c>
      <c r="H13" s="967"/>
      <c r="I13" s="967"/>
      <c r="J13" s="967"/>
      <c r="K13" s="968"/>
    </row>
    <row r="14" spans="1:33" s="976" customFormat="1" ht="13.5" customHeight="1">
      <c r="A14" s="970" t="s">
        <v>1337</v>
      </c>
      <c r="B14" s="971" t="s">
        <v>2477</v>
      </c>
      <c r="C14" s="24">
        <f ca="1">ROUND(D14*E14*F11/10000,0)</f>
        <v>403</v>
      </c>
      <c r="D14" s="1032">
        <f ca="1">IF(C1="",'数据-汇总表'!E3,INDIRECT("'数据-取费表'!K"&amp;$K$1)+INDIRECT("'数据-取费表'!S"&amp;$K$1))</f>
        <v>73865.87</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2479</v>
      </c>
      <c r="C15" s="982">
        <f ca="1">ROUND(C11*F15,0)</f>
        <v>93</v>
      </c>
      <c r="D15" s="977"/>
      <c r="E15" s="982"/>
      <c r="F15" s="983">
        <f>'数据-取费表'!B36</f>
        <v>1.4999999999999999E-2</v>
      </c>
      <c r="G15" s="139"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6859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73865.87</v>
      </c>
      <c r="E17" s="24">
        <f>'数据-取费表'!B32</f>
        <v>0</v>
      </c>
      <c r="F17" s="977"/>
      <c r="G17" s="139" t="s">
        <v>2483</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2484</v>
      </c>
      <c r="C18" s="24">
        <f ca="1">C19+C20-IF(C1="",'数据-取费表'!B29,IF(G18="已全部缴纳",C19+C20,H18))</f>
        <v>0</v>
      </c>
      <c r="D18" s="1032"/>
      <c r="E18" s="24"/>
      <c r="F18" s="975"/>
      <c r="G18" s="2553" t="s">
        <v>4867</v>
      </c>
      <c r="H18" s="1576"/>
      <c r="I18" s="2554" t="s">
        <v>2485</v>
      </c>
      <c r="J18" s="978"/>
      <c r="K18" s="979"/>
    </row>
    <row r="19" spans="1:33" s="974" customFormat="1" ht="13.5" customHeight="1">
      <c r="A19" s="970" t="s">
        <v>805</v>
      </c>
      <c r="B19" s="971" t="s">
        <v>2486</v>
      </c>
      <c r="C19" s="24">
        <f ca="1">ROUND(D19*E19/10000,0)</f>
        <v>0</v>
      </c>
      <c r="D19" s="1032">
        <f ca="1">IF(C1="",'数据-汇总表'!E5,IF(INDIRECT("'数据-取费表'!c"&amp;$K$1)="住宅",INDIRECT("'数据-取费表'!k"&amp;$K$1),0))</f>
        <v>0</v>
      </c>
      <c r="E19" s="24">
        <f>'数据-取费表'!B27</f>
        <v>83</v>
      </c>
      <c r="F19" s="975"/>
      <c r="G19" s="15"/>
      <c r="H19" s="1578"/>
      <c r="I19" s="980"/>
      <c r="J19" s="980"/>
      <c r="K19" s="981"/>
    </row>
    <row r="20" spans="1:33" s="974" customFormat="1" ht="13.5" customHeight="1">
      <c r="A20" s="970" t="s">
        <v>806</v>
      </c>
      <c r="B20" s="971" t="s">
        <v>2487</v>
      </c>
      <c r="C20" s="24">
        <f ca="1">ROUND(D20*E20/10000,0)</f>
        <v>613</v>
      </c>
      <c r="D20" s="1032">
        <f ca="1">IF(C1="",'数据-汇总表'!E6,IF(INDIRECT("'数据-取费表'!c"&amp;$K$1)="住宅",INDIRECT("'数据-取费表'!s"&amp;$K$1),INDIRECT("'数据-取费表'!k"&amp;$K$1)+INDIRECT("'数据-取费表'!s"&amp;$K$1)))</f>
        <v>73865.87</v>
      </c>
      <c r="E20" s="24">
        <f>'数据-取费表'!B28</f>
        <v>83</v>
      </c>
      <c r="F20" s="975"/>
      <c r="G20" s="15"/>
      <c r="H20" s="980"/>
      <c r="I20" s="980"/>
      <c r="J20" s="980"/>
      <c r="K20" s="981"/>
    </row>
    <row r="21" spans="1:33" s="974" customFormat="1" ht="13.5" customHeight="1">
      <c r="A21" s="960" t="s">
        <v>802</v>
      </c>
      <c r="B21" s="984" t="s">
        <v>2488</v>
      </c>
      <c r="C21" s="985">
        <f ca="1">C16+C17+C18</f>
        <v>6859</v>
      </c>
      <c r="D21" s="986"/>
      <c r="E21" s="324"/>
      <c r="F21" s="324"/>
      <c r="G21" s="139" t="s">
        <v>2489</v>
      </c>
      <c r="H21" s="978"/>
      <c r="I21" s="978"/>
      <c r="J21" s="978"/>
      <c r="K21" s="979"/>
    </row>
    <row r="22" spans="1:33" s="974" customFormat="1" ht="13.5" customHeight="1">
      <c r="A22" s="960" t="s">
        <v>2461</v>
      </c>
      <c r="B22" s="984" t="s">
        <v>2490</v>
      </c>
      <c r="C22" s="985">
        <f ca="1">ROUND(C21*F22,0)</f>
        <v>137</v>
      </c>
      <c r="D22" s="324"/>
      <c r="E22" s="324"/>
      <c r="F22" s="987">
        <f>'数据-取费表'!B37</f>
        <v>0.02</v>
      </c>
      <c r="G22" s="8" t="s">
        <v>2491</v>
      </c>
      <c r="H22" s="967"/>
      <c r="I22" s="967"/>
      <c r="J22" s="967"/>
      <c r="K22" s="968"/>
    </row>
    <row r="23" spans="1:33" s="974" customFormat="1" ht="13.5" customHeight="1">
      <c r="A23" s="960" t="s">
        <v>2463</v>
      </c>
      <c r="B23" s="984" t="s">
        <v>2492</v>
      </c>
      <c r="C23" s="985">
        <f ca="1">ROUND(C4*F23*F11,0)</f>
        <v>1468</v>
      </c>
      <c r="D23" s="324"/>
      <c r="E23" s="324"/>
      <c r="F23" s="987">
        <f>'数据-取费表'!B38</f>
        <v>0.03</v>
      </c>
      <c r="G23" s="8" t="s">
        <v>2493</v>
      </c>
      <c r="H23" s="967"/>
      <c r="I23" s="967"/>
      <c r="J23" s="967"/>
      <c r="K23" s="968"/>
    </row>
    <row r="24" spans="1:33" s="974" customFormat="1" ht="13.5" customHeight="1">
      <c r="A24" s="960" t="s">
        <v>2494</v>
      </c>
      <c r="B24" s="984" t="s">
        <v>2495</v>
      </c>
      <c r="C24" s="323">
        <f>ROUND(F24/(1+'数据-取费表'!C42),4)</f>
        <v>2.9000000000000001E-2</v>
      </c>
      <c r="D24" s="324" t="s">
        <v>15</v>
      </c>
      <c r="E24" s="324"/>
      <c r="F24" s="987">
        <f>'数据-取费表'!B48+'数据-取费表'!B49</f>
        <v>3.0499999999999999E-2</v>
      </c>
      <c r="G24" s="8" t="s">
        <v>2496</v>
      </c>
      <c r="H24" s="989"/>
      <c r="I24" s="989"/>
      <c r="J24" s="989"/>
      <c r="K24" s="990"/>
    </row>
    <row r="25" spans="1:33" s="974" customFormat="1" ht="13.5" customHeight="1">
      <c r="A25" s="960" t="s">
        <v>2497</v>
      </c>
      <c r="B25" s="986" t="s">
        <v>2498</v>
      </c>
      <c r="C25" s="1355">
        <f ca="1">C27</f>
        <v>39</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6">
        <f ca="1">ROUND(IF('数据-取费表'!B22&lt;=1,(1+C24)*F25*'数据-取费表'!B24,(1+C24)*(POWER((1+F25),'数据-取费表'!B24)-1)),4)</f>
        <v>9.5999999999999992E-3</v>
      </c>
      <c r="D26" s="327"/>
      <c r="E26" s="328"/>
      <c r="F26" s="329"/>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7">
        <f ca="1">ROUND(IF('数据-取费表'!B22&lt;=1,(C21+C22+C23)*F25*'数据-取费表'!B24/2,(C21+C22+C23)*(POWER((1+F25),'数据-取费表'!B24/2)-1)),0)</f>
        <v>39</v>
      </c>
      <c r="D27" s="327"/>
      <c r="E27" s="328"/>
      <c r="F27" s="329"/>
      <c r="G27" s="2555" t="str">
        <f>IF('数据-取费表'!B22&lt;=1,"（1）-（3）项×年利率×建设期÷2","（1）-（3）项×((1+年利率)^(建设期÷2)-1)")</f>
        <v>（1）-（3）项×((1+年利率)^(建设期÷2)-1)</v>
      </c>
      <c r="H27" s="978"/>
      <c r="I27" s="978"/>
      <c r="J27" s="978"/>
      <c r="K27" s="979"/>
    </row>
    <row r="28" spans="1:33" s="332" customFormat="1" ht="13.5" customHeight="1">
      <c r="A28" s="960" t="s">
        <v>2501</v>
      </c>
      <c r="B28" s="2556" t="s">
        <v>2502</v>
      </c>
      <c r="C28" s="330">
        <f ca="1">C30</f>
        <v>931</v>
      </c>
      <c r="D28" s="323">
        <f ca="1">C29</f>
        <v>1.1299999999999999E-2</v>
      </c>
      <c r="E28" s="325" t="s">
        <v>15</v>
      </c>
      <c r="F28" s="331">
        <f ca="1">IF(C1="",'数据-取费表'!Q16,INDIRECT("'数据-取费表'!q"&amp;$K$1))</f>
        <v>0.11</v>
      </c>
      <c r="G28" s="988"/>
      <c r="H28" s="989"/>
      <c r="I28" s="989"/>
      <c r="J28" s="989"/>
      <c r="K28" s="990"/>
    </row>
    <row r="29" spans="1:33" s="334" customFormat="1" ht="13.5" customHeight="1">
      <c r="A29" s="970" t="s">
        <v>803</v>
      </c>
      <c r="B29" s="993" t="s">
        <v>2503</v>
      </c>
      <c r="C29" s="327">
        <f ca="1">ROUND((1+C24)*F28*'数据-取费表'!B24/'数据-取费表'!B20,4)</f>
        <v>1.1299999999999999E-2</v>
      </c>
      <c r="D29" s="327"/>
      <c r="E29" s="328"/>
      <c r="F29" s="333"/>
      <c r="G29" s="139" t="s">
        <v>2504</v>
      </c>
      <c r="H29" s="978"/>
      <c r="I29" s="978"/>
      <c r="J29" s="978"/>
      <c r="K29" s="979"/>
    </row>
    <row r="30" spans="1:33" s="334" customFormat="1" ht="13.5" customHeight="1">
      <c r="A30" s="970" t="s">
        <v>804</v>
      </c>
      <c r="B30" s="993" t="s">
        <v>2505</v>
      </c>
      <c r="C30" s="335">
        <f ca="1">ROUND((C21+C22+C23)*F28,0)</f>
        <v>931</v>
      </c>
      <c r="D30" s="327"/>
      <c r="E30" s="328"/>
      <c r="F30" s="333"/>
      <c r="G30" s="139"/>
      <c r="H30" s="978"/>
      <c r="I30" s="978"/>
      <c r="J30" s="978"/>
      <c r="K30" s="979"/>
    </row>
    <row r="31" spans="1:33" s="974" customFormat="1" ht="13.5" customHeight="1" thickBot="1">
      <c r="A31" s="2557" t="s">
        <v>2506</v>
      </c>
      <c r="B31" s="1004" t="s">
        <v>2507</v>
      </c>
      <c r="C31" s="1005">
        <f ca="1">ROUND(C4*F31/(1+'数据-取费表'!C42),0)</f>
        <v>9561</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152655</v>
      </c>
      <c r="D32" s="1000"/>
      <c r="E32" s="1000"/>
      <c r="F32" s="1000"/>
      <c r="G32" s="1002" t="s">
        <v>2510</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广东粤财信托有限公司：</v>
      </c>
    </row>
    <row r="4" spans="1:1" ht="36">
      <c r="A4" s="1947" t="str">
        <f>"受贵公司委托，我公司对"&amp;项目基本情况!S1&amp;"进行了预评估。"</f>
        <v>受贵公司委托，我公司对广东省广州市天河区元岗路粤隆客车厂地块1、地块2出让国有建设用地使用权及在建建筑物房地产抵押价值进行了预评估。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元岗路粤隆客车厂地块1、地块2出让国有建设用地使用权及在建建筑物房地产，为广州市远翔房地产开发有限公司所有。根据《国有土地使用证》[]，估价对象（分摊）出让国有建设用地使用权面积为11089.73平方米，建筑面积为73865.87平方米。</v>
      </c>
    </row>
    <row r="8" spans="1:1" ht="57.75">
      <c r="A8" s="1950" t="s">
        <v>1614</v>
      </c>
    </row>
    <row r="9" spans="1:1" ht="18.75">
      <c r="A9" s="1949" t="s">
        <v>1615</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元岗路粤隆客车厂地块1、地块2出让国有建设用地使用权及在建建筑物房地产,属广州市远翔房地产开发有限公司开发建设的，该项目尚在开发建设中。根据《国有土地使用证》[]，估价对象（分摊）出让国有建设用地使用权面积为11089.73平方米，规划建筑面积为73865.87平方米。</v>
      </c>
    </row>
    <row r="11" spans="1:1" ht="76.5">
      <c r="A11" s="1950" t="s">
        <v>1616</v>
      </c>
    </row>
    <row r="12" spans="1:1" ht="18.75">
      <c r="A12" s="1948" t="s">
        <v>1617</v>
      </c>
    </row>
    <row r="13" spans="1:1" ht="38.25" customHeight="1">
      <c r="A13" s="1951" t="str">
        <f>IF(项目基本情况!B8="抵押",IF(项目基本情况!B5=项目基本情况!B6,定义!C51,定义!B51),定义!D51)</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2018年8月9日（评估专业人员实地查勘之日）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住宅67.01年、商业36.99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67.01年、商业36.99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7" zoomScale="90" zoomScaleNormal="90" workbookViewId="0">
      <selection activeCell="M40" sqref="M4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579" t="s">
        <v>2521</v>
      </c>
      <c r="C1" s="1633" t="s">
        <v>2522</v>
      </c>
      <c r="D1" s="3008" t="s">
        <v>4854</v>
      </c>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2" customFormat="1" ht="28.5" customHeight="1" thickTop="1">
      <c r="A2" s="1616" t="s">
        <v>1394</v>
      </c>
      <c r="B2" s="1417">
        <f>IF(C2="——",ROUND(C49*D3/10000,0),ROUND(C49*D3/10000,0)-D2)</f>
        <v>34789</v>
      </c>
      <c r="C2" s="2583" t="s">
        <v>70</v>
      </c>
      <c r="D2" s="1364" t="e">
        <f ca="1">SUMIF(INDIRECT("'"&amp;F2&amp;"'"&amp;"!A:A"),"承租人权益价值",INDIRECT("'"&amp;F2&amp;"'"&amp;"!c:c"))</f>
        <v>#REF!</v>
      </c>
      <c r="E2" s="2584" t="s">
        <v>2323</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25352</v>
      </c>
      <c r="C3" s="399" t="s">
        <v>2526</v>
      </c>
      <c r="D3" s="398">
        <f>IF(D1="",'数据-汇总表'!E3,SUMIF('数据-汇总表'!$C19:$C33,D1,'数据-汇总表'!$E19:$E33))</f>
        <v>13722.48</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0" t="s">
        <v>2527</v>
      </c>
      <c r="B4" s="401"/>
      <c r="C4" s="3269" t="s">
        <v>2528</v>
      </c>
      <c r="D4" s="3270"/>
      <c r="E4" s="3271" t="s">
        <v>2529</v>
      </c>
      <c r="F4" s="3272"/>
      <c r="G4" s="3269" t="s">
        <v>2530</v>
      </c>
      <c r="H4" s="3270"/>
      <c r="I4" s="3269" t="s">
        <v>2531</v>
      </c>
      <c r="J4" s="3270"/>
      <c r="K4" s="2593" t="s">
        <v>2532</v>
      </c>
      <c r="L4" s="1129"/>
      <c r="M4" s="1130"/>
      <c r="N4" s="1130"/>
      <c r="O4" s="1130"/>
      <c r="P4" s="3273" t="s">
        <v>2533</v>
      </c>
      <c r="Q4" s="3274"/>
      <c r="R4" s="3254" t="s">
        <v>2529</v>
      </c>
      <c r="S4" s="3255"/>
      <c r="T4" s="3254" t="s">
        <v>2530</v>
      </c>
      <c r="U4" s="3255"/>
      <c r="V4" s="3281" t="s">
        <v>2531</v>
      </c>
      <c r="W4" s="3281"/>
      <c r="X4" s="2996"/>
      <c r="Y4" s="3254" t="s">
        <v>2533</v>
      </c>
      <c r="Z4" s="3255"/>
      <c r="AA4" s="3249" t="s">
        <v>2529</v>
      </c>
      <c r="AB4" s="3249" t="s">
        <v>2530</v>
      </c>
      <c r="AC4" s="3249" t="s">
        <v>2531</v>
      </c>
    </row>
    <row r="5" spans="1:29" ht="15">
      <c r="A5" s="403"/>
      <c r="B5" s="404"/>
      <c r="C5" s="3260" t="s">
        <v>2534</v>
      </c>
      <c r="D5" s="3261"/>
      <c r="E5" s="3258" t="s">
        <v>3220</v>
      </c>
      <c r="F5" s="3259"/>
      <c r="G5" s="3264" t="s">
        <v>3221</v>
      </c>
      <c r="H5" s="3261"/>
      <c r="I5" s="3264" t="s">
        <v>3158</v>
      </c>
      <c r="J5" s="3261"/>
      <c r="K5" s="2594"/>
      <c r="L5" s="1129"/>
      <c r="M5" s="1130"/>
      <c r="N5" s="1130"/>
      <c r="O5" s="1130"/>
      <c r="P5" s="3275"/>
      <c r="Q5" s="3276"/>
      <c r="R5" s="3256"/>
      <c r="S5" s="3257"/>
      <c r="T5" s="3256"/>
      <c r="U5" s="3257"/>
      <c r="V5" s="3281"/>
      <c r="W5" s="3281"/>
      <c r="X5" s="2996"/>
      <c r="Y5" s="3256"/>
      <c r="Z5" s="3257"/>
      <c r="AA5" s="3250"/>
      <c r="AB5" s="3250"/>
      <c r="AC5" s="3250"/>
    </row>
    <row r="6" spans="1:29" ht="15.75" thickBot="1">
      <c r="A6" s="405"/>
      <c r="B6" s="406"/>
      <c r="C6" s="3262" t="s">
        <v>2538</v>
      </c>
      <c r="D6" s="3263"/>
      <c r="E6" s="3294" t="s">
        <v>2538</v>
      </c>
      <c r="F6" s="3266"/>
      <c r="G6" s="3262" t="s">
        <v>2538</v>
      </c>
      <c r="H6" s="3263"/>
      <c r="I6" s="3262" t="s">
        <v>2538</v>
      </c>
      <c r="J6" s="3263"/>
      <c r="K6" s="2594" t="s">
        <v>2539</v>
      </c>
      <c r="L6" s="1129"/>
      <c r="M6" s="1130"/>
      <c r="N6" s="1130"/>
      <c r="O6" s="1130"/>
      <c r="P6" s="3277"/>
      <c r="Q6" s="3278"/>
      <c r="R6" s="3256"/>
      <c r="S6" s="3257"/>
      <c r="T6" s="3279"/>
      <c r="U6" s="3280"/>
      <c r="V6" s="3281"/>
      <c r="W6" s="3281"/>
      <c r="X6" s="2996"/>
      <c r="Y6" s="3279"/>
      <c r="Z6" s="3280"/>
      <c r="AA6" s="3251"/>
      <c r="AB6" s="3251"/>
      <c r="AC6" s="3251"/>
    </row>
    <row r="7" spans="1:29" s="117" customFormat="1" ht="15.75" thickBot="1">
      <c r="A7" s="407" t="s">
        <v>2540</v>
      </c>
      <c r="B7" s="408"/>
      <c r="C7" s="409">
        <f>'数据-取费表'!B2</f>
        <v>43321</v>
      </c>
      <c r="D7" s="410">
        <v>100</v>
      </c>
      <c r="E7" s="411">
        <v>43321</v>
      </c>
      <c r="F7" s="412">
        <f>SUMIF(58:58,YEAR(E7)&amp;"-"&amp;MONTH(E7),59:59)</f>
        <v>100</v>
      </c>
      <c r="G7" s="411">
        <v>43321</v>
      </c>
      <c r="H7" s="410">
        <f>SUMIF(58:58,YEAR(G7)&amp;"-"&amp;MONTH(G7),59:59)</f>
        <v>100</v>
      </c>
      <c r="I7" s="411">
        <v>43321</v>
      </c>
      <c r="J7" s="410">
        <f>SUMIF(58:58,YEAR(I7)&amp;"-"&amp;MONTH(I7),59:59)</f>
        <v>100</v>
      </c>
      <c r="K7" s="2595"/>
      <c r="L7" s="1131"/>
      <c r="M7" s="1132"/>
      <c r="N7" s="1132"/>
      <c r="O7" s="1132"/>
      <c r="P7" s="3252" t="s">
        <v>2541</v>
      </c>
      <c r="Q7" s="3282"/>
      <c r="R7" s="768" t="s">
        <v>23</v>
      </c>
      <c r="S7" s="769">
        <f t="shared" ref="S7:S15" si="0">F7</f>
        <v>100</v>
      </c>
      <c r="T7" s="768" t="s">
        <v>23</v>
      </c>
      <c r="U7" s="769">
        <f t="shared" ref="U7:U15" si="1">H7</f>
        <v>100</v>
      </c>
      <c r="V7" s="768" t="s">
        <v>23</v>
      </c>
      <c r="W7" s="769">
        <f t="shared" ref="W7:W15" si="2">J7</f>
        <v>100</v>
      </c>
      <c r="X7" s="770"/>
      <c r="Y7" s="3252" t="s">
        <v>2541</v>
      </c>
      <c r="Z7" s="3253"/>
      <c r="AA7" s="771">
        <f>D7/F7</f>
        <v>1</v>
      </c>
      <c r="AB7" s="771">
        <f>D7/H7</f>
        <v>1</v>
      </c>
      <c r="AC7" s="771">
        <f>D7/J7</f>
        <v>1</v>
      </c>
    </row>
    <row r="8" spans="1:29" s="117" customFormat="1" ht="15.75" thickBot="1">
      <c r="A8" s="407" t="s">
        <v>2542</v>
      </c>
      <c r="B8" s="408"/>
      <c r="C8" s="413" t="s">
        <v>2543</v>
      </c>
      <c r="D8" s="410">
        <v>100</v>
      </c>
      <c r="E8" s="2596" t="s">
        <v>3115</v>
      </c>
      <c r="F8" s="412">
        <f>SUMIF(61:61,E8,62:62)-SUMIF(61:61,C8,62:62)+100</f>
        <v>100</v>
      </c>
      <c r="G8" s="413" t="s">
        <v>3115</v>
      </c>
      <c r="H8" s="410">
        <f>SUMIF(61:61,G8,62:62)-SUMIF(61:61,C8,62:62)+100</f>
        <v>100</v>
      </c>
      <c r="I8" s="2596" t="s">
        <v>3115</v>
      </c>
      <c r="J8" s="410">
        <f>SUMIF(61:61,I8,62:62)-SUMIF(61:61,C8,62:62)+100</f>
        <v>100</v>
      </c>
      <c r="K8" s="2595"/>
      <c r="L8" s="1131"/>
      <c r="M8" s="1132"/>
      <c r="N8" s="1132"/>
      <c r="O8" s="1132"/>
      <c r="P8" s="3252" t="s">
        <v>2544</v>
      </c>
      <c r="Q8" s="3253"/>
      <c r="R8" s="768" t="s">
        <v>23</v>
      </c>
      <c r="S8" s="769">
        <f t="shared" si="0"/>
        <v>100</v>
      </c>
      <c r="T8" s="768" t="s">
        <v>23</v>
      </c>
      <c r="U8" s="769">
        <f t="shared" si="1"/>
        <v>100</v>
      </c>
      <c r="V8" s="768" t="s">
        <v>23</v>
      </c>
      <c r="W8" s="769">
        <f t="shared" si="2"/>
        <v>100</v>
      </c>
      <c r="X8" s="770"/>
      <c r="Y8" s="3252" t="s">
        <v>2544</v>
      </c>
      <c r="Z8" s="3253"/>
      <c r="AA8" s="771">
        <f t="shared" ref="AA8:AA19" si="3">D8/F8</f>
        <v>1</v>
      </c>
      <c r="AB8" s="771">
        <f t="shared" ref="AB8:AB19" si="4">D8/H8</f>
        <v>1</v>
      </c>
      <c r="AC8" s="771">
        <f t="shared" ref="AC8:AC19" si="5">D8/J8</f>
        <v>1</v>
      </c>
    </row>
    <row r="9" spans="1:29" s="117" customFormat="1">
      <c r="A9" s="414" t="s">
        <v>2545</v>
      </c>
      <c r="B9" s="71" t="s">
        <v>2546</v>
      </c>
      <c r="C9" s="2962" t="s">
        <v>3120</v>
      </c>
      <c r="D9" s="134">
        <v>100</v>
      </c>
      <c r="E9" s="2963" t="s">
        <v>3119</v>
      </c>
      <c r="F9" s="417">
        <f>SUMIF(63:63,E9,64:64)-SUMIF(63:63,C9,64:64)+100</f>
        <v>100</v>
      </c>
      <c r="G9" s="418" t="s">
        <v>3119</v>
      </c>
      <c r="H9" s="134">
        <f>SUMIF(63:63,G9,64:64)-SUMIF(63:63,C9,64:64)+100</f>
        <v>100</v>
      </c>
      <c r="I9" s="418" t="s">
        <v>3119</v>
      </c>
      <c r="J9" s="134">
        <f>SUMIF(63:63,I9,64:64)-SUMIF(63:63,C9,64:64)+100</f>
        <v>100</v>
      </c>
      <c r="K9" s="2595"/>
      <c r="L9" s="1131"/>
      <c r="M9" s="1132"/>
      <c r="N9" s="1132"/>
      <c r="O9" s="1132"/>
      <c r="P9" s="3292" t="s">
        <v>2547</v>
      </c>
      <c r="Q9" s="2991" t="str">
        <f t="shared" ref="Q9:Q15" si="6">B9</f>
        <v>用途</v>
      </c>
      <c r="R9" s="768" t="s">
        <v>17</v>
      </c>
      <c r="S9" s="769">
        <f t="shared" si="0"/>
        <v>100</v>
      </c>
      <c r="T9" s="768" t="s">
        <v>17</v>
      </c>
      <c r="U9" s="769">
        <f t="shared" si="1"/>
        <v>100</v>
      </c>
      <c r="V9" s="768" t="s">
        <v>17</v>
      </c>
      <c r="W9" s="769">
        <f t="shared" si="2"/>
        <v>100</v>
      </c>
      <c r="X9" s="770"/>
      <c r="Y9" s="3123" t="s">
        <v>2548</v>
      </c>
      <c r="Z9" s="2992" t="str">
        <f t="shared" ref="Z9:Z15" si="7">Q9</f>
        <v>用途</v>
      </c>
      <c r="AA9" s="771">
        <f t="shared" si="3"/>
        <v>1</v>
      </c>
      <c r="AB9" s="771">
        <f t="shared" si="4"/>
        <v>1</v>
      </c>
      <c r="AC9" s="771">
        <f t="shared" si="5"/>
        <v>1</v>
      </c>
    </row>
    <row r="10" spans="1:29" s="426" customFormat="1" ht="27">
      <c r="A10" s="420"/>
      <c r="B10" s="2993" t="s">
        <v>2549</v>
      </c>
      <c r="C10" s="422" t="s">
        <v>3116</v>
      </c>
      <c r="D10" s="135">
        <v>100</v>
      </c>
      <c r="E10" s="423" t="s">
        <v>3116</v>
      </c>
      <c r="F10" s="424">
        <f>SUMIF(65:65,E10,66:66)-SUMIF(65:65,C10,66:66)+100</f>
        <v>100</v>
      </c>
      <c r="G10" s="422" t="s">
        <v>3116</v>
      </c>
      <c r="H10" s="135">
        <f>SUMIF(65:65,G10,66:66)-SUMIF(65:65,C10,66:66)+100</f>
        <v>100</v>
      </c>
      <c r="I10" s="422" t="s">
        <v>3116</v>
      </c>
      <c r="J10" s="135">
        <f>SUMIF(65:65,I10,66:66)-SUMIF(65:65,C10,66:66)+100</f>
        <v>100</v>
      </c>
      <c r="K10" s="425">
        <v>1</v>
      </c>
      <c r="L10" s="1134"/>
      <c r="M10" s="1135"/>
      <c r="N10" s="1135"/>
      <c r="O10" s="1135"/>
      <c r="P10" s="3292"/>
      <c r="Q10" s="2991" t="str">
        <f t="shared" si="6"/>
        <v>土地使用年限（年）</v>
      </c>
      <c r="R10" s="768" t="s">
        <v>17</v>
      </c>
      <c r="S10" s="769">
        <f t="shared" si="0"/>
        <v>100</v>
      </c>
      <c r="T10" s="768" t="s">
        <v>17</v>
      </c>
      <c r="U10" s="769">
        <f t="shared" si="1"/>
        <v>100</v>
      </c>
      <c r="V10" s="768" t="s">
        <v>17</v>
      </c>
      <c r="W10" s="769">
        <f t="shared" si="2"/>
        <v>100</v>
      </c>
      <c r="X10" s="770"/>
      <c r="Y10" s="3123"/>
      <c r="Z10" s="2992" t="str">
        <f t="shared" si="7"/>
        <v>土地使用年限（年）</v>
      </c>
      <c r="AA10" s="771">
        <f t="shared" si="3"/>
        <v>1</v>
      </c>
      <c r="AB10" s="771">
        <f t="shared" si="4"/>
        <v>1</v>
      </c>
      <c r="AC10" s="771">
        <f t="shared" si="5"/>
        <v>1</v>
      </c>
    </row>
    <row r="11" spans="1:29" ht="15.75" thickBot="1">
      <c r="A11" s="427"/>
      <c r="B11" s="2993" t="s">
        <v>2550</v>
      </c>
      <c r="C11" s="428">
        <f>'数据-汇总表'!I7</f>
        <v>5</v>
      </c>
      <c r="D11" s="135">
        <v>100</v>
      </c>
      <c r="E11" s="429">
        <v>2.97</v>
      </c>
      <c r="F11" s="424">
        <f>LOOKUP(E11,68:68,69:69)-LOOKUP(C11,68:68,69:69)+100</f>
        <v>106</v>
      </c>
      <c r="G11" s="428">
        <v>4.5999999999999996</v>
      </c>
      <c r="H11" s="135">
        <f>LOOKUP(G11,68:68,69:69)-LOOKUP(C11,68:68,69:69)+100</f>
        <v>102</v>
      </c>
      <c r="I11" s="428">
        <v>4.0599999999999996</v>
      </c>
      <c r="J11" s="135">
        <f>LOOKUP(I11,68:68,69:69)-LOOKUP(C11,68:68,69:69)+100</f>
        <v>102</v>
      </c>
      <c r="K11" s="425">
        <v>2</v>
      </c>
      <c r="L11" s="1137"/>
      <c r="M11" s="1130"/>
      <c r="N11" s="1130"/>
      <c r="O11" s="1130"/>
      <c r="P11" s="3292"/>
      <c r="Q11" s="2991" t="str">
        <f t="shared" si="6"/>
        <v>容积率</v>
      </c>
      <c r="R11" s="768" t="s">
        <v>21</v>
      </c>
      <c r="S11" s="769">
        <f t="shared" si="0"/>
        <v>106</v>
      </c>
      <c r="T11" s="768" t="s">
        <v>21</v>
      </c>
      <c r="U11" s="769">
        <f t="shared" si="1"/>
        <v>102</v>
      </c>
      <c r="V11" s="768" t="s">
        <v>21</v>
      </c>
      <c r="W11" s="769">
        <f t="shared" si="2"/>
        <v>102</v>
      </c>
      <c r="X11" s="770"/>
      <c r="Y11" s="3123"/>
      <c r="Z11" s="2992" t="str">
        <f t="shared" si="7"/>
        <v>容积率</v>
      </c>
      <c r="AA11" s="771">
        <f t="shared" si="3"/>
        <v>0.94339622641509435</v>
      </c>
      <c r="AB11" s="771">
        <f t="shared" si="4"/>
        <v>0.98039215686274506</v>
      </c>
      <c r="AC11" s="771">
        <f t="shared" si="5"/>
        <v>0.98039215686274506</v>
      </c>
    </row>
    <row r="12" spans="1:29" s="117" customFormat="1" ht="15.75" hidden="1" thickBot="1">
      <c r="A12" s="430"/>
      <c r="B12" s="2597"/>
      <c r="C12" s="431"/>
      <c r="D12" s="432">
        <v>100</v>
      </c>
      <c r="E12" s="431"/>
      <c r="F12" s="424">
        <f>SUMIF(70:70,E12,71:71)-SUMIF(70:70,C12,71:71)+100</f>
        <v>100</v>
      </c>
      <c r="G12" s="431"/>
      <c r="H12" s="135">
        <f>SUMIF(70:70,G12,71:71)-SUMIF(70:70,C12,71:71)+100</f>
        <v>100</v>
      </c>
      <c r="I12" s="431"/>
      <c r="J12" s="135">
        <f>SUMIF(70:70,I12,71:71)-SUMIF(70:70,C12,71:71)+100</f>
        <v>100</v>
      </c>
      <c r="K12" s="2598"/>
      <c r="L12" s="1131"/>
      <c r="M12" s="1132"/>
      <c r="N12" s="1132"/>
      <c r="O12" s="1132"/>
      <c r="P12" s="3292"/>
      <c r="Q12" s="2991">
        <f t="shared" si="6"/>
        <v>0</v>
      </c>
      <c r="R12" s="768" t="s">
        <v>21</v>
      </c>
      <c r="S12" s="769">
        <f t="shared" si="0"/>
        <v>100</v>
      </c>
      <c r="T12" s="768" t="s">
        <v>21</v>
      </c>
      <c r="U12" s="769">
        <f t="shared" si="1"/>
        <v>100</v>
      </c>
      <c r="V12" s="768" t="s">
        <v>21</v>
      </c>
      <c r="W12" s="769">
        <f t="shared" si="2"/>
        <v>100</v>
      </c>
      <c r="X12" s="770"/>
      <c r="Y12" s="3123"/>
      <c r="Z12" s="2992">
        <f t="shared" si="7"/>
        <v>0</v>
      </c>
      <c r="AA12" s="771">
        <f>D12/F12</f>
        <v>1</v>
      </c>
      <c r="AB12" s="771">
        <f>D12/H12</f>
        <v>1</v>
      </c>
      <c r="AC12" s="771">
        <f>D12/J12</f>
        <v>1</v>
      </c>
    </row>
    <row r="13" spans="1:29" ht="15.75" hidden="1" thickBot="1">
      <c r="A13" s="427"/>
      <c r="B13" s="2597"/>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292"/>
      <c r="Q13" s="2991">
        <f t="shared" si="6"/>
        <v>0</v>
      </c>
      <c r="R13" s="768" t="s">
        <v>21</v>
      </c>
      <c r="S13" s="769">
        <f t="shared" si="0"/>
        <v>100</v>
      </c>
      <c r="T13" s="768" t="s">
        <v>21</v>
      </c>
      <c r="U13" s="769">
        <f t="shared" si="1"/>
        <v>100</v>
      </c>
      <c r="V13" s="768" t="s">
        <v>21</v>
      </c>
      <c r="W13" s="769">
        <f t="shared" si="2"/>
        <v>100</v>
      </c>
      <c r="X13" s="770"/>
      <c r="Y13" s="3123"/>
      <c r="Z13" s="2992">
        <f t="shared" si="7"/>
        <v>0</v>
      </c>
      <c r="AA13" s="771">
        <f t="shared" si="3"/>
        <v>1</v>
      </c>
      <c r="AB13" s="771">
        <f t="shared" si="4"/>
        <v>1</v>
      </c>
      <c r="AC13" s="771">
        <f t="shared" si="5"/>
        <v>1</v>
      </c>
    </row>
    <row r="14" spans="1:29" ht="15.75" hidden="1" thickBot="1">
      <c r="A14" s="435"/>
      <c r="B14" s="2599"/>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292"/>
      <c r="Q14" s="2991">
        <f t="shared" si="6"/>
        <v>0</v>
      </c>
      <c r="R14" s="768" t="s">
        <v>21</v>
      </c>
      <c r="S14" s="769">
        <f t="shared" si="0"/>
        <v>100</v>
      </c>
      <c r="T14" s="768" t="s">
        <v>21</v>
      </c>
      <c r="U14" s="769">
        <f t="shared" si="1"/>
        <v>100</v>
      </c>
      <c r="V14" s="768" t="s">
        <v>21</v>
      </c>
      <c r="W14" s="769">
        <f t="shared" si="2"/>
        <v>100</v>
      </c>
      <c r="X14" s="770"/>
      <c r="Y14" s="3123"/>
      <c r="Z14" s="2992">
        <f t="shared" si="7"/>
        <v>0</v>
      </c>
      <c r="AA14" s="771">
        <f t="shared" si="3"/>
        <v>1</v>
      </c>
      <c r="AB14" s="771">
        <f t="shared" si="4"/>
        <v>1</v>
      </c>
      <c r="AC14" s="771">
        <f t="shared" si="5"/>
        <v>1</v>
      </c>
    </row>
    <row r="15" spans="1:29" ht="15">
      <c r="A15" s="439" t="s">
        <v>2551</v>
      </c>
      <c r="B15" s="69" t="s">
        <v>2087</v>
      </c>
      <c r="C15" s="2600">
        <f>估价对象房地状况!C3</f>
        <v>0</v>
      </c>
      <c r="D15" s="440">
        <v>100</v>
      </c>
      <c r="E15" s="443"/>
      <c r="F15" s="440">
        <f>SUMIF(76:76,E16,77:77)-SUMIF(76:76,C16,77:77)+100</f>
        <v>105</v>
      </c>
      <c r="G15" s="441"/>
      <c r="H15" s="440">
        <f>SUMIF(76:76,G16,77:77)-SUMIF(76:76,C16,77:77)+100</f>
        <v>105</v>
      </c>
      <c r="I15" s="441"/>
      <c r="J15" s="440">
        <f>SUMIF(76:76,I16,77:77)-SUMIF(76:76,C16,77:77)+100</f>
        <v>105</v>
      </c>
      <c r="K15" s="444">
        <v>5</v>
      </c>
      <c r="L15" s="1139"/>
      <c r="M15" s="1130"/>
      <c r="N15" s="1130"/>
      <c r="O15" s="1130"/>
      <c r="P15" s="3295" t="s">
        <v>2552</v>
      </c>
      <c r="Q15" s="2994" t="str">
        <f t="shared" si="6"/>
        <v>居住社区成熟度</v>
      </c>
      <c r="R15" s="772" t="s">
        <v>21</v>
      </c>
      <c r="S15" s="773">
        <f t="shared" si="0"/>
        <v>105</v>
      </c>
      <c r="T15" s="772" t="s">
        <v>21</v>
      </c>
      <c r="U15" s="773">
        <f t="shared" si="1"/>
        <v>105</v>
      </c>
      <c r="V15" s="772" t="s">
        <v>21</v>
      </c>
      <c r="W15" s="773">
        <f t="shared" si="2"/>
        <v>105</v>
      </c>
      <c r="X15" s="2996"/>
      <c r="Y15" s="3283" t="s">
        <v>2552</v>
      </c>
      <c r="Z15" s="2995" t="str">
        <f t="shared" si="7"/>
        <v>居住社区成熟度</v>
      </c>
      <c r="AA15" s="2997">
        <f t="shared" si="3"/>
        <v>0.95238095238095233</v>
      </c>
      <c r="AB15" s="2997">
        <f t="shared" si="4"/>
        <v>0.95238095238095233</v>
      </c>
      <c r="AC15" s="2997">
        <f t="shared" si="5"/>
        <v>0.95238095238095233</v>
      </c>
    </row>
    <row r="16" spans="1:29" ht="15">
      <c r="A16" s="427"/>
      <c r="B16" s="445"/>
      <c r="C16" s="446" t="s">
        <v>3152</v>
      </c>
      <c r="D16" s="447"/>
      <c r="E16" s="2601" t="s">
        <v>3117</v>
      </c>
      <c r="F16" s="447"/>
      <c r="G16" s="2602" t="s">
        <v>3117</v>
      </c>
      <c r="H16" s="449"/>
      <c r="I16" s="2602" t="s">
        <v>3117</v>
      </c>
      <c r="J16" s="447"/>
      <c r="K16" s="2603"/>
      <c r="L16" s="1139"/>
      <c r="M16" s="1130"/>
      <c r="N16" s="1130"/>
      <c r="O16" s="1130"/>
      <c r="P16" s="3296"/>
      <c r="Q16" s="2994"/>
      <c r="R16" s="772"/>
      <c r="S16" s="773"/>
      <c r="T16" s="772"/>
      <c r="U16" s="773"/>
      <c r="V16" s="772"/>
      <c r="W16" s="773"/>
      <c r="X16" s="2996"/>
      <c r="Y16" s="3284"/>
      <c r="Z16" s="2995"/>
      <c r="AA16" s="2997">
        <v>1</v>
      </c>
      <c r="AB16" s="2997">
        <v>1</v>
      </c>
      <c r="AC16" s="2997">
        <v>1</v>
      </c>
    </row>
    <row r="17" spans="1:29" ht="15">
      <c r="A17" s="427"/>
      <c r="B17" s="450" t="s">
        <v>2093</v>
      </c>
      <c r="C17" s="2604">
        <f>估价对象房地状况!C6</f>
        <v>0</v>
      </c>
      <c r="D17" s="449">
        <v>100</v>
      </c>
      <c r="E17" s="453"/>
      <c r="F17" s="449">
        <f>SUMIF(78:78,E18,79:79)-SUMIF(78:78,C18,79:79)+100</f>
        <v>100</v>
      </c>
      <c r="G17" s="451"/>
      <c r="H17" s="454">
        <f>SUMIF(78:78,G18,79:79)-SUMIF(78:78,C18,79:79)+100</f>
        <v>103</v>
      </c>
      <c r="I17" s="451"/>
      <c r="J17" s="454">
        <f>SUMIF(78:78,I18,79:79)-SUMIF(78:78,C18,79:79)+100</f>
        <v>103</v>
      </c>
      <c r="K17" s="3402">
        <v>3</v>
      </c>
      <c r="L17" s="1139"/>
      <c r="M17" s="1130"/>
      <c r="N17" s="1130"/>
      <c r="O17" s="1130"/>
      <c r="P17" s="3296"/>
      <c r="Q17" s="2994" t="str">
        <f>B17</f>
        <v>交通便捷度</v>
      </c>
      <c r="R17" s="772" t="s">
        <v>21</v>
      </c>
      <c r="S17" s="773">
        <f>F17</f>
        <v>100</v>
      </c>
      <c r="T17" s="772" t="s">
        <v>21</v>
      </c>
      <c r="U17" s="773">
        <f>H17</f>
        <v>103</v>
      </c>
      <c r="V17" s="772" t="s">
        <v>21</v>
      </c>
      <c r="W17" s="773">
        <f>J17</f>
        <v>103</v>
      </c>
      <c r="X17" s="2996"/>
      <c r="Y17" s="3284"/>
      <c r="Z17" s="2995" t="str">
        <f>Q17</f>
        <v>交通便捷度</v>
      </c>
      <c r="AA17" s="2997">
        <f t="shared" si="3"/>
        <v>1</v>
      </c>
      <c r="AB17" s="2997">
        <f t="shared" si="4"/>
        <v>0.970873786407767</v>
      </c>
      <c r="AC17" s="2997">
        <f t="shared" si="5"/>
        <v>0.970873786407767</v>
      </c>
    </row>
    <row r="18" spans="1:29" ht="15">
      <c r="A18" s="427"/>
      <c r="B18" s="455"/>
      <c r="C18" s="446" t="s">
        <v>3152</v>
      </c>
      <c r="D18" s="449"/>
      <c r="E18" s="446" t="s">
        <v>3152</v>
      </c>
      <c r="F18" s="449"/>
      <c r="G18" s="446" t="s">
        <v>3117</v>
      </c>
      <c r="H18" s="447"/>
      <c r="I18" s="446" t="s">
        <v>3117</v>
      </c>
      <c r="J18" s="447"/>
      <c r="K18" s="2603"/>
      <c r="L18" s="1139"/>
      <c r="M18" s="1130"/>
      <c r="N18" s="1130"/>
      <c r="O18" s="1130"/>
      <c r="P18" s="3296"/>
      <c r="Q18" s="2994"/>
      <c r="R18" s="772"/>
      <c r="S18" s="773"/>
      <c r="T18" s="772"/>
      <c r="U18" s="773"/>
      <c r="V18" s="772"/>
      <c r="W18" s="773"/>
      <c r="X18" s="2996"/>
      <c r="Y18" s="3284"/>
      <c r="Z18" s="2995"/>
      <c r="AA18" s="2997">
        <v>1</v>
      </c>
      <c r="AB18" s="2997">
        <v>1</v>
      </c>
      <c r="AC18" s="2997">
        <v>1</v>
      </c>
    </row>
    <row r="19" spans="1:29" ht="15">
      <c r="A19" s="427"/>
      <c r="B19" s="450" t="s">
        <v>2092</v>
      </c>
      <c r="C19" s="2604">
        <f>估价对象房地状况!C7</f>
        <v>0</v>
      </c>
      <c r="D19" s="454">
        <v>100</v>
      </c>
      <c r="E19" s="458"/>
      <c r="F19" s="454">
        <f>SUMIF(80:80,E20,81:81)-SUMIF(80:80,C20,81:81)+100</f>
        <v>100</v>
      </c>
      <c r="G19" s="456"/>
      <c r="H19" s="449">
        <f>SUMIF(80:80,G20,81:81)-SUMIF(80:80,C20,81:81)+100</f>
        <v>103</v>
      </c>
      <c r="I19" s="456"/>
      <c r="J19" s="449">
        <f>SUMIF(80:80,I20,81:81)-SUMIF(80:80,C20,81:81)+100</f>
        <v>103</v>
      </c>
      <c r="K19" s="3402">
        <v>3</v>
      </c>
      <c r="L19" s="1139"/>
      <c r="M19" s="1130"/>
      <c r="N19" s="1130"/>
      <c r="O19" s="1130"/>
      <c r="P19" s="3296"/>
      <c r="Q19" s="2994" t="str">
        <f>B19</f>
        <v>公共配套设施</v>
      </c>
      <c r="R19" s="772" t="s">
        <v>21</v>
      </c>
      <c r="S19" s="773">
        <f>F19</f>
        <v>100</v>
      </c>
      <c r="T19" s="772" t="s">
        <v>21</v>
      </c>
      <c r="U19" s="773">
        <f>H19</f>
        <v>103</v>
      </c>
      <c r="V19" s="772" t="s">
        <v>21</v>
      </c>
      <c r="W19" s="773">
        <f>J19</f>
        <v>103</v>
      </c>
      <c r="X19" s="2996"/>
      <c r="Y19" s="3284"/>
      <c r="Z19" s="2995" t="str">
        <f>Q19</f>
        <v>公共配套设施</v>
      </c>
      <c r="AA19" s="2997">
        <f t="shared" si="3"/>
        <v>1</v>
      </c>
      <c r="AB19" s="2997">
        <f t="shared" si="4"/>
        <v>0.970873786407767</v>
      </c>
      <c r="AC19" s="2997">
        <f t="shared" si="5"/>
        <v>0.970873786407767</v>
      </c>
    </row>
    <row r="20" spans="1:29" ht="15">
      <c r="A20" s="427"/>
      <c r="B20" s="455"/>
      <c r="C20" s="446" t="s">
        <v>3152</v>
      </c>
      <c r="D20" s="447"/>
      <c r="E20" s="446" t="s">
        <v>3152</v>
      </c>
      <c r="F20" s="447"/>
      <c r="G20" s="446" t="s">
        <v>3117</v>
      </c>
      <c r="H20" s="447"/>
      <c r="I20" s="446" t="s">
        <v>3117</v>
      </c>
      <c r="J20" s="447"/>
      <c r="K20" s="2603"/>
      <c r="L20" s="1139"/>
      <c r="M20" s="1130"/>
      <c r="N20" s="1130"/>
      <c r="O20" s="1130"/>
      <c r="P20" s="3296"/>
      <c r="Q20" s="2994"/>
      <c r="R20" s="772"/>
      <c r="S20" s="773"/>
      <c r="T20" s="772"/>
      <c r="U20" s="773"/>
      <c r="V20" s="772"/>
      <c r="W20" s="773"/>
      <c r="X20" s="2996"/>
      <c r="Y20" s="3284"/>
      <c r="Z20" s="2995"/>
      <c r="AA20" s="2997">
        <v>1</v>
      </c>
      <c r="AB20" s="2997">
        <v>1</v>
      </c>
      <c r="AC20" s="2997">
        <v>1</v>
      </c>
    </row>
    <row r="21" spans="1:29" ht="15">
      <c r="A21" s="427"/>
      <c r="B21" s="1383" t="s">
        <v>2094</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39"/>
      <c r="M21" s="1130"/>
      <c r="N21" s="1130"/>
      <c r="O21" s="1130"/>
      <c r="P21" s="3296"/>
      <c r="Q21" s="2994" t="str">
        <f>B21</f>
        <v>基础设施水平</v>
      </c>
      <c r="R21" s="772" t="s">
        <v>17</v>
      </c>
      <c r="S21" s="773">
        <f>F21</f>
        <v>100</v>
      </c>
      <c r="T21" s="772" t="s">
        <v>17</v>
      </c>
      <c r="U21" s="773">
        <f>H21</f>
        <v>100</v>
      </c>
      <c r="V21" s="772" t="s">
        <v>17</v>
      </c>
      <c r="W21" s="773">
        <f>J21</f>
        <v>100</v>
      </c>
      <c r="X21" s="2996"/>
      <c r="Y21" s="3284"/>
      <c r="Z21" s="2995" t="str">
        <f>Q21</f>
        <v>基础设施水平</v>
      </c>
      <c r="AA21" s="2997">
        <f>D21/F21</f>
        <v>1</v>
      </c>
      <c r="AB21" s="2997">
        <f>D21/H21</f>
        <v>1</v>
      </c>
      <c r="AC21" s="2997">
        <f>D21/J21</f>
        <v>1</v>
      </c>
    </row>
    <row r="22" spans="1:29" ht="15">
      <c r="A22" s="427"/>
      <c r="B22" s="1383"/>
      <c r="C22" s="2605" t="s">
        <v>3118</v>
      </c>
      <c r="D22" s="447"/>
      <c r="E22" s="2605" t="s">
        <v>3118</v>
      </c>
      <c r="F22" s="447"/>
      <c r="G22" s="2605" t="s">
        <v>3118</v>
      </c>
      <c r="H22" s="447"/>
      <c r="I22" s="2605" t="s">
        <v>3118</v>
      </c>
      <c r="J22" s="447"/>
      <c r="K22" s="2609"/>
      <c r="L22" s="1139"/>
      <c r="M22" s="1130"/>
      <c r="N22" s="1130"/>
      <c r="O22" s="1130"/>
      <c r="P22" s="3296"/>
      <c r="Q22" s="2994"/>
      <c r="R22" s="772"/>
      <c r="S22" s="773"/>
      <c r="T22" s="772"/>
      <c r="U22" s="773"/>
      <c r="V22" s="772"/>
      <c r="W22" s="773"/>
      <c r="X22" s="2996"/>
      <c r="Y22" s="3284"/>
      <c r="Z22" s="2995"/>
      <c r="AA22" s="2997">
        <v>1</v>
      </c>
      <c r="AB22" s="2997">
        <v>1</v>
      </c>
      <c r="AC22" s="2997">
        <v>1</v>
      </c>
    </row>
    <row r="23" spans="1:29" ht="15">
      <c r="A23" s="427"/>
      <c r="B23" s="450" t="s">
        <v>2096</v>
      </c>
      <c r="C23" s="2604">
        <f>估价对象房地状况!C9</f>
        <v>0</v>
      </c>
      <c r="D23" s="449">
        <v>100</v>
      </c>
      <c r="E23" s="453"/>
      <c r="F23" s="449">
        <f>SUMIF(84:84,E24,85:85)-SUMIF(84:84,C24,85:85)+100</f>
        <v>100</v>
      </c>
      <c r="G23" s="451"/>
      <c r="H23" s="449">
        <f>SUMIF(84:84,G24,85:85)-SUMIF(84:84,C24,85:85)+100</f>
        <v>100</v>
      </c>
      <c r="I23" s="451"/>
      <c r="J23" s="449">
        <f>SUMIF(84:84,I24,85:85)-SUMIF(84:84,C24,85:85)+100</f>
        <v>100</v>
      </c>
      <c r="K23" s="444">
        <v>3</v>
      </c>
      <c r="L23" s="1139"/>
      <c r="M23" s="1130"/>
      <c r="N23" s="1130"/>
      <c r="O23" s="1130"/>
      <c r="P23" s="3296"/>
      <c r="Q23" s="2994" t="str">
        <f>B23</f>
        <v>自然及人文环境</v>
      </c>
      <c r="R23" s="772" t="s">
        <v>21</v>
      </c>
      <c r="S23" s="773">
        <f>F23</f>
        <v>100</v>
      </c>
      <c r="T23" s="772" t="s">
        <v>21</v>
      </c>
      <c r="U23" s="773">
        <f>H23</f>
        <v>100</v>
      </c>
      <c r="V23" s="772" t="s">
        <v>21</v>
      </c>
      <c r="W23" s="773">
        <f>J23</f>
        <v>100</v>
      </c>
      <c r="X23" s="2996"/>
      <c r="Y23" s="3284"/>
      <c r="Z23" s="2995" t="str">
        <f>Q23</f>
        <v>自然及人文环境</v>
      </c>
      <c r="AA23" s="2997">
        <f>D23/F23</f>
        <v>1</v>
      </c>
      <c r="AB23" s="2997">
        <f>D23/H23</f>
        <v>1</v>
      </c>
      <c r="AC23" s="2997">
        <f>D23/J23</f>
        <v>1</v>
      </c>
    </row>
    <row r="24" spans="1:29" ht="15.75" thickBot="1">
      <c r="A24" s="427"/>
      <c r="B24" s="455"/>
      <c r="C24" s="446" t="s">
        <v>3117</v>
      </c>
      <c r="D24" s="447"/>
      <c r="E24" s="446" t="s">
        <v>3117</v>
      </c>
      <c r="F24" s="447"/>
      <c r="G24" s="446" t="s">
        <v>3117</v>
      </c>
      <c r="H24" s="447"/>
      <c r="I24" s="446" t="s">
        <v>3117</v>
      </c>
      <c r="J24" s="447"/>
      <c r="K24" s="2603"/>
      <c r="L24" s="1139"/>
      <c r="M24" s="1130"/>
      <c r="N24" s="1130"/>
      <c r="O24" s="1130"/>
      <c r="P24" s="3296"/>
      <c r="Q24" s="2994"/>
      <c r="R24" s="772"/>
      <c r="S24" s="773"/>
      <c r="T24" s="772"/>
      <c r="U24" s="773"/>
      <c r="V24" s="772"/>
      <c r="W24" s="773"/>
      <c r="X24" s="2996"/>
      <c r="Y24" s="3284"/>
      <c r="Z24" s="2995"/>
      <c r="AA24" s="2997">
        <v>1</v>
      </c>
      <c r="AB24" s="2997">
        <v>1</v>
      </c>
      <c r="AC24" s="2997">
        <v>1</v>
      </c>
    </row>
    <row r="25" spans="1:29" ht="15.75" hidden="1" thickBot="1">
      <c r="A25" s="427"/>
      <c r="B25" s="2993"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296"/>
      <c r="Q25" s="2994" t="str">
        <f t="shared" ref="Q25:Q46" si="8">B25</f>
        <v>楼层-1</v>
      </c>
      <c r="R25" s="772" t="s">
        <v>21</v>
      </c>
      <c r="S25" s="773">
        <f t="shared" ref="S25:S46" si="9">F25</f>
        <v>100</v>
      </c>
      <c r="T25" s="772" t="s">
        <v>21</v>
      </c>
      <c r="U25" s="773">
        <f t="shared" ref="U25:U46" si="10">H25</f>
        <v>100</v>
      </c>
      <c r="V25" s="772" t="s">
        <v>21</v>
      </c>
      <c r="W25" s="773">
        <f t="shared" ref="W25:W46" si="11">J25</f>
        <v>100</v>
      </c>
      <c r="X25" s="2996"/>
      <c r="Y25" s="3284"/>
      <c r="Z25" s="2995" t="str">
        <f>Q25</f>
        <v>楼层-1</v>
      </c>
      <c r="AA25" s="2997">
        <f t="shared" ref="AA25:AA46" si="12">D25/F25</f>
        <v>1</v>
      </c>
      <c r="AB25" s="2997">
        <f t="shared" ref="AB25:AB46" si="13">D25/H25</f>
        <v>1</v>
      </c>
      <c r="AC25" s="2997">
        <f t="shared" ref="AC25:AC46" si="14">D25/J25</f>
        <v>1</v>
      </c>
    </row>
    <row r="26" spans="1:29" ht="15.75" hidden="1" thickBot="1">
      <c r="A26" s="427"/>
      <c r="B26" s="2993"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296"/>
      <c r="Q26" s="2994" t="str">
        <f t="shared" si="8"/>
        <v>朝向</v>
      </c>
      <c r="R26" s="772" t="s">
        <v>21</v>
      </c>
      <c r="S26" s="773">
        <f t="shared" si="9"/>
        <v>100</v>
      </c>
      <c r="T26" s="772" t="s">
        <v>21</v>
      </c>
      <c r="U26" s="773">
        <f t="shared" si="10"/>
        <v>100</v>
      </c>
      <c r="V26" s="772" t="s">
        <v>21</v>
      </c>
      <c r="W26" s="773">
        <f t="shared" si="11"/>
        <v>100</v>
      </c>
      <c r="X26" s="2996"/>
      <c r="Y26" s="3284"/>
      <c r="Z26" s="2995" t="str">
        <f>Q26</f>
        <v>朝向</v>
      </c>
      <c r="AA26" s="2997">
        <f t="shared" si="12"/>
        <v>1</v>
      </c>
      <c r="AB26" s="2997">
        <f t="shared" si="13"/>
        <v>1</v>
      </c>
      <c r="AC26" s="2997">
        <f t="shared" si="14"/>
        <v>1</v>
      </c>
    </row>
    <row r="27" spans="1:29" s="117" customFormat="1" ht="15.75" hidden="1" thickBot="1">
      <c r="A27" s="430"/>
      <c r="B27" s="1385"/>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296"/>
      <c r="Q27" s="2991">
        <f t="shared" si="8"/>
        <v>0</v>
      </c>
      <c r="R27" s="768" t="s">
        <v>21</v>
      </c>
      <c r="S27" s="769">
        <f t="shared" si="9"/>
        <v>100</v>
      </c>
      <c r="T27" s="768" t="s">
        <v>21</v>
      </c>
      <c r="U27" s="769">
        <f t="shared" si="10"/>
        <v>100</v>
      </c>
      <c r="V27" s="768" t="s">
        <v>21</v>
      </c>
      <c r="W27" s="769">
        <f t="shared" si="11"/>
        <v>100</v>
      </c>
      <c r="X27" s="770"/>
      <c r="Y27" s="3284"/>
      <c r="Z27" s="2992">
        <f>Q27</f>
        <v>0</v>
      </c>
      <c r="AA27" s="2997">
        <f t="shared" si="12"/>
        <v>1</v>
      </c>
      <c r="AB27" s="2997">
        <f t="shared" si="13"/>
        <v>1</v>
      </c>
      <c r="AC27" s="2997">
        <f t="shared" si="14"/>
        <v>1</v>
      </c>
    </row>
    <row r="28" spans="1:29" ht="15.75" hidden="1" thickBot="1">
      <c r="A28" s="427"/>
      <c r="B28" s="1385"/>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296"/>
      <c r="Q28" s="2994">
        <f t="shared" si="8"/>
        <v>0</v>
      </c>
      <c r="R28" s="772" t="s">
        <v>21</v>
      </c>
      <c r="S28" s="773">
        <f t="shared" si="9"/>
        <v>100</v>
      </c>
      <c r="T28" s="772" t="s">
        <v>21</v>
      </c>
      <c r="U28" s="773">
        <f t="shared" si="10"/>
        <v>100</v>
      </c>
      <c r="V28" s="772" t="s">
        <v>21</v>
      </c>
      <c r="W28" s="773">
        <f t="shared" si="11"/>
        <v>100</v>
      </c>
      <c r="X28" s="2996"/>
      <c r="Y28" s="3284"/>
      <c r="Z28" s="2995">
        <f t="shared" ref="Z28:Z46" si="15">Q28</f>
        <v>0</v>
      </c>
      <c r="AA28" s="2997">
        <f t="shared" si="12"/>
        <v>1</v>
      </c>
      <c r="AB28" s="2997">
        <f t="shared" si="13"/>
        <v>1</v>
      </c>
      <c r="AC28" s="2997">
        <f t="shared" si="14"/>
        <v>1</v>
      </c>
    </row>
    <row r="29" spans="1:29" ht="15.75" hidden="1" thickBot="1">
      <c r="A29" s="427"/>
      <c r="B29" s="1385"/>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296"/>
      <c r="Q29" s="2994">
        <f t="shared" si="8"/>
        <v>0</v>
      </c>
      <c r="R29" s="772" t="s">
        <v>21</v>
      </c>
      <c r="S29" s="773">
        <f t="shared" si="9"/>
        <v>100</v>
      </c>
      <c r="T29" s="772" t="s">
        <v>21</v>
      </c>
      <c r="U29" s="773">
        <f t="shared" si="10"/>
        <v>100</v>
      </c>
      <c r="V29" s="772" t="s">
        <v>21</v>
      </c>
      <c r="W29" s="773">
        <f t="shared" si="11"/>
        <v>100</v>
      </c>
      <c r="X29" s="2996"/>
      <c r="Y29" s="3284"/>
      <c r="Z29" s="2995">
        <f t="shared" si="15"/>
        <v>0</v>
      </c>
      <c r="AA29" s="2997">
        <f t="shared" si="12"/>
        <v>1</v>
      </c>
      <c r="AB29" s="2997">
        <f t="shared" si="13"/>
        <v>1</v>
      </c>
      <c r="AC29" s="2997">
        <f t="shared" si="14"/>
        <v>1</v>
      </c>
    </row>
    <row r="30" spans="1:29" ht="15.75" hidden="1" thickBot="1">
      <c r="A30" s="427"/>
      <c r="B30" s="1385"/>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296"/>
      <c r="Q30" s="2994">
        <f t="shared" si="8"/>
        <v>0</v>
      </c>
      <c r="R30" s="772" t="s">
        <v>21</v>
      </c>
      <c r="S30" s="773">
        <f t="shared" si="9"/>
        <v>100</v>
      </c>
      <c r="T30" s="772" t="s">
        <v>21</v>
      </c>
      <c r="U30" s="773">
        <f t="shared" si="10"/>
        <v>100</v>
      </c>
      <c r="V30" s="772" t="s">
        <v>21</v>
      </c>
      <c r="W30" s="773">
        <f t="shared" si="11"/>
        <v>100</v>
      </c>
      <c r="X30" s="2996"/>
      <c r="Y30" s="3284"/>
      <c r="Z30" s="2995">
        <f t="shared" si="15"/>
        <v>0</v>
      </c>
      <c r="AA30" s="2997">
        <f t="shared" si="12"/>
        <v>1</v>
      </c>
      <c r="AB30" s="2997">
        <f t="shared" si="13"/>
        <v>1</v>
      </c>
      <c r="AC30" s="2997">
        <f t="shared" si="14"/>
        <v>1</v>
      </c>
    </row>
    <row r="31" spans="1:29" ht="15.75" hidden="1" thickBot="1">
      <c r="A31" s="435"/>
      <c r="B31" s="1385"/>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296"/>
      <c r="Q31" s="2994">
        <f t="shared" si="8"/>
        <v>0</v>
      </c>
      <c r="R31" s="772" t="s">
        <v>21</v>
      </c>
      <c r="S31" s="773">
        <f t="shared" si="9"/>
        <v>100</v>
      </c>
      <c r="T31" s="772" t="s">
        <v>21</v>
      </c>
      <c r="U31" s="773">
        <f t="shared" si="10"/>
        <v>100</v>
      </c>
      <c r="V31" s="772" t="s">
        <v>21</v>
      </c>
      <c r="W31" s="773">
        <f t="shared" si="11"/>
        <v>100</v>
      </c>
      <c r="X31" s="2996"/>
      <c r="Y31" s="3284"/>
      <c r="Z31" s="2995">
        <f t="shared" si="15"/>
        <v>0</v>
      </c>
      <c r="AA31" s="2997">
        <f t="shared" si="12"/>
        <v>1</v>
      </c>
      <c r="AB31" s="2997">
        <f t="shared" si="13"/>
        <v>1</v>
      </c>
      <c r="AC31" s="2997">
        <f t="shared" si="14"/>
        <v>1</v>
      </c>
    </row>
    <row r="32" spans="1:29" ht="15">
      <c r="A32" s="439" t="s">
        <v>2555</v>
      </c>
      <c r="B32" s="71" t="s">
        <v>2556</v>
      </c>
      <c r="C32" s="2614" t="s">
        <v>3148</v>
      </c>
      <c r="D32" s="466">
        <v>100</v>
      </c>
      <c r="E32" s="2615" t="s">
        <v>3148</v>
      </c>
      <c r="F32" s="460">
        <f>SUMIF(100:100,E32,101:101)-SUMIF(100:100,C32,101:101)+100</f>
        <v>100</v>
      </c>
      <c r="G32" s="2614" t="s">
        <v>3148</v>
      </c>
      <c r="H32" s="466">
        <f>SUMIF(100:100,G32,101:101)-SUMIF(100:100,C32,101:101)+100</f>
        <v>100</v>
      </c>
      <c r="I32" s="2614" t="s">
        <v>3148</v>
      </c>
      <c r="J32" s="434">
        <f>SUMIF(100:100,I32,101:101)-SUMIF(100:100,C32,101:101)+100</f>
        <v>100</v>
      </c>
      <c r="K32" s="425">
        <v>5</v>
      </c>
      <c r="L32" s="1139"/>
      <c r="M32" s="1130"/>
      <c r="N32" s="1130"/>
      <c r="O32" s="1130"/>
      <c r="P32" s="3297" t="s">
        <v>2557</v>
      </c>
      <c r="Q32" s="2994" t="str">
        <f t="shared" si="8"/>
        <v>建筑类型</v>
      </c>
      <c r="R32" s="772" t="s">
        <v>21</v>
      </c>
      <c r="S32" s="773">
        <f t="shared" si="9"/>
        <v>100</v>
      </c>
      <c r="T32" s="772" t="s">
        <v>21</v>
      </c>
      <c r="U32" s="773">
        <f t="shared" si="10"/>
        <v>100</v>
      </c>
      <c r="V32" s="772" t="s">
        <v>21</v>
      </c>
      <c r="W32" s="773">
        <f t="shared" si="11"/>
        <v>100</v>
      </c>
      <c r="X32" s="2996"/>
      <c r="Y32" s="3286" t="s">
        <v>2557</v>
      </c>
      <c r="Z32" s="2995" t="str">
        <f t="shared" si="15"/>
        <v>建筑类型</v>
      </c>
      <c r="AA32" s="2997">
        <f t="shared" si="12"/>
        <v>1</v>
      </c>
      <c r="AB32" s="2997">
        <f t="shared" si="13"/>
        <v>1</v>
      </c>
      <c r="AC32" s="2997">
        <f t="shared" si="14"/>
        <v>1</v>
      </c>
    </row>
    <row r="33" spans="1:29" s="470" customFormat="1" ht="15">
      <c r="A33" s="467"/>
      <c r="B33" s="2993" t="s">
        <v>2558</v>
      </c>
      <c r="C33" s="468">
        <v>223334</v>
      </c>
      <c r="D33" s="135">
        <v>100</v>
      </c>
      <c r="E33" s="429">
        <v>66741</v>
      </c>
      <c r="F33" s="424">
        <f>LOOKUP(E33,103:103,104:104)-LOOKUP(C33,103:103,104:104)+100</f>
        <v>98</v>
      </c>
      <c r="G33" s="428">
        <v>125000</v>
      </c>
      <c r="H33" s="135">
        <f>LOOKUP(G33,103:103,104:104)-LOOKUP(C33,103:103,104:104)+100</f>
        <v>99</v>
      </c>
      <c r="I33" s="429">
        <v>66741</v>
      </c>
      <c r="J33" s="135">
        <f>LOOKUP(I33,103:103,104:104)-LOOKUP(C33,103:103,104:104)+100</f>
        <v>98</v>
      </c>
      <c r="K33" s="2598"/>
      <c r="L33" s="1137"/>
      <c r="M33" s="1140"/>
      <c r="N33" s="1140"/>
      <c r="O33" s="1140"/>
      <c r="P33" s="3298"/>
      <c r="Q33" s="774" t="str">
        <f t="shared" si="8"/>
        <v>项目建筑规模</v>
      </c>
      <c r="R33" s="775" t="s">
        <v>21</v>
      </c>
      <c r="S33" s="776">
        <f t="shared" si="9"/>
        <v>98</v>
      </c>
      <c r="T33" s="775" t="s">
        <v>21</v>
      </c>
      <c r="U33" s="776">
        <f t="shared" si="10"/>
        <v>99</v>
      </c>
      <c r="V33" s="775" t="s">
        <v>21</v>
      </c>
      <c r="W33" s="776">
        <f t="shared" si="11"/>
        <v>98</v>
      </c>
      <c r="X33" s="777"/>
      <c r="Y33" s="3286"/>
      <c r="Z33" s="778" t="str">
        <f t="shared" si="15"/>
        <v>项目建筑规模</v>
      </c>
      <c r="AA33" s="2997">
        <f t="shared" si="12"/>
        <v>1.0204081632653061</v>
      </c>
      <c r="AB33" s="2997">
        <f t="shared" si="13"/>
        <v>1.0101010101010102</v>
      </c>
      <c r="AC33" s="2997">
        <f t="shared" si="14"/>
        <v>1.0204081632653061</v>
      </c>
    </row>
    <row r="34" spans="1:29" ht="15">
      <c r="A34" s="471"/>
      <c r="B34" s="2993" t="s">
        <v>2559</v>
      </c>
      <c r="C34" s="2616" t="s">
        <v>3110</v>
      </c>
      <c r="D34" s="434">
        <v>100</v>
      </c>
      <c r="E34" s="2616" t="s">
        <v>3110</v>
      </c>
      <c r="F34" s="460">
        <f>SUMIF(105:105,E34,106:106)-SUMIF(105:105,C34,106:106)+100</f>
        <v>100</v>
      </c>
      <c r="G34" s="2616" t="s">
        <v>3110</v>
      </c>
      <c r="H34" s="434">
        <f>SUMIF(105:105,G34,106:106)-SUMIF(105:105,C34,106:106)+100</f>
        <v>100</v>
      </c>
      <c r="I34" s="2616" t="s">
        <v>3110</v>
      </c>
      <c r="J34" s="434">
        <f>SUMIF(105:105,I34,106:106)-SUMIF(105:105,C34,106:106)+100</f>
        <v>100</v>
      </c>
      <c r="K34" s="425">
        <v>2</v>
      </c>
      <c r="L34" s="1139"/>
      <c r="M34" s="1130"/>
      <c r="N34" s="1130"/>
      <c r="O34" s="1130"/>
      <c r="P34" s="3298"/>
      <c r="Q34" s="2994" t="str">
        <f t="shared" si="8"/>
        <v>建筑结构</v>
      </c>
      <c r="R34" s="772" t="s">
        <v>21</v>
      </c>
      <c r="S34" s="773">
        <f t="shared" si="9"/>
        <v>100</v>
      </c>
      <c r="T34" s="772" t="s">
        <v>21</v>
      </c>
      <c r="U34" s="773">
        <f t="shared" si="10"/>
        <v>100</v>
      </c>
      <c r="V34" s="772" t="s">
        <v>21</v>
      </c>
      <c r="W34" s="773">
        <f t="shared" si="11"/>
        <v>100</v>
      </c>
      <c r="X34" s="2996"/>
      <c r="Y34" s="3286"/>
      <c r="Z34" s="2995" t="str">
        <f t="shared" si="15"/>
        <v>建筑结构</v>
      </c>
      <c r="AA34" s="2997">
        <f t="shared" si="12"/>
        <v>1</v>
      </c>
      <c r="AB34" s="2997">
        <f t="shared" si="13"/>
        <v>1</v>
      </c>
      <c r="AC34" s="2997">
        <f t="shared" si="14"/>
        <v>1</v>
      </c>
    </row>
    <row r="35" spans="1:29" ht="15">
      <c r="A35" s="471"/>
      <c r="B35" s="2993" t="s">
        <v>2560</v>
      </c>
      <c r="C35" s="2610" t="s">
        <v>3143</v>
      </c>
      <c r="D35" s="434">
        <v>100</v>
      </c>
      <c r="E35" s="2610" t="s">
        <v>3143</v>
      </c>
      <c r="F35" s="460">
        <f>SUMIF(107:107,E35,108:108)-SUMIF(107:107,C35,108:108)+100</f>
        <v>100</v>
      </c>
      <c r="G35" s="2610" t="s">
        <v>3143</v>
      </c>
      <c r="H35" s="434">
        <f>SUMIF(107:107,G35,108:108)-SUMIF(107:107,C35,108:108)+100</f>
        <v>100</v>
      </c>
      <c r="I35" s="2610" t="s">
        <v>3143</v>
      </c>
      <c r="J35" s="434">
        <f>SUMIF(107:107,I35,108:108)-SUMIF(107:107,C35,108:108)+100</f>
        <v>100</v>
      </c>
      <c r="K35" s="425">
        <v>5</v>
      </c>
      <c r="L35" s="1139"/>
      <c r="M35" s="1130"/>
      <c r="N35" s="1130"/>
      <c r="O35" s="1130"/>
      <c r="P35" s="3298"/>
      <c r="Q35" s="2994" t="str">
        <f t="shared" si="8"/>
        <v>建筑品质</v>
      </c>
      <c r="R35" s="772" t="s">
        <v>21</v>
      </c>
      <c r="S35" s="773">
        <f t="shared" si="9"/>
        <v>100</v>
      </c>
      <c r="T35" s="772" t="s">
        <v>21</v>
      </c>
      <c r="U35" s="773">
        <f t="shared" si="10"/>
        <v>100</v>
      </c>
      <c r="V35" s="772" t="s">
        <v>21</v>
      </c>
      <c r="W35" s="773">
        <f t="shared" si="11"/>
        <v>100</v>
      </c>
      <c r="X35" s="2996"/>
      <c r="Y35" s="3286"/>
      <c r="Z35" s="2995" t="str">
        <f t="shared" si="15"/>
        <v>建筑品质</v>
      </c>
      <c r="AA35" s="2997">
        <f t="shared" si="12"/>
        <v>1</v>
      </c>
      <c r="AB35" s="2997">
        <f t="shared" si="13"/>
        <v>1</v>
      </c>
      <c r="AC35" s="2997">
        <f t="shared" si="14"/>
        <v>1</v>
      </c>
    </row>
    <row r="36" spans="1:29" ht="15">
      <c r="A36" s="471"/>
      <c r="B36" s="2993" t="s">
        <v>2561</v>
      </c>
      <c r="C36" s="2610" t="s">
        <v>3144</v>
      </c>
      <c r="D36" s="434">
        <v>100</v>
      </c>
      <c r="E36" s="2610" t="s">
        <v>3144</v>
      </c>
      <c r="F36" s="460">
        <f>SUMIF(109:109,E36,110:110)-SUMIF(109:109,C36,110:110)+100</f>
        <v>100</v>
      </c>
      <c r="G36" s="2610" t="s">
        <v>3144</v>
      </c>
      <c r="H36" s="434">
        <f>SUMIF(109:109,G36,110:110)-SUMIF(109:109,C36,110:110)+100</f>
        <v>100</v>
      </c>
      <c r="I36" s="2610" t="s">
        <v>3144</v>
      </c>
      <c r="J36" s="434">
        <f>SUMIF(109:109,I36,110:110)-SUMIF(109:109,C36,110:110)+100</f>
        <v>100</v>
      </c>
      <c r="K36" s="425">
        <v>1</v>
      </c>
      <c r="L36" s="1139"/>
      <c r="M36" s="1130"/>
      <c r="N36" s="1130"/>
      <c r="O36" s="1130"/>
      <c r="P36" s="3298"/>
      <c r="Q36" s="2994" t="str">
        <f t="shared" si="8"/>
        <v>公共部分装修</v>
      </c>
      <c r="R36" s="772" t="s">
        <v>21</v>
      </c>
      <c r="S36" s="773">
        <f t="shared" si="9"/>
        <v>100</v>
      </c>
      <c r="T36" s="772" t="s">
        <v>21</v>
      </c>
      <c r="U36" s="773">
        <f t="shared" si="10"/>
        <v>100</v>
      </c>
      <c r="V36" s="772" t="s">
        <v>21</v>
      </c>
      <c r="W36" s="773">
        <f t="shared" si="11"/>
        <v>100</v>
      </c>
      <c r="X36" s="2996"/>
      <c r="Y36" s="3286"/>
      <c r="Z36" s="2995" t="str">
        <f t="shared" si="15"/>
        <v>公共部分装修</v>
      </c>
      <c r="AA36" s="2997">
        <f t="shared" si="12"/>
        <v>1</v>
      </c>
      <c r="AB36" s="2997">
        <f t="shared" si="13"/>
        <v>1</v>
      </c>
      <c r="AC36" s="2997">
        <f t="shared" si="14"/>
        <v>1</v>
      </c>
    </row>
    <row r="37" spans="1:29" s="117" customFormat="1" ht="15">
      <c r="A37" s="472"/>
      <c r="B37" s="2993" t="s">
        <v>2562</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5</v>
      </c>
      <c r="L37" s="1131"/>
      <c r="M37" s="1132"/>
      <c r="N37" s="1132"/>
      <c r="O37" s="1132"/>
      <c r="P37" s="3298"/>
      <c r="Q37" s="2991" t="str">
        <f t="shared" si="8"/>
        <v>成新度</v>
      </c>
      <c r="R37" s="768" t="s">
        <v>21</v>
      </c>
      <c r="S37" s="769">
        <f t="shared" si="9"/>
        <v>100</v>
      </c>
      <c r="T37" s="768" t="s">
        <v>21</v>
      </c>
      <c r="U37" s="769">
        <f t="shared" si="10"/>
        <v>100</v>
      </c>
      <c r="V37" s="768" t="s">
        <v>21</v>
      </c>
      <c r="W37" s="769">
        <f t="shared" si="11"/>
        <v>100</v>
      </c>
      <c r="X37" s="770"/>
      <c r="Y37" s="3286"/>
      <c r="Z37" s="2992" t="str">
        <f t="shared" si="15"/>
        <v>成新度</v>
      </c>
      <c r="AA37" s="771">
        <f t="shared" si="12"/>
        <v>1</v>
      </c>
      <c r="AB37" s="771">
        <f t="shared" si="13"/>
        <v>1</v>
      </c>
      <c r="AC37" s="771">
        <f t="shared" si="14"/>
        <v>1</v>
      </c>
    </row>
    <row r="38" spans="1:29" ht="15">
      <c r="A38" s="471"/>
      <c r="B38" s="2993" t="s">
        <v>2563</v>
      </c>
      <c r="C38" s="2610" t="s">
        <v>3145</v>
      </c>
      <c r="D38" s="434">
        <v>100</v>
      </c>
      <c r="E38" s="2611" t="s">
        <v>3145</v>
      </c>
      <c r="F38" s="460">
        <f>SUMIF(114:114,E38,115:115)-SUMIF(114:114,C38,115:115)+100</f>
        <v>100</v>
      </c>
      <c r="G38" s="2610" t="s">
        <v>3145</v>
      </c>
      <c r="H38" s="434">
        <f>SUMIF(114:114,G38,115:115)-SUMIF(114:114,C38,115:115)+100</f>
        <v>100</v>
      </c>
      <c r="I38" s="2611" t="s">
        <v>3145</v>
      </c>
      <c r="J38" s="434">
        <f>SUMIF(114:114,I38,115:115)-SUMIF(114:114,C38,115:115)+100</f>
        <v>100</v>
      </c>
      <c r="K38" s="425">
        <v>3</v>
      </c>
      <c r="L38" s="1139"/>
      <c r="M38" s="1130"/>
      <c r="N38" s="1130"/>
      <c r="O38" s="1130"/>
      <c r="P38" s="3298" t="s">
        <v>2557</v>
      </c>
      <c r="Q38" s="2994" t="str">
        <f t="shared" si="8"/>
        <v>物业管理</v>
      </c>
      <c r="R38" s="772" t="s">
        <v>21</v>
      </c>
      <c r="S38" s="773">
        <f t="shared" si="9"/>
        <v>100</v>
      </c>
      <c r="T38" s="772" t="s">
        <v>21</v>
      </c>
      <c r="U38" s="773">
        <f t="shared" si="10"/>
        <v>100</v>
      </c>
      <c r="V38" s="772" t="s">
        <v>21</v>
      </c>
      <c r="W38" s="773">
        <f t="shared" si="11"/>
        <v>100</v>
      </c>
      <c r="X38" s="2996"/>
      <c r="Y38" s="3286" t="s">
        <v>2557</v>
      </c>
      <c r="Z38" s="2995" t="str">
        <f t="shared" si="15"/>
        <v>物业管理</v>
      </c>
      <c r="AA38" s="2997">
        <f t="shared" si="12"/>
        <v>1</v>
      </c>
      <c r="AB38" s="2997">
        <f t="shared" si="13"/>
        <v>1</v>
      </c>
      <c r="AC38" s="2997">
        <f t="shared" si="14"/>
        <v>1</v>
      </c>
    </row>
    <row r="39" spans="1:29" ht="15">
      <c r="A39" s="471"/>
      <c r="B39" s="2993" t="s">
        <v>2564</v>
      </c>
      <c r="C39" s="2610" t="s">
        <v>3118</v>
      </c>
      <c r="D39" s="434">
        <v>100</v>
      </c>
      <c r="E39" s="2610" t="s">
        <v>3118</v>
      </c>
      <c r="F39" s="460">
        <f>SUMIF(116:116,E39,117:117)-SUMIF(116:116,C39,117:117)+100</f>
        <v>100</v>
      </c>
      <c r="G39" s="2610" t="s">
        <v>3118</v>
      </c>
      <c r="H39" s="434">
        <f>SUMIF(116:116,G39,117:117)-SUMIF(116:116,C39,117:117)+100</f>
        <v>100</v>
      </c>
      <c r="I39" s="2610" t="s">
        <v>3118</v>
      </c>
      <c r="J39" s="434">
        <f>SUMIF(116:116,I39,117:117)-SUMIF(116:116,C39,117:117)+100</f>
        <v>100</v>
      </c>
      <c r="K39" s="425">
        <v>2</v>
      </c>
      <c r="L39" s="1139"/>
      <c r="M39" s="1130"/>
      <c r="N39" s="1130"/>
      <c r="O39" s="1130"/>
      <c r="P39" s="3298"/>
      <c r="Q39" s="2994" t="str">
        <f t="shared" si="8"/>
        <v>市政基础设施</v>
      </c>
      <c r="R39" s="772" t="s">
        <v>21</v>
      </c>
      <c r="S39" s="773">
        <f t="shared" si="9"/>
        <v>100</v>
      </c>
      <c r="T39" s="772" t="s">
        <v>21</v>
      </c>
      <c r="U39" s="773">
        <f t="shared" si="10"/>
        <v>100</v>
      </c>
      <c r="V39" s="772" t="s">
        <v>21</v>
      </c>
      <c r="W39" s="773">
        <f t="shared" si="11"/>
        <v>100</v>
      </c>
      <c r="X39" s="2996"/>
      <c r="Y39" s="3286"/>
      <c r="Z39" s="2995" t="str">
        <f t="shared" si="15"/>
        <v>市政基础设施</v>
      </c>
      <c r="AA39" s="2997">
        <f t="shared" si="12"/>
        <v>1</v>
      </c>
      <c r="AB39" s="2997">
        <f t="shared" si="13"/>
        <v>1</v>
      </c>
      <c r="AC39" s="2997">
        <f t="shared" si="14"/>
        <v>1</v>
      </c>
    </row>
    <row r="40" spans="1:29" ht="15">
      <c r="A40" s="471"/>
      <c r="B40" s="2993" t="s">
        <v>2565</v>
      </c>
      <c r="C40" s="2610" t="s">
        <v>3146</v>
      </c>
      <c r="D40" s="434">
        <v>100</v>
      </c>
      <c r="E40" s="2611" t="s">
        <v>3146</v>
      </c>
      <c r="F40" s="460">
        <f>SUMIF(118:118,E40,119:119)-SUMIF(118:118,C40,119:119)+100</f>
        <v>100</v>
      </c>
      <c r="G40" s="2610" t="s">
        <v>3146</v>
      </c>
      <c r="H40" s="434">
        <f>SUMIF(118:118,G40,119:119)-SUMIF(118:118,C40,119:119)+100</f>
        <v>100</v>
      </c>
      <c r="I40" s="2611" t="s">
        <v>3146</v>
      </c>
      <c r="J40" s="434">
        <f>SUMIF(118:118,I40,119:119)-SUMIF(118:118,C40,119:119)+100</f>
        <v>100</v>
      </c>
      <c r="K40" s="425">
        <v>10</v>
      </c>
      <c r="L40" s="1139"/>
      <c r="M40" s="1130"/>
      <c r="N40" s="1130"/>
      <c r="O40" s="1130"/>
      <c r="P40" s="3298"/>
      <c r="Q40" s="2994" t="str">
        <f t="shared" si="8"/>
        <v>房型</v>
      </c>
      <c r="R40" s="772" t="s">
        <v>21</v>
      </c>
      <c r="S40" s="773">
        <f t="shared" si="9"/>
        <v>100</v>
      </c>
      <c r="T40" s="772" t="s">
        <v>21</v>
      </c>
      <c r="U40" s="773">
        <f t="shared" si="10"/>
        <v>100</v>
      </c>
      <c r="V40" s="772" t="s">
        <v>21</v>
      </c>
      <c r="W40" s="773">
        <f t="shared" si="11"/>
        <v>100</v>
      </c>
      <c r="X40" s="2996"/>
      <c r="Y40" s="3286"/>
      <c r="Z40" s="2995" t="str">
        <f t="shared" si="15"/>
        <v>房型</v>
      </c>
      <c r="AA40" s="2997">
        <f t="shared" si="12"/>
        <v>1</v>
      </c>
      <c r="AB40" s="2997">
        <f t="shared" si="13"/>
        <v>1</v>
      </c>
      <c r="AC40" s="2997">
        <f t="shared" si="14"/>
        <v>1</v>
      </c>
    </row>
    <row r="41" spans="1:29" s="470" customFormat="1" ht="28.5">
      <c r="A41" s="467"/>
      <c r="B41" s="2993" t="s">
        <v>2566</v>
      </c>
      <c r="C41" s="468">
        <v>50</v>
      </c>
      <c r="D41" s="135">
        <v>100</v>
      </c>
      <c r="E41" s="429">
        <v>40</v>
      </c>
      <c r="F41" s="424">
        <f>SUMIF(120:120,E41,121:121)-SUMIF(120:120,C41,121:121)+100</f>
        <v>100</v>
      </c>
      <c r="G41" s="428">
        <v>36</v>
      </c>
      <c r="H41" s="135">
        <f>SUMIF(120:120,G41,121:121)-SUMIF(120:120,C41,121:121)+100</f>
        <v>100</v>
      </c>
      <c r="I41" s="476">
        <v>26</v>
      </c>
      <c r="J41" s="434">
        <f>SUMIF(120:120,I41,121:121)-SUMIF(120:120,C41,121:121)+100</f>
        <v>100</v>
      </c>
      <c r="K41" s="2598"/>
      <c r="L41" s="1137"/>
      <c r="M41" s="1140"/>
      <c r="N41" s="1140"/>
      <c r="O41" s="1140"/>
      <c r="P41" s="3298"/>
      <c r="Q41" s="774" t="str">
        <f t="shared" si="8"/>
        <v>单套/主力户型建筑面积</v>
      </c>
      <c r="R41" s="775" t="s">
        <v>21</v>
      </c>
      <c r="S41" s="776">
        <f t="shared" si="9"/>
        <v>100</v>
      </c>
      <c r="T41" s="775" t="s">
        <v>21</v>
      </c>
      <c r="U41" s="776">
        <f t="shared" si="10"/>
        <v>100</v>
      </c>
      <c r="V41" s="775" t="s">
        <v>21</v>
      </c>
      <c r="W41" s="776">
        <f t="shared" si="11"/>
        <v>100</v>
      </c>
      <c r="X41" s="777"/>
      <c r="Y41" s="3286"/>
      <c r="Z41" s="778" t="str">
        <f t="shared" si="15"/>
        <v>单套/主力户型建筑面积</v>
      </c>
      <c r="AA41" s="2997">
        <f t="shared" si="12"/>
        <v>1</v>
      </c>
      <c r="AB41" s="2997">
        <f t="shared" si="13"/>
        <v>1</v>
      </c>
      <c r="AC41" s="2997">
        <f t="shared" si="14"/>
        <v>1</v>
      </c>
    </row>
    <row r="42" spans="1:29" ht="15">
      <c r="A42" s="471"/>
      <c r="B42" s="2993" t="s">
        <v>2567</v>
      </c>
      <c r="C42" s="3007" t="s">
        <v>3144</v>
      </c>
      <c r="D42" s="434">
        <v>100</v>
      </c>
      <c r="E42" s="2611" t="s">
        <v>3144</v>
      </c>
      <c r="F42" s="460">
        <f>SUMIF(122:122,E42,123:123)-SUMIF(122:122,C42,123:123)+100</f>
        <v>100</v>
      </c>
      <c r="G42" s="2610" t="s">
        <v>3144</v>
      </c>
      <c r="H42" s="434">
        <f>SUMIF(122:122,G42,123:123)-SUMIF(122:122,C42,123:123)+100</f>
        <v>100</v>
      </c>
      <c r="I42" s="2611" t="s">
        <v>3144</v>
      </c>
      <c r="J42" s="434">
        <f>SUMIF(122:122,I42,123:123)-SUMIF(122:122,C42,123:123)+100</f>
        <v>100</v>
      </c>
      <c r="K42" s="425">
        <v>2</v>
      </c>
      <c r="L42" s="1139"/>
      <c r="M42" s="1130"/>
      <c r="N42" s="1130"/>
      <c r="O42" s="1130"/>
      <c r="P42" s="3298"/>
      <c r="Q42" s="2994" t="str">
        <f t="shared" si="8"/>
        <v>内部装修</v>
      </c>
      <c r="R42" s="772" t="s">
        <v>21</v>
      </c>
      <c r="S42" s="773">
        <f t="shared" si="9"/>
        <v>100</v>
      </c>
      <c r="T42" s="772" t="s">
        <v>21</v>
      </c>
      <c r="U42" s="773">
        <f t="shared" si="10"/>
        <v>100</v>
      </c>
      <c r="V42" s="772" t="s">
        <v>21</v>
      </c>
      <c r="W42" s="773">
        <f t="shared" si="11"/>
        <v>100</v>
      </c>
      <c r="X42" s="2996"/>
      <c r="Y42" s="3286"/>
      <c r="Z42" s="2995" t="str">
        <f t="shared" si="15"/>
        <v>内部装修</v>
      </c>
      <c r="AA42" s="2997">
        <f t="shared" si="12"/>
        <v>1</v>
      </c>
      <c r="AB42" s="2997">
        <f t="shared" si="13"/>
        <v>1</v>
      </c>
      <c r="AC42" s="2997">
        <f t="shared" si="14"/>
        <v>1</v>
      </c>
    </row>
    <row r="43" spans="1:29" ht="15" hidden="1">
      <c r="A43" s="471"/>
      <c r="B43" s="2993" t="s">
        <v>2568</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v>1</v>
      </c>
      <c r="L43" s="1139"/>
      <c r="M43" s="1130"/>
      <c r="N43" s="1130"/>
      <c r="O43" s="1130"/>
      <c r="P43" s="3298"/>
      <c r="Q43" s="2994" t="str">
        <f t="shared" si="8"/>
        <v>内部装修维护情况</v>
      </c>
      <c r="R43" s="772" t="s">
        <v>21</v>
      </c>
      <c r="S43" s="773">
        <f t="shared" si="9"/>
        <v>100</v>
      </c>
      <c r="T43" s="772" t="s">
        <v>21</v>
      </c>
      <c r="U43" s="773">
        <f t="shared" si="10"/>
        <v>100</v>
      </c>
      <c r="V43" s="772" t="s">
        <v>21</v>
      </c>
      <c r="W43" s="773">
        <f t="shared" si="11"/>
        <v>100</v>
      </c>
      <c r="X43" s="2996"/>
      <c r="Y43" s="3286"/>
      <c r="Z43" s="2995" t="str">
        <f t="shared" si="15"/>
        <v>内部装修维护情况</v>
      </c>
      <c r="AA43" s="2997">
        <f t="shared" si="12"/>
        <v>1</v>
      </c>
      <c r="AB43" s="2997">
        <f t="shared" si="13"/>
        <v>1</v>
      </c>
      <c r="AC43" s="2997">
        <f t="shared" si="14"/>
        <v>1</v>
      </c>
    </row>
    <row r="44" spans="1:29" s="117" customFormat="1" ht="15.75" thickBot="1">
      <c r="A44" s="472"/>
      <c r="B44" s="2967"/>
      <c r="C44" s="2969" t="s">
        <v>3150</v>
      </c>
      <c r="D44" s="135">
        <v>100</v>
      </c>
      <c r="E44" s="2969" t="s">
        <v>3149</v>
      </c>
      <c r="F44" s="424">
        <f>SUMIF(126:126,E44,127:127)-SUMIF(126:126,C44,127:127)+100</f>
        <v>110</v>
      </c>
      <c r="G44" s="2969" t="s">
        <v>3150</v>
      </c>
      <c r="H44" s="135">
        <f>SUMIF(126:126,G44,127:127)-SUMIF(126:126,C44,127:127)+100</f>
        <v>100</v>
      </c>
      <c r="I44" s="2969" t="s">
        <v>3149</v>
      </c>
      <c r="J44" s="135">
        <f>SUMIF(126:126,I44,127:127)-SUMIF(126:126,C44,127:127)+100</f>
        <v>110</v>
      </c>
      <c r="K44" s="2598"/>
      <c r="L44" s="1131"/>
      <c r="M44" s="1132"/>
      <c r="N44" s="1132"/>
      <c r="O44" s="1132"/>
      <c r="P44" s="3298"/>
      <c r="Q44" s="2991">
        <f t="shared" si="8"/>
        <v>0</v>
      </c>
      <c r="R44" s="768" t="s">
        <v>21</v>
      </c>
      <c r="S44" s="769">
        <f t="shared" si="9"/>
        <v>110</v>
      </c>
      <c r="T44" s="768" t="s">
        <v>21</v>
      </c>
      <c r="U44" s="769">
        <f t="shared" si="10"/>
        <v>100</v>
      </c>
      <c r="V44" s="768" t="s">
        <v>21</v>
      </c>
      <c r="W44" s="769">
        <f t="shared" si="11"/>
        <v>110</v>
      </c>
      <c r="X44" s="770"/>
      <c r="Y44" s="3286"/>
      <c r="Z44" s="2992">
        <f t="shared" si="15"/>
        <v>0</v>
      </c>
      <c r="AA44" s="771">
        <f t="shared" si="12"/>
        <v>0.90909090909090906</v>
      </c>
      <c r="AB44" s="771">
        <f t="shared" si="13"/>
        <v>1</v>
      </c>
      <c r="AC44" s="771">
        <f t="shared" si="14"/>
        <v>0.90909090909090906</v>
      </c>
    </row>
    <row r="45" spans="1:29" ht="15" hidden="1">
      <c r="A45" s="471"/>
      <c r="B45" s="2967"/>
      <c r="C45" s="3054"/>
      <c r="D45" s="434">
        <v>100</v>
      </c>
      <c r="E45" s="3054"/>
      <c r="F45" s="460">
        <f>SUMIF(128:128,E45,129:129)-SUMIF(128:128,C45,129:129)+100</f>
        <v>100</v>
      </c>
      <c r="G45" s="3054"/>
      <c r="H45" s="434">
        <f>SUMIF(128:128,G45,129:129)-SUMIF(128:128,C45,129:129)+100</f>
        <v>100</v>
      </c>
      <c r="I45" s="3054"/>
      <c r="J45" s="434">
        <f>SUMIF(128:128,I45,129:129)-SUMIF(128:128,C45,129:129)+100</f>
        <v>100</v>
      </c>
      <c r="K45" s="2598"/>
      <c r="L45" s="1139"/>
      <c r="M45" s="1130"/>
      <c r="N45" s="1130"/>
      <c r="O45" s="1130"/>
      <c r="P45" s="3298"/>
      <c r="Q45" s="2994">
        <f t="shared" si="8"/>
        <v>0</v>
      </c>
      <c r="R45" s="772" t="s">
        <v>21</v>
      </c>
      <c r="S45" s="773">
        <f t="shared" si="9"/>
        <v>100</v>
      </c>
      <c r="T45" s="772" t="s">
        <v>21</v>
      </c>
      <c r="U45" s="773">
        <f t="shared" si="10"/>
        <v>100</v>
      </c>
      <c r="V45" s="772" t="s">
        <v>21</v>
      </c>
      <c r="W45" s="773">
        <f t="shared" si="11"/>
        <v>100</v>
      </c>
      <c r="X45" s="2996"/>
      <c r="Y45" s="3286"/>
      <c r="Z45" s="2995">
        <f t="shared" si="15"/>
        <v>0</v>
      </c>
      <c r="AA45" s="2997">
        <f t="shared" si="12"/>
        <v>1</v>
      </c>
      <c r="AB45" s="2997">
        <f t="shared" si="13"/>
        <v>1</v>
      </c>
      <c r="AC45" s="2997">
        <f t="shared" si="14"/>
        <v>1</v>
      </c>
    </row>
    <row r="46" spans="1:29" ht="15.75" hidden="1" thickBot="1">
      <c r="A46" s="477"/>
      <c r="B46" s="2599"/>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299"/>
      <c r="Q46" s="2994">
        <f t="shared" si="8"/>
        <v>0</v>
      </c>
      <c r="R46" s="772" t="s">
        <v>20</v>
      </c>
      <c r="S46" s="773">
        <f t="shared" si="9"/>
        <v>100</v>
      </c>
      <c r="T46" s="772" t="s">
        <v>20</v>
      </c>
      <c r="U46" s="773">
        <f t="shared" si="10"/>
        <v>100</v>
      </c>
      <c r="V46" s="772" t="s">
        <v>20</v>
      </c>
      <c r="W46" s="773">
        <f t="shared" si="11"/>
        <v>100</v>
      </c>
      <c r="X46" s="2996"/>
      <c r="Y46" s="3300"/>
      <c r="Z46" s="2995">
        <f t="shared" si="15"/>
        <v>0</v>
      </c>
      <c r="AA46" s="2997">
        <f t="shared" si="12"/>
        <v>1</v>
      </c>
      <c r="AB46" s="2997">
        <f t="shared" si="13"/>
        <v>1</v>
      </c>
      <c r="AC46" s="2997">
        <f t="shared" si="14"/>
        <v>1</v>
      </c>
    </row>
    <row r="47" spans="1:29" ht="15">
      <c r="A47" s="478" t="s">
        <v>2569</v>
      </c>
      <c r="B47" s="479"/>
      <c r="C47" s="1406" t="s">
        <v>19</v>
      </c>
      <c r="D47" s="1407"/>
      <c r="E47" s="1408">
        <v>32000</v>
      </c>
      <c r="F47" s="1409"/>
      <c r="G47" s="1410">
        <v>28000</v>
      </c>
      <c r="H47" s="1411"/>
      <c r="I47" s="1408">
        <v>30000</v>
      </c>
      <c r="J47" s="1411"/>
      <c r="K47" s="2617"/>
      <c r="L47" s="1142"/>
      <c r="M47" s="1143"/>
      <c r="N47" s="1130"/>
      <c r="O47" s="1143"/>
      <c r="P47" s="3268" t="str">
        <f>A47</f>
        <v>成交单价（元/平方米）</v>
      </c>
      <c r="Q47" s="3268"/>
      <c r="R47" s="3301">
        <f>E47</f>
        <v>32000</v>
      </c>
      <c r="S47" s="3301"/>
      <c r="T47" s="3301">
        <f>G47</f>
        <v>28000</v>
      </c>
      <c r="U47" s="3301"/>
      <c r="V47" s="3301">
        <f>I47</f>
        <v>30000</v>
      </c>
      <c r="W47" s="3301"/>
      <c r="X47" s="757"/>
      <c r="Y47" s="779"/>
      <c r="Z47" s="757"/>
      <c r="AA47" s="757"/>
      <c r="AB47" s="757"/>
      <c r="AC47" s="757"/>
    </row>
    <row r="48" spans="1:29" ht="15.75" thickBot="1">
      <c r="A48" s="485" t="s">
        <v>2570</v>
      </c>
      <c r="B48" s="486"/>
      <c r="C48" s="1412">
        <f>R49</f>
        <v>25352</v>
      </c>
      <c r="D48" s="1413"/>
      <c r="E48" s="1414">
        <f>R48</f>
        <v>26671</v>
      </c>
      <c r="F48" s="1414"/>
      <c r="G48" s="1412">
        <f>T48</f>
        <v>24892</v>
      </c>
      <c r="H48" s="1413"/>
      <c r="I48" s="1414">
        <f>V48</f>
        <v>24493</v>
      </c>
      <c r="J48" s="1413"/>
      <c r="K48" s="2618"/>
      <c r="L48" s="1142"/>
      <c r="M48" s="1143"/>
      <c r="N48" s="1143"/>
      <c r="O48" s="1143"/>
      <c r="P48" s="3268" t="str">
        <f>A48</f>
        <v>比较价值（元/平方米）</v>
      </c>
      <c r="Q48" s="3268"/>
      <c r="R48" s="3301">
        <f>IF(F1="售价",ROUND(PRODUCT(R47,AA7:AA46),0),ROUND(PRODUCT(R47,AA7:AA46),1))</f>
        <v>26671</v>
      </c>
      <c r="S48" s="3301"/>
      <c r="T48" s="3301">
        <f>IF(F1="售价",ROUND(PRODUCT(T47,AB7:AB46),0),ROUND(PRODUCT(T47,AB7:AB46),1))</f>
        <v>24892</v>
      </c>
      <c r="U48" s="3301"/>
      <c r="V48" s="3301">
        <f>IF(F1="售价",ROUND(PRODUCT(V47,AC7:AC46),0),ROUND(PRODUCT(V47,AC7:AC46),1))</f>
        <v>24493</v>
      </c>
      <c r="W48" s="3301"/>
      <c r="X48" s="757"/>
      <c r="Y48" s="757"/>
      <c r="Z48" s="757"/>
      <c r="AA48" s="757"/>
      <c r="AB48" s="757"/>
      <c r="AC48" s="757"/>
    </row>
    <row r="49" spans="1:29" ht="15.75" thickBot="1">
      <c r="A49" s="491" t="s">
        <v>2571</v>
      </c>
      <c r="B49" s="492"/>
      <c r="C49" s="1415">
        <f>R49</f>
        <v>25352</v>
      </c>
      <c r="D49" s="1416"/>
      <c r="E49" s="1416"/>
      <c r="F49" s="1416"/>
      <c r="G49" s="1416"/>
      <c r="H49" s="1416"/>
      <c r="I49" s="1416"/>
      <c r="J49" s="1416"/>
      <c r="K49" s="2619"/>
      <c r="L49" s="1142"/>
      <c r="M49" s="1143"/>
      <c r="N49" s="1143"/>
      <c r="O49" s="1143"/>
      <c r="P49" s="3288" t="str">
        <f>A49</f>
        <v>估价对象XX用房的比较价值（楼面单价，元/平方米）</v>
      </c>
      <c r="Q49" s="3289"/>
      <c r="R49" s="3302">
        <f>IF(F1="售价",ROUND(AVERAGE(R48:V48),0),ROUND(AVERAGE(R48:V48),1))</f>
        <v>25352</v>
      </c>
      <c r="S49" s="3302"/>
      <c r="T49" s="3302"/>
      <c r="U49" s="3302"/>
      <c r="V49" s="3302"/>
      <c r="W49" s="3302"/>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2572</v>
      </c>
      <c r="D52" s="497"/>
      <c r="E52" s="498">
        <f>IF(E47&lt;E48,E48/E47-1,E47/E48-1)</f>
        <v>0.19980503168235164</v>
      </c>
      <c r="F52" s="499" t="str">
        <f>IF(OR(E52&gt;=0.3,E52&lt;=-0.3),"超过30%","")</f>
        <v/>
      </c>
      <c r="G52" s="498">
        <f>IF(G47&lt;G48,G48/G47-1,G47/G48-1)</f>
        <v>0.12485939257592804</v>
      </c>
      <c r="H52" s="499" t="str">
        <f>IF(OR(G52&gt;=0.3,G52&lt;=-0.3),"超过30%","")</f>
        <v/>
      </c>
      <c r="I52" s="498">
        <f>IF(I47&lt;I48,I48/I47-1,I47/I48-1)</f>
        <v>0.22483975013269086</v>
      </c>
      <c r="J52" s="499" t="str">
        <f>IF(OR(I52&gt;=0.3,I52&lt;=-0.3),"超过30%","")</f>
        <v/>
      </c>
      <c r="K52" s="1104"/>
      <c r="L52" s="1105"/>
      <c r="M52" s="1143"/>
      <c r="N52" s="1143"/>
      <c r="O52" s="1143"/>
    </row>
    <row r="53" spans="1:29" ht="13.5" customHeight="1">
      <c r="A53" s="1143"/>
      <c r="B53" s="1143"/>
      <c r="C53" s="496" t="s">
        <v>2573</v>
      </c>
      <c r="D53" s="500"/>
      <c r="E53" s="498">
        <f>IF(E48&lt;G48,G48/E48-1,E48/G48-1)</f>
        <v>7.1468744978306242E-2</v>
      </c>
      <c r="F53" s="499" t="str">
        <f>IF(OR(E53&gt;=0.2,E53&lt;=-0.2),"超过20%","")</f>
        <v/>
      </c>
      <c r="G53" s="498">
        <f>IF(G48&lt;I48,I48/G48-1,G48/I48-1)</f>
        <v>1.629036867676481E-2</v>
      </c>
      <c r="H53" s="499" t="str">
        <f>IF(OR(G53&gt;=0.2,G53&lt;=-0.2),"超过20%","")</f>
        <v/>
      </c>
      <c r="I53" s="498">
        <f>IF(I48&lt;E48,E48/I48-1,I48/E48-1)</f>
        <v>8.8923365859633341E-2</v>
      </c>
      <c r="J53" s="499" t="str">
        <f>IF(OR(I53&gt;=0.2,I53&lt;=-0.2),"超过20%","")</f>
        <v/>
      </c>
      <c r="K53" s="1104"/>
      <c r="L53" s="1105"/>
      <c r="M53" s="1143"/>
      <c r="N53" s="1143"/>
      <c r="O53" s="1143"/>
    </row>
    <row r="54" spans="1:29" s="501" customFormat="1" ht="13.5" customHeight="1">
      <c r="A54" s="1144"/>
      <c r="B54" s="1144"/>
      <c r="C54" s="496" t="s">
        <v>2574</v>
      </c>
      <c r="D54" s="500"/>
      <c r="E54" s="498">
        <f>IF(E47&lt;G47,G47/E47-1,E47/G47-1)</f>
        <v>0.14285714285714279</v>
      </c>
      <c r="F54" s="499" t="str">
        <f>IF(OR(E54&gt;=0.3,E54&lt;=-0.3),"超过30%","")</f>
        <v/>
      </c>
      <c r="G54" s="498">
        <f>IF(G47&lt;I47,I47/G47-1,G47/I47-1)</f>
        <v>7.1428571428571397E-2</v>
      </c>
      <c r="H54" s="499" t="str">
        <f>IF(OR(G54&gt;=0.3,G54&lt;=-0.3),"超过30%","")</f>
        <v/>
      </c>
      <c r="I54" s="498">
        <f>IF(I47&lt;E47,E47/I47-1,I47/E47-1)</f>
        <v>6.6666666666666652E-2</v>
      </c>
      <c r="J54" s="499" t="str">
        <f>IF(OR(I54&gt;=0.3,I54&lt;=-0.3),"超过30%","")</f>
        <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1" t="s">
        <v>2575</v>
      </c>
      <c r="B57" s="757"/>
      <c r="C57" s="762"/>
      <c r="D57" s="762"/>
      <c r="E57" s="762"/>
      <c r="F57" s="763"/>
      <c r="G57" s="763"/>
      <c r="H57" s="762"/>
      <c r="I57" s="762"/>
      <c r="J57" s="762"/>
      <c r="K57" s="1159"/>
      <c r="L57" s="1160"/>
      <c r="M57" s="1158"/>
      <c r="N57" s="1158"/>
      <c r="O57" s="1158"/>
      <c r="P57" s="2622"/>
      <c r="Q57" s="503"/>
    </row>
    <row r="58" spans="1:29" s="507" customFormat="1" ht="15">
      <c r="A58" s="504" t="s">
        <v>2540</v>
      </c>
      <c r="B58" s="505"/>
      <c r="C58" s="1575" t="str">
        <f>YEAR(C7)&amp;"-"&amp;MONTH(C7)</f>
        <v>2018-8</v>
      </c>
      <c r="D58" s="1574">
        <f>EDATE(C58,-1)</f>
        <v>43282</v>
      </c>
      <c r="E58" s="1574">
        <f>EDATE(D58,-1)</f>
        <v>43252</v>
      </c>
      <c r="F58" s="1574">
        <f t="shared" ref="F58:O58" si="16">EDATE(E58,-1)</f>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 t="shared" si="16"/>
        <v>42948</v>
      </c>
      <c r="P58" s="1569"/>
    </row>
    <row r="59" spans="1:29" s="117" customFormat="1" ht="15">
      <c r="A59" s="508"/>
      <c r="B59" s="2623"/>
      <c r="C59" s="1572">
        <v>100</v>
      </c>
      <c r="D59" s="510"/>
      <c r="E59" s="511"/>
      <c r="F59" s="511"/>
      <c r="G59" s="511"/>
      <c r="H59" s="511"/>
      <c r="I59" s="511"/>
      <c r="J59" s="511"/>
      <c r="K59" s="511"/>
      <c r="L59" s="511"/>
      <c r="M59" s="512"/>
      <c r="N59" s="511"/>
      <c r="O59" s="512"/>
      <c r="P59" s="2624"/>
    </row>
    <row r="60" spans="1:29" s="117" customFormat="1" ht="15.75" thickBot="1">
      <c r="A60" s="514" t="s">
        <v>2577</v>
      </c>
      <c r="B60" s="515"/>
      <c r="C60" s="516"/>
      <c r="D60" s="517"/>
      <c r="E60" s="517"/>
      <c r="F60" s="517"/>
      <c r="G60" s="517"/>
      <c r="H60" s="517"/>
      <c r="I60" s="517"/>
      <c r="J60" s="517"/>
      <c r="K60" s="517"/>
      <c r="L60" s="517"/>
      <c r="M60" s="518"/>
      <c r="N60" s="517"/>
      <c r="O60" s="518"/>
      <c r="P60" s="2624"/>
      <c r="Q60" s="503"/>
    </row>
    <row r="61" spans="1:29" s="117" customFormat="1" ht="15">
      <c r="A61" s="520" t="s">
        <v>2542</v>
      </c>
      <c r="B61" s="509"/>
      <c r="C61" s="521" t="s">
        <v>2579</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2580</v>
      </c>
      <c r="B63" s="527" t="s">
        <v>2546</v>
      </c>
      <c r="C63" s="528" t="str">
        <f>C9</f>
        <v>商住</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1"/>
      <c r="O65" s="1151"/>
      <c r="P65" s="2626"/>
      <c r="Q65" s="503"/>
    </row>
    <row r="66" spans="1:17" ht="15.75" thickBot="1">
      <c r="A66" s="533"/>
      <c r="B66" s="542"/>
      <c r="C66" s="543">
        <v>100</v>
      </c>
      <c r="D66" s="543">
        <f t="shared" ref="D66:I66" si="17">C66-$K10</f>
        <v>99</v>
      </c>
      <c r="E66" s="543">
        <f t="shared" si="17"/>
        <v>98</v>
      </c>
      <c r="F66" s="543">
        <f t="shared" si="17"/>
        <v>97</v>
      </c>
      <c r="G66" s="543">
        <f t="shared" si="17"/>
        <v>96</v>
      </c>
      <c r="H66" s="543">
        <f t="shared" si="17"/>
        <v>95</v>
      </c>
      <c r="I66" s="543">
        <f t="shared" si="17"/>
        <v>94</v>
      </c>
      <c r="J66" s="543"/>
      <c r="K66" s="543"/>
      <c r="L66" s="543"/>
      <c r="M66" s="544"/>
      <c r="N66" s="1152"/>
      <c r="O66" s="1152"/>
      <c r="P66" s="2626"/>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3（含）-4</v>
      </c>
      <c r="G67" s="546" t="str">
        <f t="shared" si="18"/>
        <v>4（含）-5</v>
      </c>
      <c r="H67" s="546" t="str">
        <f t="shared" si="18"/>
        <v>5（含）-6</v>
      </c>
      <c r="I67" s="546" t="str">
        <f t="shared" si="18"/>
        <v>6（含）-7</v>
      </c>
      <c r="J67" s="546" t="str">
        <f t="shared" si="18"/>
        <v>7（含）-8</v>
      </c>
      <c r="K67" s="546" t="str">
        <f>K68&amp;"（含）"&amp;"-"&amp;L68</f>
        <v>8（含）-9</v>
      </c>
      <c r="L67" s="546" t="str">
        <f t="shared" si="18"/>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9">
        <v>8</v>
      </c>
      <c r="L68" s="550">
        <v>9</v>
      </c>
      <c r="M68" s="551">
        <v>10</v>
      </c>
      <c r="N68" s="1151"/>
      <c r="O68" s="1151"/>
      <c r="P68" s="2626"/>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2"/>
      <c r="O69" s="1152"/>
      <c r="P69" s="2626"/>
      <c r="Q69" s="503"/>
    </row>
    <row r="70" spans="1:17" s="470" customFormat="1" ht="16.5" hidden="1" thickTop="1" thickBot="1">
      <c r="A70" s="552"/>
      <c r="B70" s="537">
        <f>B12</f>
        <v>0</v>
      </c>
      <c r="C70" s="553"/>
      <c r="D70" s="553"/>
      <c r="E70" s="553"/>
      <c r="F70" s="553"/>
      <c r="G70" s="553"/>
      <c r="H70" s="554"/>
      <c r="I70" s="554"/>
      <c r="J70" s="554"/>
      <c r="K70" s="554"/>
      <c r="L70" s="555"/>
      <c r="M70" s="556"/>
      <c r="N70" s="1153"/>
      <c r="O70" s="1153"/>
      <c r="P70" s="2627"/>
      <c r="Q70" s="558"/>
    </row>
    <row r="71" spans="1:17" s="470" customFormat="1" ht="16.5" hidden="1" thickTop="1" thickBot="1">
      <c r="A71" s="552"/>
      <c r="B71" s="542"/>
      <c r="C71" s="559"/>
      <c r="D71" s="535"/>
      <c r="E71" s="535"/>
      <c r="F71" s="535"/>
      <c r="G71" s="535"/>
      <c r="H71" s="535"/>
      <c r="I71" s="535"/>
      <c r="J71" s="535"/>
      <c r="K71" s="535"/>
      <c r="L71" s="535"/>
      <c r="M71" s="536"/>
      <c r="N71" s="1152"/>
      <c r="O71" s="1152"/>
      <c r="P71" s="2627"/>
      <c r="Q71" s="558"/>
    </row>
    <row r="72" spans="1:17" s="470" customFormat="1" ht="16.5" hidden="1" thickTop="1" thickBot="1">
      <c r="A72" s="552"/>
      <c r="B72" s="537">
        <f>B13</f>
        <v>0</v>
      </c>
      <c r="C72" s="553"/>
      <c r="D72" s="553"/>
      <c r="E72" s="553"/>
      <c r="F72" s="553"/>
      <c r="G72" s="553"/>
      <c r="H72" s="554"/>
      <c r="I72" s="554"/>
      <c r="J72" s="554"/>
      <c r="K72" s="554"/>
      <c r="L72" s="555"/>
      <c r="M72" s="556"/>
      <c r="N72" s="1153"/>
      <c r="O72" s="1153"/>
      <c r="P72" s="2628"/>
      <c r="Q72" s="560"/>
    </row>
    <row r="73" spans="1:17" s="470" customFormat="1" ht="16.5" hidden="1" thickTop="1" thickBot="1">
      <c r="A73" s="552"/>
      <c r="B73" s="542"/>
      <c r="C73" s="559"/>
      <c r="D73" s="559"/>
      <c r="E73" s="559"/>
      <c r="F73" s="559"/>
      <c r="G73" s="559"/>
      <c r="H73" s="561"/>
      <c r="I73" s="561"/>
      <c r="J73" s="561"/>
      <c r="K73" s="561"/>
      <c r="L73" s="561"/>
      <c r="M73" s="562"/>
      <c r="N73" s="1153"/>
      <c r="O73" s="1153"/>
      <c r="P73" s="2627"/>
      <c r="Q73" s="558"/>
    </row>
    <row r="74" spans="1:17" s="470" customFormat="1" ht="16.5" hidden="1" thickTop="1" thickBot="1">
      <c r="A74" s="552"/>
      <c r="B74" s="545">
        <f>B14</f>
        <v>0</v>
      </c>
      <c r="C74" s="553"/>
      <c r="D74" s="553"/>
      <c r="E74" s="553"/>
      <c r="F74" s="553"/>
      <c r="G74" s="522"/>
      <c r="H74" s="563"/>
      <c r="I74" s="563"/>
      <c r="J74" s="563"/>
      <c r="K74" s="563"/>
      <c r="L74" s="564"/>
      <c r="M74" s="565"/>
      <c r="N74" s="1153"/>
      <c r="O74" s="1153"/>
      <c r="P74" s="2629"/>
      <c r="Q74" s="558"/>
    </row>
    <row r="75" spans="1:17" s="470" customFormat="1" ht="16.5" hidden="1" thickTop="1" thickBot="1">
      <c r="A75" s="567"/>
      <c r="B75" s="568"/>
      <c r="C75" s="569"/>
      <c r="D75" s="569"/>
      <c r="E75" s="569"/>
      <c r="F75" s="569"/>
      <c r="G75" s="569"/>
      <c r="H75" s="570"/>
      <c r="I75" s="570"/>
      <c r="J75" s="570"/>
      <c r="K75" s="570"/>
      <c r="L75" s="570"/>
      <c r="M75" s="571"/>
      <c r="N75" s="1153"/>
      <c r="O75" s="1153"/>
      <c r="P75" s="2627"/>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1"/>
      <c r="O76" s="1151"/>
      <c r="P76" s="2630"/>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6"/>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1"/>
      <c r="O78" s="1151"/>
      <c r="P78" s="2626"/>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6"/>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1"/>
      <c r="O80" s="1151"/>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6"/>
      <c r="Q81" s="503"/>
    </row>
    <row r="82" spans="1:17" ht="15.75" thickTop="1">
      <c r="A82" s="533"/>
      <c r="B82" s="545" t="s">
        <v>2094</v>
      </c>
      <c r="C82" s="538" t="s">
        <v>2596</v>
      </c>
      <c r="D82" s="538" t="s">
        <v>2597</v>
      </c>
      <c r="E82" s="538" t="s">
        <v>2598</v>
      </c>
      <c r="F82" s="538" t="s">
        <v>2599</v>
      </c>
      <c r="G82" s="538" t="s">
        <v>2600</v>
      </c>
      <c r="H82" s="538"/>
      <c r="I82" s="538"/>
      <c r="J82" s="538"/>
      <c r="K82" s="538"/>
      <c r="L82" s="538"/>
      <c r="M82" s="1381"/>
      <c r="N82" s="1152"/>
      <c r="O82" s="1152"/>
      <c r="P82" s="2626"/>
      <c r="Q82" s="503"/>
    </row>
    <row r="83" spans="1:17" ht="15.75" thickBot="1">
      <c r="A83" s="533"/>
      <c r="B83" s="545"/>
      <c r="C83" s="659">
        <v>100</v>
      </c>
      <c r="D83" s="659">
        <f>C83-$K21</f>
        <v>97</v>
      </c>
      <c r="E83" s="659">
        <f>D83-$K21</f>
        <v>94</v>
      </c>
      <c r="F83" s="659">
        <f>E83-$K21</f>
        <v>91</v>
      </c>
      <c r="G83" s="659">
        <f>F83-$K21</f>
        <v>88</v>
      </c>
      <c r="H83" s="659"/>
      <c r="I83" s="659"/>
      <c r="J83" s="659"/>
      <c r="K83" s="659"/>
      <c r="L83" s="659"/>
      <c r="M83" s="449"/>
      <c r="N83" s="1152"/>
      <c r="O83" s="1152"/>
      <c r="P83" s="2626"/>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1"/>
      <c r="O84" s="1151"/>
      <c r="P84" s="2626"/>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6"/>
      <c r="Q85" s="503"/>
    </row>
    <row r="86" spans="1:17" s="117" customFormat="1" ht="15.75" thickTop="1">
      <c r="A86" s="578"/>
      <c r="B86" s="537" t="s">
        <v>2602</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
        <v>2603</v>
      </c>
      <c r="C88" s="553"/>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2"/>
      <c r="O89" s="1152"/>
      <c r="P89" s="2626"/>
      <c r="Q89" s="503"/>
    </row>
    <row r="90" spans="1:17" s="470" customFormat="1" ht="16.5" hidden="1" thickTop="1" thickBot="1">
      <c r="A90" s="552"/>
      <c r="B90" s="537">
        <f>B27</f>
        <v>0</v>
      </c>
      <c r="C90" s="553"/>
      <c r="D90" s="553"/>
      <c r="E90" s="553"/>
      <c r="F90" s="553"/>
      <c r="G90" s="553"/>
      <c r="H90" s="554"/>
      <c r="I90" s="554"/>
      <c r="J90" s="554"/>
      <c r="K90" s="554"/>
      <c r="L90" s="555"/>
      <c r="M90" s="556"/>
      <c r="N90" s="1153"/>
      <c r="O90" s="1153"/>
      <c r="P90" s="2627"/>
      <c r="Q90" s="558"/>
    </row>
    <row r="91" spans="1:17" s="470" customFormat="1" ht="16.5" hidden="1" thickTop="1" thickBot="1">
      <c r="A91" s="552"/>
      <c r="B91" s="542"/>
      <c r="C91" s="559"/>
      <c r="D91" s="559"/>
      <c r="E91" s="559"/>
      <c r="F91" s="559"/>
      <c r="G91" s="559"/>
      <c r="H91" s="561"/>
      <c r="I91" s="561"/>
      <c r="J91" s="561"/>
      <c r="K91" s="561"/>
      <c r="L91" s="561"/>
      <c r="M91" s="562"/>
      <c r="N91" s="1153"/>
      <c r="O91" s="1153"/>
      <c r="P91" s="2627"/>
      <c r="Q91" s="558"/>
    </row>
    <row r="92" spans="1:17" ht="16.5" hidden="1" thickTop="1" thickBot="1">
      <c r="A92" s="533"/>
      <c r="B92" s="537">
        <f>B28</f>
        <v>0</v>
      </c>
      <c r="C92" s="553"/>
      <c r="D92" s="553"/>
      <c r="E92" s="553"/>
      <c r="F92" s="553"/>
      <c r="G92" s="582"/>
      <c r="H92" s="582"/>
      <c r="I92" s="582"/>
      <c r="J92" s="582"/>
      <c r="K92" s="583"/>
      <c r="L92" s="584"/>
      <c r="M92" s="585"/>
      <c r="N92" s="1151"/>
      <c r="O92" s="1151"/>
      <c r="P92" s="2626"/>
      <c r="Q92" s="503"/>
    </row>
    <row r="93" spans="1:17" ht="16.5" hidden="1" thickTop="1" thickBot="1">
      <c r="A93" s="533"/>
      <c r="B93" s="542"/>
      <c r="C93" s="559"/>
      <c r="D93" s="535"/>
      <c r="E93" s="535"/>
      <c r="F93" s="535"/>
      <c r="G93" s="535"/>
      <c r="H93" s="535"/>
      <c r="I93" s="535"/>
      <c r="J93" s="535"/>
      <c r="K93" s="535"/>
      <c r="L93" s="535"/>
      <c r="M93" s="536"/>
      <c r="N93" s="1152"/>
      <c r="O93" s="1152"/>
      <c r="P93" s="2626"/>
      <c r="Q93" s="503"/>
    </row>
    <row r="94" spans="1:17" ht="16.5" hidden="1" thickTop="1" thickBot="1">
      <c r="A94" s="533"/>
      <c r="B94" s="537">
        <f>B29</f>
        <v>0</v>
      </c>
      <c r="C94" s="553"/>
      <c r="D94" s="553"/>
      <c r="E94" s="553"/>
      <c r="F94" s="553"/>
      <c r="G94" s="582"/>
      <c r="H94" s="582"/>
      <c r="I94" s="582"/>
      <c r="J94" s="582"/>
      <c r="K94" s="583"/>
      <c r="L94" s="584"/>
      <c r="M94" s="585"/>
      <c r="N94" s="1151"/>
      <c r="O94" s="1151"/>
      <c r="P94" s="2626"/>
      <c r="Q94" s="503"/>
    </row>
    <row r="95" spans="1:17" ht="16.5" hidden="1" thickTop="1" thickBot="1">
      <c r="A95" s="533"/>
      <c r="B95" s="542"/>
      <c r="C95" s="559"/>
      <c r="D95" s="559"/>
      <c r="E95" s="559"/>
      <c r="F95" s="559"/>
      <c r="G95" s="535"/>
      <c r="H95" s="535"/>
      <c r="I95" s="535"/>
      <c r="J95" s="535"/>
      <c r="K95" s="535"/>
      <c r="L95" s="535"/>
      <c r="M95" s="536"/>
      <c r="N95" s="1152"/>
      <c r="O95" s="1152"/>
      <c r="P95" s="2626"/>
      <c r="Q95" s="503"/>
    </row>
    <row r="96" spans="1:17" ht="16.5" hidden="1" thickTop="1" thickBot="1">
      <c r="A96" s="533"/>
      <c r="B96" s="537">
        <f>B30</f>
        <v>0</v>
      </c>
      <c r="C96" s="553"/>
      <c r="D96" s="553"/>
      <c r="E96" s="553"/>
      <c r="F96" s="553"/>
      <c r="G96" s="582"/>
      <c r="H96" s="582"/>
      <c r="I96" s="582"/>
      <c r="J96" s="582"/>
      <c r="K96" s="583"/>
      <c r="L96" s="584"/>
      <c r="M96" s="585"/>
      <c r="N96" s="1151"/>
      <c r="O96" s="1151"/>
      <c r="P96" s="2626"/>
      <c r="Q96" s="503"/>
    </row>
    <row r="97" spans="1:17" ht="16.5" hidden="1" thickTop="1" thickBot="1">
      <c r="A97" s="533"/>
      <c r="B97" s="542"/>
      <c r="C97" s="569"/>
      <c r="D97" s="569"/>
      <c r="E97" s="569"/>
      <c r="F97" s="569"/>
      <c r="G97" s="535"/>
      <c r="H97" s="535"/>
      <c r="I97" s="535"/>
      <c r="J97" s="535"/>
      <c r="K97" s="535"/>
      <c r="L97" s="535"/>
      <c r="M97" s="536"/>
      <c r="N97" s="1152"/>
      <c r="O97" s="1152"/>
      <c r="P97" s="2626"/>
      <c r="Q97" s="503"/>
    </row>
    <row r="98" spans="1:17" ht="16.5" hidden="1" thickTop="1" thickBot="1">
      <c r="A98" s="533"/>
      <c r="B98" s="545">
        <f>B31</f>
        <v>0</v>
      </c>
      <c r="C98" s="586"/>
      <c r="D98" s="586"/>
      <c r="E98" s="586"/>
      <c r="F98" s="586"/>
      <c r="G98" s="586"/>
      <c r="H98" s="586"/>
      <c r="I98" s="586"/>
      <c r="J98" s="586"/>
      <c r="K98" s="587"/>
      <c r="L98" s="588"/>
      <c r="M98" s="589"/>
      <c r="N98" s="1151"/>
      <c r="O98" s="1151"/>
      <c r="P98" s="2626"/>
      <c r="Q98" s="503"/>
    </row>
    <row r="99" spans="1:17" ht="16.5" hidden="1" thickTop="1" thickBot="1">
      <c r="A99" s="2632"/>
      <c r="B99" s="568"/>
      <c r="C99" s="590"/>
      <c r="D99" s="590"/>
      <c r="E99" s="590"/>
      <c r="F99" s="590"/>
      <c r="G99" s="590"/>
      <c r="H99" s="590"/>
      <c r="I99" s="590"/>
      <c r="J99" s="590"/>
      <c r="K99" s="590"/>
      <c r="L99" s="590"/>
      <c r="M99" s="591"/>
      <c r="N99" s="1152"/>
      <c r="O99" s="1152"/>
      <c r="P99" s="2626"/>
      <c r="Q99" s="503"/>
    </row>
    <row r="100" spans="1:17" ht="15" thickTop="1">
      <c r="A100" s="526" t="s">
        <v>2555</v>
      </c>
      <c r="B100" s="527" t="s">
        <v>2604</v>
      </c>
      <c r="C100" s="2964" t="s">
        <v>3121</v>
      </c>
      <c r="D100" s="2964" t="s">
        <v>3122</v>
      </c>
      <c r="E100" s="2964" t="s">
        <v>3123</v>
      </c>
      <c r="F100" s="2964" t="s">
        <v>3124</v>
      </c>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2"/>
      <c r="O101" s="1152"/>
      <c r="P101" s="2626"/>
      <c r="Q101" s="503"/>
    </row>
    <row r="102" spans="1:17" ht="29.25" thickTop="1">
      <c r="A102" s="533"/>
      <c r="B102" s="537" t="s">
        <v>2605</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500000(含)-600000</v>
      </c>
      <c r="I102" s="577" t="str">
        <f t="shared" si="23"/>
        <v>600000(含)-</v>
      </c>
      <c r="J102" s="577" t="str">
        <f t="shared" si="23"/>
        <v>(含)-</v>
      </c>
      <c r="K102" s="577" t="str">
        <f>K103&amp;"(含)"&amp;"-"&amp;L103</f>
        <v>(含)-</v>
      </c>
      <c r="L102" s="577" t="str">
        <f t="shared" si="23"/>
        <v>(含)-</v>
      </c>
      <c r="M102" s="577" t="str">
        <f>M103&amp;"(含)"&amp;"-"&amp;P103</f>
        <v>(含)-</v>
      </c>
      <c r="N102" s="1150"/>
      <c r="O102" s="1150"/>
      <c r="P102" s="2626"/>
      <c r="Q102" s="503"/>
    </row>
    <row r="103" spans="1:17" s="470" customFormat="1">
      <c r="A103" s="592"/>
      <c r="B103" s="593"/>
      <c r="C103" s="594">
        <v>0</v>
      </c>
      <c r="D103" s="594">
        <v>100000</v>
      </c>
      <c r="E103" s="594">
        <v>200000</v>
      </c>
      <c r="F103" s="594">
        <v>300000</v>
      </c>
      <c r="G103" s="594">
        <v>400000</v>
      </c>
      <c r="H103" s="594">
        <v>500000</v>
      </c>
      <c r="I103" s="594">
        <v>600000</v>
      </c>
      <c r="J103" s="595"/>
      <c r="K103" s="595"/>
      <c r="L103" s="596"/>
      <c r="M103" s="597"/>
      <c r="N103" s="1153"/>
      <c r="O103" s="1153"/>
      <c r="P103" s="2627"/>
      <c r="Q103" s="558"/>
    </row>
    <row r="104" spans="1:17" s="470" customFormat="1" ht="15.75" thickBot="1">
      <c r="A104" s="552"/>
      <c r="B104" s="542"/>
      <c r="C104" s="559">
        <v>100</v>
      </c>
      <c r="D104" s="535">
        <v>101</v>
      </c>
      <c r="E104" s="535">
        <v>102</v>
      </c>
      <c r="F104" s="535">
        <v>103</v>
      </c>
      <c r="G104" s="535">
        <v>104</v>
      </c>
      <c r="H104" s="535">
        <v>105</v>
      </c>
      <c r="I104" s="535">
        <v>106</v>
      </c>
      <c r="J104" s="535"/>
      <c r="K104" s="535"/>
      <c r="L104" s="535"/>
      <c r="M104" s="535"/>
      <c r="N104" s="1152"/>
      <c r="O104" s="1152"/>
      <c r="P104" s="2627"/>
      <c r="Q104" s="558"/>
    </row>
    <row r="105" spans="1:17" ht="15" thickTop="1">
      <c r="A105" s="598"/>
      <c r="B105" s="537" t="s">
        <v>2606</v>
      </c>
      <c r="C105" s="2965" t="s">
        <v>3125</v>
      </c>
      <c r="D105" s="2965" t="s">
        <v>3126</v>
      </c>
      <c r="E105" s="2966" t="s">
        <v>3127</v>
      </c>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2"/>
      <c r="O106" s="1152"/>
      <c r="P106" s="2626"/>
      <c r="Q106" s="503"/>
    </row>
    <row r="107" spans="1:17" ht="15" thickTop="1">
      <c r="A107" s="598"/>
      <c r="B107" s="537" t="s">
        <v>2607</v>
      </c>
      <c r="C107" s="2966" t="s">
        <v>3128</v>
      </c>
      <c r="D107" s="2966" t="s">
        <v>3129</v>
      </c>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95</v>
      </c>
      <c r="E108" s="543">
        <f t="shared" si="25"/>
        <v>90</v>
      </c>
      <c r="F108" s="543">
        <f t="shared" si="25"/>
        <v>85</v>
      </c>
      <c r="G108" s="543">
        <f t="shared" si="25"/>
        <v>80</v>
      </c>
      <c r="H108" s="543">
        <f t="shared" si="25"/>
        <v>75</v>
      </c>
      <c r="I108" s="543">
        <f t="shared" si="25"/>
        <v>70</v>
      </c>
      <c r="J108" s="543">
        <f t="shared" si="25"/>
        <v>65</v>
      </c>
      <c r="K108" s="543">
        <f t="shared" si="25"/>
        <v>60</v>
      </c>
      <c r="L108" s="543">
        <f t="shared" si="25"/>
        <v>55</v>
      </c>
      <c r="M108" s="543">
        <f t="shared" si="25"/>
        <v>50</v>
      </c>
      <c r="N108" s="1152"/>
      <c r="O108" s="1152"/>
      <c r="P108" s="2626"/>
      <c r="Q108" s="503"/>
    </row>
    <row r="109" spans="1:17" ht="15" thickTop="1">
      <c r="A109" s="598"/>
      <c r="B109" s="537" t="s">
        <v>2608</v>
      </c>
      <c r="C109" s="2965" t="s">
        <v>3130</v>
      </c>
      <c r="D109" s="2965" t="s">
        <v>3131</v>
      </c>
      <c r="E109" s="2965" t="s">
        <v>3132</v>
      </c>
      <c r="F109" s="2966" t="s">
        <v>3133</v>
      </c>
      <c r="G109" s="582"/>
      <c r="H109" s="582"/>
      <c r="I109" s="582"/>
      <c r="J109" s="582"/>
      <c r="K109" s="583"/>
      <c r="L109" s="584"/>
      <c r="M109" s="585"/>
      <c r="N109" s="1151"/>
      <c r="O109" s="1151"/>
      <c r="P109" s="2626"/>
      <c r="Q109" s="503"/>
    </row>
    <row r="110" spans="1:17" ht="15.75" thickBot="1">
      <c r="A110" s="533"/>
      <c r="B110" s="542"/>
      <c r="C110" s="543">
        <v>100</v>
      </c>
      <c r="D110" s="543">
        <f t="shared" ref="D110:M110" si="26">C110-$K36</f>
        <v>99</v>
      </c>
      <c r="E110" s="543">
        <f t="shared" si="26"/>
        <v>98</v>
      </c>
      <c r="F110" s="543">
        <f t="shared" si="26"/>
        <v>97</v>
      </c>
      <c r="G110" s="543">
        <f t="shared" si="26"/>
        <v>96</v>
      </c>
      <c r="H110" s="543">
        <f t="shared" si="26"/>
        <v>95</v>
      </c>
      <c r="I110" s="543">
        <f t="shared" si="26"/>
        <v>94</v>
      </c>
      <c r="J110" s="543">
        <f t="shared" si="26"/>
        <v>93</v>
      </c>
      <c r="K110" s="543">
        <f t="shared" si="26"/>
        <v>92</v>
      </c>
      <c r="L110" s="543">
        <f t="shared" si="26"/>
        <v>91</v>
      </c>
      <c r="M110" s="543">
        <f t="shared" si="26"/>
        <v>90</v>
      </c>
      <c r="N110" s="1152"/>
      <c r="O110" s="1152"/>
      <c r="P110" s="262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105</v>
      </c>
      <c r="E113" s="543">
        <f>D113+$K37</f>
        <v>110</v>
      </c>
      <c r="F113" s="543">
        <f>E113+$K37</f>
        <v>115</v>
      </c>
      <c r="G113" s="543">
        <f>F113+$K37</f>
        <v>120</v>
      </c>
      <c r="H113" s="543">
        <f>G113+$K37</f>
        <v>125</v>
      </c>
      <c r="I113" s="581"/>
      <c r="J113" s="606"/>
      <c r="K113" s="606"/>
      <c r="L113" s="606"/>
      <c r="M113" s="607"/>
      <c r="N113" s="1153"/>
      <c r="O113" s="1153"/>
      <c r="P113" s="2627"/>
      <c r="Q113" s="558"/>
    </row>
    <row r="114" spans="1:17" ht="15" thickTop="1">
      <c r="A114" s="598"/>
      <c r="B114" s="537" t="s">
        <v>2609</v>
      </c>
      <c r="C114" s="2965" t="s">
        <v>3134</v>
      </c>
      <c r="D114" s="2965" t="s">
        <v>3135</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7">C115-$K38</f>
        <v>97</v>
      </c>
      <c r="E115" s="543">
        <f t="shared" si="27"/>
        <v>94</v>
      </c>
      <c r="F115" s="543">
        <f t="shared" si="27"/>
        <v>91</v>
      </c>
      <c r="G115" s="543">
        <f t="shared" si="27"/>
        <v>88</v>
      </c>
      <c r="H115" s="543">
        <f t="shared" si="27"/>
        <v>85</v>
      </c>
      <c r="I115" s="543">
        <f t="shared" si="27"/>
        <v>82</v>
      </c>
      <c r="J115" s="543">
        <f t="shared" si="27"/>
        <v>79</v>
      </c>
      <c r="K115" s="543">
        <f t="shared" si="27"/>
        <v>76</v>
      </c>
      <c r="L115" s="543">
        <f t="shared" si="27"/>
        <v>73</v>
      </c>
      <c r="M115" s="543">
        <f t="shared" si="27"/>
        <v>70</v>
      </c>
      <c r="N115" s="1152"/>
      <c r="O115" s="1152"/>
      <c r="P115" s="2626"/>
      <c r="Q115" s="503"/>
    </row>
    <row r="116" spans="1:17" ht="15" thickTop="1">
      <c r="A116" s="598"/>
      <c r="B116" s="537" t="s">
        <v>2610</v>
      </c>
      <c r="C116" s="2965" t="s">
        <v>3136</v>
      </c>
      <c r="D116" s="2965" t="s">
        <v>3137</v>
      </c>
      <c r="E116" s="2965" t="s">
        <v>3138</v>
      </c>
      <c r="F116" s="2965" t="s">
        <v>3139</v>
      </c>
      <c r="G116" s="2965" t="s">
        <v>3140</v>
      </c>
      <c r="H116" s="582"/>
      <c r="I116" s="582"/>
      <c r="J116" s="582"/>
      <c r="K116" s="583"/>
      <c r="L116" s="584"/>
      <c r="M116" s="585"/>
      <c r="N116" s="1151"/>
      <c r="O116" s="1151"/>
      <c r="P116" s="2626"/>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6"/>
      <c r="Q117" s="503"/>
    </row>
    <row r="118" spans="1:17" ht="15" thickTop="1">
      <c r="A118" s="598"/>
      <c r="B118" s="537" t="s">
        <v>2611</v>
      </c>
      <c r="C118" s="2966" t="s">
        <v>3141</v>
      </c>
      <c r="D118" s="2966" t="s">
        <v>3142</v>
      </c>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28">C119-$K40</f>
        <v>90</v>
      </c>
      <c r="E119" s="543">
        <f t="shared" si="28"/>
        <v>80</v>
      </c>
      <c r="F119" s="543">
        <f t="shared" si="28"/>
        <v>70</v>
      </c>
      <c r="G119" s="543">
        <f t="shared" si="28"/>
        <v>60</v>
      </c>
      <c r="H119" s="543">
        <f t="shared" si="28"/>
        <v>50</v>
      </c>
      <c r="I119" s="543">
        <f t="shared" si="28"/>
        <v>40</v>
      </c>
      <c r="J119" s="543">
        <f t="shared" si="28"/>
        <v>30</v>
      </c>
      <c r="K119" s="543">
        <f t="shared" si="28"/>
        <v>20</v>
      </c>
      <c r="L119" s="543">
        <f t="shared" si="28"/>
        <v>10</v>
      </c>
      <c r="M119" s="543">
        <f t="shared" si="28"/>
        <v>0</v>
      </c>
      <c r="N119" s="1152"/>
      <c r="O119" s="1152"/>
      <c r="P119" s="2626"/>
      <c r="Q119" s="503"/>
    </row>
    <row r="120" spans="1:17" s="470" customFormat="1" ht="28.5" thickTop="1">
      <c r="A120" s="592"/>
      <c r="B120" s="537" t="s">
        <v>2566</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2612</v>
      </c>
      <c r="C122" s="2965" t="s">
        <v>3130</v>
      </c>
      <c r="D122" s="2965" t="s">
        <v>3131</v>
      </c>
      <c r="E122" s="2965" t="s">
        <v>3132</v>
      </c>
      <c r="F122" s="2966" t="s">
        <v>3133</v>
      </c>
      <c r="G122" s="582"/>
      <c r="H122" s="582"/>
      <c r="I122" s="582"/>
      <c r="J122" s="582"/>
      <c r="K122" s="583"/>
      <c r="L122" s="584"/>
      <c r="M122" s="585"/>
      <c r="N122" s="1151"/>
      <c r="O122" s="1151"/>
      <c r="P122" s="2626"/>
      <c r="Q122" s="503"/>
    </row>
    <row r="123" spans="1:17" ht="15.75" thickBot="1">
      <c r="A123" s="533"/>
      <c r="B123" s="542"/>
      <c r="C123" s="543">
        <v>100</v>
      </c>
      <c r="D123" s="543">
        <f t="shared" ref="D123:M123" si="29">C123-$K42</f>
        <v>98</v>
      </c>
      <c r="E123" s="543">
        <f t="shared" si="29"/>
        <v>96</v>
      </c>
      <c r="F123" s="543">
        <f t="shared" si="29"/>
        <v>94</v>
      </c>
      <c r="G123" s="543">
        <f t="shared" si="29"/>
        <v>92</v>
      </c>
      <c r="H123" s="543">
        <f t="shared" si="29"/>
        <v>90</v>
      </c>
      <c r="I123" s="543">
        <f t="shared" si="29"/>
        <v>88</v>
      </c>
      <c r="J123" s="543">
        <f t="shared" si="29"/>
        <v>86</v>
      </c>
      <c r="K123" s="543">
        <f t="shared" si="29"/>
        <v>84</v>
      </c>
      <c r="L123" s="543">
        <f t="shared" si="29"/>
        <v>82</v>
      </c>
      <c r="M123" s="543">
        <f t="shared" si="29"/>
        <v>80</v>
      </c>
      <c r="N123" s="1152"/>
      <c r="O123" s="1152"/>
      <c r="P123" s="2626"/>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1"/>
      <c r="O124" s="1151"/>
      <c r="P124" s="2627"/>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6"/>
      <c r="Q125" s="503"/>
    </row>
    <row r="126" spans="1:17" s="470" customFormat="1" ht="15" thickTop="1">
      <c r="A126" s="592"/>
      <c r="B126" s="537">
        <f>B44</f>
        <v>0</v>
      </c>
      <c r="C126" s="2968" t="s">
        <v>3149</v>
      </c>
      <c r="D126" s="2968" t="s">
        <v>3150</v>
      </c>
      <c r="E126" s="553"/>
      <c r="F126" s="553"/>
      <c r="G126" s="553"/>
      <c r="H126" s="554"/>
      <c r="I126" s="554"/>
      <c r="J126" s="554"/>
      <c r="K126" s="554"/>
      <c r="L126" s="555"/>
      <c r="M126" s="556"/>
      <c r="N126" s="1153"/>
      <c r="O126" s="1153"/>
      <c r="P126" s="2627"/>
      <c r="Q126" s="558"/>
    </row>
    <row r="127" spans="1:17" s="470" customFormat="1" ht="15.75" thickBot="1">
      <c r="A127" s="552"/>
      <c r="B127" s="542"/>
      <c r="C127" s="559">
        <v>100</v>
      </c>
      <c r="D127" s="535">
        <v>90</v>
      </c>
      <c r="E127" s="535"/>
      <c r="F127" s="535"/>
      <c r="G127" s="559"/>
      <c r="H127" s="561"/>
      <c r="I127" s="561"/>
      <c r="J127" s="561"/>
      <c r="K127" s="561"/>
      <c r="L127" s="561"/>
      <c r="M127" s="562"/>
      <c r="N127" s="1153"/>
      <c r="O127" s="1153"/>
      <c r="P127" s="2627"/>
      <c r="Q127" s="558"/>
    </row>
    <row r="128" spans="1:17" ht="15" thickTop="1">
      <c r="A128" s="598"/>
      <c r="B128" s="537">
        <f>B45</f>
        <v>0</v>
      </c>
      <c r="C128" s="2968" t="s">
        <v>4866</v>
      </c>
      <c r="D128" s="2968" t="s">
        <v>4865</v>
      </c>
      <c r="E128" s="553"/>
      <c r="F128" s="553"/>
      <c r="G128" s="582"/>
      <c r="H128" s="582"/>
      <c r="I128" s="582"/>
      <c r="J128" s="582"/>
      <c r="K128" s="583"/>
      <c r="L128" s="584"/>
      <c r="M128" s="585"/>
      <c r="N128" s="1151"/>
      <c r="O128" s="1151"/>
      <c r="P128" s="2626"/>
      <c r="Q128" s="503"/>
    </row>
    <row r="129" spans="1:17" ht="15.75" thickBot="1">
      <c r="A129" s="533"/>
      <c r="B129" s="542"/>
      <c r="C129" s="559">
        <v>100</v>
      </c>
      <c r="D129" s="559">
        <v>95</v>
      </c>
      <c r="E129" s="559"/>
      <c r="F129" s="559"/>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5" t="s">
        <v>2617</v>
      </c>
      <c r="D138" s="145" t="s">
        <v>2618</v>
      </c>
      <c r="E138" s="2641" t="s">
        <v>2619</v>
      </c>
      <c r="F138" s="2642" t="s">
        <v>2620</v>
      </c>
      <c r="G138" s="145" t="s">
        <v>2618</v>
      </c>
      <c r="H138" s="146" t="s">
        <v>2619</v>
      </c>
      <c r="I138" s="2643"/>
      <c r="J138" s="145" t="s">
        <v>2621</v>
      </c>
      <c r="K138" s="146" t="s">
        <v>2622</v>
      </c>
    </row>
    <row r="139" spans="1:17" ht="15">
      <c r="B139" s="1083">
        <v>6</v>
      </c>
      <c r="C139" s="1084">
        <v>96</v>
      </c>
      <c r="D139" s="2644" t="s">
        <v>2623</v>
      </c>
      <c r="E139" s="1085">
        <v>100</v>
      </c>
      <c r="F139" s="1086">
        <v>102.5</v>
      </c>
      <c r="G139" s="2644" t="s">
        <v>2623</v>
      </c>
      <c r="H139" s="1087">
        <v>105</v>
      </c>
      <c r="I139" s="2645" t="s">
        <v>2624</v>
      </c>
      <c r="J139" s="1084">
        <v>20</v>
      </c>
      <c r="K139" s="1088">
        <f>C145/(J139-2)</f>
        <v>4.0555555555555553E-3</v>
      </c>
    </row>
    <row r="140" spans="1:17" ht="15">
      <c r="B140" s="1089">
        <v>5</v>
      </c>
      <c r="C140" s="1090">
        <v>100</v>
      </c>
      <c r="D140" s="1090"/>
      <c r="E140" s="1091"/>
      <c r="F140" s="1092">
        <v>102</v>
      </c>
      <c r="G140" s="1090"/>
      <c r="H140" s="1093"/>
      <c r="I140" s="2646" t="s">
        <v>2625</v>
      </c>
      <c r="J140" s="314">
        <f>ROUNDUP((J139-1)/2,0)</f>
        <v>10</v>
      </c>
      <c r="K140" s="1094">
        <v>100</v>
      </c>
    </row>
    <row r="141" spans="1:17" ht="15">
      <c r="B141" s="1089">
        <v>4</v>
      </c>
      <c r="C141" s="1090">
        <v>102</v>
      </c>
      <c r="D141" s="1090"/>
      <c r="E141" s="1091"/>
      <c r="F141" s="1092">
        <v>101.5</v>
      </c>
      <c r="G141" s="1090"/>
      <c r="H141" s="1093"/>
      <c r="I141" s="2646" t="s">
        <v>2626</v>
      </c>
      <c r="J141" s="314">
        <v>1</v>
      </c>
      <c r="K141" s="1095">
        <f>ROUND(100+(J141-J140)*K139*100,1)</f>
        <v>96.4</v>
      </c>
    </row>
    <row r="142" spans="1:17" ht="15">
      <c r="B142" s="1089">
        <v>3</v>
      </c>
      <c r="C142" s="1090">
        <v>103</v>
      </c>
      <c r="D142" s="1090"/>
      <c r="E142" s="1091"/>
      <c r="F142" s="1092">
        <v>101</v>
      </c>
      <c r="G142" s="1090"/>
      <c r="H142" s="1093"/>
      <c r="I142" s="2646" t="s">
        <v>2627</v>
      </c>
      <c r="J142" s="314">
        <f>J139</f>
        <v>20</v>
      </c>
      <c r="K142" s="1096">
        <v>95</v>
      </c>
    </row>
    <row r="143" spans="1:17" ht="15">
      <c r="B143" s="1089">
        <v>2</v>
      </c>
      <c r="C143" s="1090">
        <v>100</v>
      </c>
      <c r="D143" s="1090"/>
      <c r="E143" s="1091"/>
      <c r="F143" s="1092">
        <v>100.5</v>
      </c>
      <c r="G143" s="1090"/>
      <c r="H143" s="1093"/>
      <c r="I143" s="2646" t="s">
        <v>2628</v>
      </c>
      <c r="J143" s="1090">
        <v>15</v>
      </c>
      <c r="K143" s="1095">
        <f>ROUND(100+(J143-J140)*K139*100,1)</f>
        <v>102</v>
      </c>
    </row>
    <row r="144" spans="1:17" ht="15">
      <c r="B144" s="1089">
        <v>1</v>
      </c>
      <c r="C144" s="1090">
        <v>98</v>
      </c>
      <c r="D144" s="2647" t="s">
        <v>2629</v>
      </c>
      <c r="E144" s="1091">
        <v>102</v>
      </c>
      <c r="F144" s="1097">
        <v>100</v>
      </c>
      <c r="G144" s="2647" t="s">
        <v>2629</v>
      </c>
      <c r="H144" s="1093">
        <v>105</v>
      </c>
      <c r="I144" s="2646" t="s">
        <v>2628</v>
      </c>
      <c r="J144" s="1090">
        <v>18</v>
      </c>
      <c r="K144" s="1095">
        <f>ROUND(100+(J144-J140)*K139*100,1)</f>
        <v>103.2</v>
      </c>
    </row>
    <row r="145" spans="2:11" ht="15.75" thickBot="1">
      <c r="B145" s="2648" t="s">
        <v>2630</v>
      </c>
      <c r="C145" s="1098">
        <f>ROUND(MAX(C139:C144)/MIN(C139:C144)-1,3)</f>
        <v>7.2999999999999995E-2</v>
      </c>
      <c r="D145" s="1099"/>
      <c r="E145" s="1099"/>
      <c r="F145" s="2649" t="s">
        <v>2631</v>
      </c>
      <c r="G145" s="2650"/>
      <c r="H145" s="2651"/>
      <c r="I145" s="2652" t="s">
        <v>2628</v>
      </c>
      <c r="J145" s="1100">
        <v>8</v>
      </c>
      <c r="K145" s="1101">
        <f>ROUND(100+(J145-J140)*K139*100,1)</f>
        <v>99.2</v>
      </c>
    </row>
    <row r="147" spans="2:11">
      <c r="B147" s="2633" t="s">
        <v>2632</v>
      </c>
    </row>
    <row r="148" spans="2:11">
      <c r="B148" s="2633" t="s">
        <v>2633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L20" sqref="L2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579" t="s">
        <v>2521</v>
      </c>
      <c r="C1" s="1633" t="s">
        <v>2522</v>
      </c>
      <c r="D1" s="3008" t="s">
        <v>4856</v>
      </c>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2" customFormat="1" ht="28.5" customHeight="1" thickTop="1">
      <c r="A2" s="1616" t="s">
        <v>1394</v>
      </c>
      <c r="B2" s="1417">
        <f>IF(C2="——",ROUND(C49*D3/10000,0),ROUND(C49*D3/10000,0)-D2)</f>
        <v>47876</v>
      </c>
      <c r="C2" s="2583" t="s">
        <v>70</v>
      </c>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24377</v>
      </c>
      <c r="C3" s="399" t="s">
        <v>2526</v>
      </c>
      <c r="D3" s="398">
        <f>IF(D1="",'数据-汇总表'!E3,SUMIF('数据-汇总表'!$C19:$C33,D1,'数据-汇总表'!$E19:$E33))</f>
        <v>19639.79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0" t="s">
        <v>2527</v>
      </c>
      <c r="B4" s="401"/>
      <c r="C4" s="3269" t="s">
        <v>2528</v>
      </c>
      <c r="D4" s="3270"/>
      <c r="E4" s="3271" t="s">
        <v>2529</v>
      </c>
      <c r="F4" s="3272"/>
      <c r="G4" s="3269" t="s">
        <v>2530</v>
      </c>
      <c r="H4" s="3270"/>
      <c r="I4" s="3269" t="s">
        <v>2531</v>
      </c>
      <c r="J4" s="3270"/>
      <c r="K4" s="2593" t="s">
        <v>2532</v>
      </c>
      <c r="L4" s="1129"/>
      <c r="M4" s="1130"/>
      <c r="N4" s="1130"/>
      <c r="O4" s="1130"/>
      <c r="P4" s="3273" t="s">
        <v>2533</v>
      </c>
      <c r="Q4" s="3274"/>
      <c r="R4" s="3254" t="s">
        <v>2529</v>
      </c>
      <c r="S4" s="3255"/>
      <c r="T4" s="3254" t="s">
        <v>2530</v>
      </c>
      <c r="U4" s="3255"/>
      <c r="V4" s="3281" t="s">
        <v>2531</v>
      </c>
      <c r="W4" s="3281"/>
      <c r="X4" s="1812"/>
      <c r="Y4" s="3254" t="s">
        <v>2533</v>
      </c>
      <c r="Z4" s="3255"/>
      <c r="AA4" s="3249" t="s">
        <v>2529</v>
      </c>
      <c r="AB4" s="3249" t="s">
        <v>2530</v>
      </c>
      <c r="AC4" s="3249" t="s">
        <v>2531</v>
      </c>
    </row>
    <row r="5" spans="1:29" ht="15">
      <c r="A5" s="403"/>
      <c r="B5" s="404"/>
      <c r="C5" s="3260" t="s">
        <v>2534</v>
      </c>
      <c r="D5" s="3261"/>
      <c r="E5" s="3258" t="s">
        <v>3220</v>
      </c>
      <c r="F5" s="3259"/>
      <c r="G5" s="3264" t="s">
        <v>3221</v>
      </c>
      <c r="H5" s="3261"/>
      <c r="I5" s="3264" t="s">
        <v>3158</v>
      </c>
      <c r="J5" s="3261"/>
      <c r="K5" s="2594"/>
      <c r="L5" s="1129"/>
      <c r="M5" s="1130"/>
      <c r="N5" s="1130"/>
      <c r="O5" s="1130"/>
      <c r="P5" s="3275"/>
      <c r="Q5" s="3276"/>
      <c r="R5" s="3256"/>
      <c r="S5" s="3257"/>
      <c r="T5" s="3256"/>
      <c r="U5" s="3257"/>
      <c r="V5" s="3281"/>
      <c r="W5" s="3281"/>
      <c r="X5" s="1812"/>
      <c r="Y5" s="3256"/>
      <c r="Z5" s="3257"/>
      <c r="AA5" s="3250"/>
      <c r="AB5" s="3250"/>
      <c r="AC5" s="3250"/>
    </row>
    <row r="6" spans="1:29" ht="15.75" thickBot="1">
      <c r="A6" s="405"/>
      <c r="B6" s="406"/>
      <c r="C6" s="3262" t="s">
        <v>2538</v>
      </c>
      <c r="D6" s="3263"/>
      <c r="E6" s="3294" t="s">
        <v>2538</v>
      </c>
      <c r="F6" s="3266"/>
      <c r="G6" s="3262" t="s">
        <v>2538</v>
      </c>
      <c r="H6" s="3263"/>
      <c r="I6" s="3262" t="s">
        <v>2538</v>
      </c>
      <c r="J6" s="3263"/>
      <c r="K6" s="2594" t="s">
        <v>2539</v>
      </c>
      <c r="L6" s="1129"/>
      <c r="M6" s="1130"/>
      <c r="N6" s="1130"/>
      <c r="O6" s="1130"/>
      <c r="P6" s="3277"/>
      <c r="Q6" s="3278"/>
      <c r="R6" s="3256"/>
      <c r="S6" s="3257"/>
      <c r="T6" s="3279"/>
      <c r="U6" s="3280"/>
      <c r="V6" s="3281"/>
      <c r="W6" s="3281"/>
      <c r="X6" s="1812"/>
      <c r="Y6" s="3279"/>
      <c r="Z6" s="3280"/>
      <c r="AA6" s="3251"/>
      <c r="AB6" s="3251"/>
      <c r="AC6" s="3251"/>
    </row>
    <row r="7" spans="1:29" s="117" customFormat="1" ht="15.75" thickBot="1">
      <c r="A7" s="407" t="s">
        <v>2540</v>
      </c>
      <c r="B7" s="408"/>
      <c r="C7" s="409">
        <f>'数据-取费表'!B2</f>
        <v>43321</v>
      </c>
      <c r="D7" s="410">
        <v>100</v>
      </c>
      <c r="E7" s="411">
        <v>43321</v>
      </c>
      <c r="F7" s="412">
        <f>SUMIF(58:58,YEAR(E7)&amp;"-"&amp;MONTH(E7),59:59)</f>
        <v>100</v>
      </c>
      <c r="G7" s="411">
        <v>43321</v>
      </c>
      <c r="H7" s="410">
        <f>SUMIF(58:58,YEAR(G7)&amp;"-"&amp;MONTH(G7),59:59)</f>
        <v>100</v>
      </c>
      <c r="I7" s="411">
        <v>43321</v>
      </c>
      <c r="J7" s="410">
        <f>SUMIF(58:58,YEAR(I7)&amp;"-"&amp;MONTH(I7),59:59)</f>
        <v>100</v>
      </c>
      <c r="K7" s="2595"/>
      <c r="L7" s="1131"/>
      <c r="M7" s="1132"/>
      <c r="N7" s="1132"/>
      <c r="O7" s="1132"/>
      <c r="P7" s="3252" t="s">
        <v>2541</v>
      </c>
      <c r="Q7" s="3282"/>
      <c r="R7" s="768" t="s">
        <v>23</v>
      </c>
      <c r="S7" s="769">
        <f t="shared" ref="S7:S15" si="0">F7</f>
        <v>100</v>
      </c>
      <c r="T7" s="768" t="s">
        <v>23</v>
      </c>
      <c r="U7" s="769">
        <f t="shared" ref="U7:U15" si="1">H7</f>
        <v>100</v>
      </c>
      <c r="V7" s="768" t="s">
        <v>23</v>
      </c>
      <c r="W7" s="769">
        <f t="shared" ref="W7:W15" si="2">J7</f>
        <v>100</v>
      </c>
      <c r="X7" s="770"/>
      <c r="Y7" s="3252" t="s">
        <v>2541</v>
      </c>
      <c r="Z7" s="3253"/>
      <c r="AA7" s="771">
        <f>D7/F7</f>
        <v>1</v>
      </c>
      <c r="AB7" s="771">
        <f>D7/H7</f>
        <v>1</v>
      </c>
      <c r="AC7" s="771">
        <f>D7/J7</f>
        <v>1</v>
      </c>
    </row>
    <row r="8" spans="1:29" s="117" customFormat="1" ht="15.75" thickBot="1">
      <c r="A8" s="407" t="s">
        <v>2542</v>
      </c>
      <c r="B8" s="408"/>
      <c r="C8" s="413" t="s">
        <v>2543</v>
      </c>
      <c r="D8" s="410">
        <v>100</v>
      </c>
      <c r="E8" s="2596" t="s">
        <v>3115</v>
      </c>
      <c r="F8" s="412">
        <f>SUMIF(61:61,E8,62:62)-SUMIF(61:61,C8,62:62)+100</f>
        <v>100</v>
      </c>
      <c r="G8" s="413" t="s">
        <v>3115</v>
      </c>
      <c r="H8" s="410">
        <f>SUMIF(61:61,G8,62:62)-SUMIF(61:61,C8,62:62)+100</f>
        <v>100</v>
      </c>
      <c r="I8" s="2596" t="s">
        <v>3115</v>
      </c>
      <c r="J8" s="410">
        <f>SUMIF(61:61,I8,62:62)-SUMIF(61:61,C8,62:62)+100</f>
        <v>100</v>
      </c>
      <c r="K8" s="2595"/>
      <c r="L8" s="1131"/>
      <c r="M8" s="1132"/>
      <c r="N8" s="1132"/>
      <c r="O8" s="1132"/>
      <c r="P8" s="3252" t="s">
        <v>2544</v>
      </c>
      <c r="Q8" s="3253"/>
      <c r="R8" s="768" t="s">
        <v>23</v>
      </c>
      <c r="S8" s="769">
        <f t="shared" si="0"/>
        <v>100</v>
      </c>
      <c r="T8" s="768" t="s">
        <v>23</v>
      </c>
      <c r="U8" s="769">
        <f t="shared" si="1"/>
        <v>100</v>
      </c>
      <c r="V8" s="768" t="s">
        <v>23</v>
      </c>
      <c r="W8" s="769">
        <f t="shared" si="2"/>
        <v>100</v>
      </c>
      <c r="X8" s="770"/>
      <c r="Y8" s="3252" t="s">
        <v>2544</v>
      </c>
      <c r="Z8" s="3253"/>
      <c r="AA8" s="771">
        <f t="shared" ref="AA8:AA19" si="3">D8/F8</f>
        <v>1</v>
      </c>
      <c r="AB8" s="771">
        <f t="shared" ref="AB8:AB19" si="4">D8/H8</f>
        <v>1</v>
      </c>
      <c r="AC8" s="771">
        <f t="shared" ref="AC8:AC19" si="5">D8/J8</f>
        <v>1</v>
      </c>
    </row>
    <row r="9" spans="1:29" s="117" customFormat="1">
      <c r="A9" s="414" t="s">
        <v>2545</v>
      </c>
      <c r="B9" s="71" t="s">
        <v>2546</v>
      </c>
      <c r="C9" s="2962" t="s">
        <v>3120</v>
      </c>
      <c r="D9" s="134">
        <v>100</v>
      </c>
      <c r="E9" s="2963" t="s">
        <v>3119</v>
      </c>
      <c r="F9" s="417">
        <f>SUMIF(63:63,E9,64:64)-SUMIF(63:63,C9,64:64)+100</f>
        <v>100</v>
      </c>
      <c r="G9" s="418" t="s">
        <v>3119</v>
      </c>
      <c r="H9" s="134">
        <f>SUMIF(63:63,G9,64:64)-SUMIF(63:63,C9,64:64)+100</f>
        <v>100</v>
      </c>
      <c r="I9" s="418" t="s">
        <v>3119</v>
      </c>
      <c r="J9" s="134">
        <f>SUMIF(63:63,I9,64:64)-SUMIF(63:63,C9,64:64)+100</f>
        <v>100</v>
      </c>
      <c r="K9" s="2595"/>
      <c r="L9" s="1131"/>
      <c r="M9" s="1132"/>
      <c r="N9" s="1132"/>
      <c r="O9" s="1132"/>
      <c r="P9" s="3292" t="s">
        <v>2547</v>
      </c>
      <c r="Q9" s="1794" t="str">
        <f t="shared" ref="Q9:Q15" si="6">B9</f>
        <v>用途</v>
      </c>
      <c r="R9" s="768" t="s">
        <v>17</v>
      </c>
      <c r="S9" s="769">
        <f t="shared" si="0"/>
        <v>100</v>
      </c>
      <c r="T9" s="768" t="s">
        <v>17</v>
      </c>
      <c r="U9" s="769">
        <f t="shared" si="1"/>
        <v>100</v>
      </c>
      <c r="V9" s="768" t="s">
        <v>17</v>
      </c>
      <c r="W9" s="769">
        <f t="shared" si="2"/>
        <v>100</v>
      </c>
      <c r="X9" s="770"/>
      <c r="Y9" s="3123" t="s">
        <v>2548</v>
      </c>
      <c r="Z9" s="55" t="str">
        <f t="shared" ref="Z9:Z15" si="7">Q9</f>
        <v>用途</v>
      </c>
      <c r="AA9" s="771">
        <f t="shared" si="3"/>
        <v>1</v>
      </c>
      <c r="AB9" s="771">
        <f t="shared" si="4"/>
        <v>1</v>
      </c>
      <c r="AC9" s="771">
        <f t="shared" si="5"/>
        <v>1</v>
      </c>
    </row>
    <row r="10" spans="1:29" s="426" customFormat="1" ht="27">
      <c r="A10" s="420"/>
      <c r="B10" s="421" t="s">
        <v>2549</v>
      </c>
      <c r="C10" s="422" t="s">
        <v>3116</v>
      </c>
      <c r="D10" s="135">
        <v>100</v>
      </c>
      <c r="E10" s="423" t="s">
        <v>3116</v>
      </c>
      <c r="F10" s="424">
        <f>SUMIF(65:65,E10,66:66)-SUMIF(65:65,C10,66:66)+100</f>
        <v>100</v>
      </c>
      <c r="G10" s="422" t="s">
        <v>3116</v>
      </c>
      <c r="H10" s="135">
        <f>SUMIF(65:65,G10,66:66)-SUMIF(65:65,C10,66:66)+100</f>
        <v>100</v>
      </c>
      <c r="I10" s="422" t="s">
        <v>3116</v>
      </c>
      <c r="J10" s="135">
        <f>SUMIF(65:65,I10,66:66)-SUMIF(65:65,C10,66:66)+100</f>
        <v>100</v>
      </c>
      <c r="K10" s="425">
        <v>1</v>
      </c>
      <c r="L10" s="1134"/>
      <c r="M10" s="1135"/>
      <c r="N10" s="1135"/>
      <c r="O10" s="1135"/>
      <c r="P10" s="3292"/>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75" thickBot="1">
      <c r="A11" s="427"/>
      <c r="B11" s="421" t="s">
        <v>2550</v>
      </c>
      <c r="C11" s="428">
        <f>'数据-汇总表'!I7</f>
        <v>5</v>
      </c>
      <c r="D11" s="135">
        <v>100</v>
      </c>
      <c r="E11" s="429">
        <v>2.97</v>
      </c>
      <c r="F11" s="424">
        <f>LOOKUP(E11,68:68,69:69)-LOOKUP(C11,68:68,69:69)+100</f>
        <v>106</v>
      </c>
      <c r="G11" s="428">
        <v>4.5999999999999996</v>
      </c>
      <c r="H11" s="135">
        <f>LOOKUP(G11,68:68,69:69)-LOOKUP(C11,68:68,69:69)+100</f>
        <v>102</v>
      </c>
      <c r="I11" s="428">
        <v>4.0599999999999996</v>
      </c>
      <c r="J11" s="135">
        <f>LOOKUP(I11,68:68,69:69)-LOOKUP(C11,68:68,69:69)+100</f>
        <v>102</v>
      </c>
      <c r="K11" s="425">
        <v>2</v>
      </c>
      <c r="L11" s="1137"/>
      <c r="M11" s="1130"/>
      <c r="N11" s="1130"/>
      <c r="O11" s="1130"/>
      <c r="P11" s="3292"/>
      <c r="Q11" s="1794" t="str">
        <f t="shared" si="6"/>
        <v>容积率</v>
      </c>
      <c r="R11" s="768" t="s">
        <v>21</v>
      </c>
      <c r="S11" s="769">
        <f t="shared" si="0"/>
        <v>106</v>
      </c>
      <c r="T11" s="768" t="s">
        <v>21</v>
      </c>
      <c r="U11" s="769">
        <f t="shared" si="1"/>
        <v>102</v>
      </c>
      <c r="V11" s="768" t="s">
        <v>21</v>
      </c>
      <c r="W11" s="769">
        <f t="shared" si="2"/>
        <v>102</v>
      </c>
      <c r="X11" s="770"/>
      <c r="Y11" s="3123"/>
      <c r="Z11" s="55" t="str">
        <f t="shared" si="7"/>
        <v>容积率</v>
      </c>
      <c r="AA11" s="771">
        <f t="shared" si="3"/>
        <v>0.94339622641509435</v>
      </c>
      <c r="AB11" s="771">
        <f t="shared" si="4"/>
        <v>0.98039215686274506</v>
      </c>
      <c r="AC11" s="771">
        <f t="shared" si="5"/>
        <v>0.98039215686274506</v>
      </c>
    </row>
    <row r="12" spans="1:29" s="117" customFormat="1" ht="15" hidden="1">
      <c r="A12" s="430"/>
      <c r="B12" s="2597"/>
      <c r="C12" s="431"/>
      <c r="D12" s="432">
        <v>100</v>
      </c>
      <c r="E12" s="431"/>
      <c r="F12" s="424">
        <f>SUMIF(70:70,E12,71:71)-SUMIF(70:70,C12,71:71)+100</f>
        <v>100</v>
      </c>
      <c r="G12" s="431"/>
      <c r="H12" s="135">
        <f>SUMIF(70:70,G12,71:71)-SUMIF(70:70,C12,71:71)+100</f>
        <v>100</v>
      </c>
      <c r="I12" s="431"/>
      <c r="J12" s="135">
        <f>SUMIF(70:70,I12,71:71)-SUMIF(70:70,C12,71:71)+100</f>
        <v>100</v>
      </c>
      <c r="K12" s="2598"/>
      <c r="L12" s="1131"/>
      <c r="M12" s="1132"/>
      <c r="N12" s="1132"/>
      <c r="O12" s="1132"/>
      <c r="P12" s="3292"/>
      <c r="Q12" s="1794">
        <f t="shared" si="6"/>
        <v>0</v>
      </c>
      <c r="R12" s="768" t="s">
        <v>21</v>
      </c>
      <c r="S12" s="769">
        <f t="shared" si="0"/>
        <v>100</v>
      </c>
      <c r="T12" s="768" t="s">
        <v>21</v>
      </c>
      <c r="U12" s="769">
        <f t="shared" si="1"/>
        <v>100</v>
      </c>
      <c r="V12" s="768" t="s">
        <v>21</v>
      </c>
      <c r="W12" s="769">
        <f t="shared" si="2"/>
        <v>100</v>
      </c>
      <c r="X12" s="770"/>
      <c r="Y12" s="3123"/>
      <c r="Z12" s="55">
        <f t="shared" si="7"/>
        <v>0</v>
      </c>
      <c r="AA12" s="771">
        <f>D12/F12</f>
        <v>1</v>
      </c>
      <c r="AB12" s="771">
        <f>D12/H12</f>
        <v>1</v>
      </c>
      <c r="AC12" s="771">
        <f>D12/J12</f>
        <v>1</v>
      </c>
    </row>
    <row r="13" spans="1:29" ht="15" hidden="1">
      <c r="A13" s="427"/>
      <c r="B13" s="2597"/>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292"/>
      <c r="Q13" s="1794">
        <f t="shared" si="6"/>
        <v>0</v>
      </c>
      <c r="R13" s="768" t="s">
        <v>21</v>
      </c>
      <c r="S13" s="769">
        <f t="shared" si="0"/>
        <v>100</v>
      </c>
      <c r="T13" s="768" t="s">
        <v>21</v>
      </c>
      <c r="U13" s="769">
        <f t="shared" si="1"/>
        <v>100</v>
      </c>
      <c r="V13" s="768" t="s">
        <v>21</v>
      </c>
      <c r="W13" s="769">
        <f t="shared" si="2"/>
        <v>100</v>
      </c>
      <c r="X13" s="770"/>
      <c r="Y13" s="3123"/>
      <c r="Z13" s="55">
        <f t="shared" si="7"/>
        <v>0</v>
      </c>
      <c r="AA13" s="771">
        <f t="shared" si="3"/>
        <v>1</v>
      </c>
      <c r="AB13" s="771">
        <f t="shared" si="4"/>
        <v>1</v>
      </c>
      <c r="AC13" s="771">
        <f t="shared" si="5"/>
        <v>1</v>
      </c>
    </row>
    <row r="14" spans="1:29" ht="15.75" hidden="1" thickBot="1">
      <c r="A14" s="435"/>
      <c r="B14" s="2599"/>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292"/>
      <c r="Q14" s="1794">
        <f t="shared" si="6"/>
        <v>0</v>
      </c>
      <c r="R14" s="768" t="s">
        <v>21</v>
      </c>
      <c r="S14" s="769">
        <f t="shared" si="0"/>
        <v>100</v>
      </c>
      <c r="T14" s="768" t="s">
        <v>21</v>
      </c>
      <c r="U14" s="769">
        <f t="shared" si="1"/>
        <v>100</v>
      </c>
      <c r="V14" s="768" t="s">
        <v>21</v>
      </c>
      <c r="W14" s="769">
        <f t="shared" si="2"/>
        <v>100</v>
      </c>
      <c r="X14" s="770"/>
      <c r="Y14" s="3123"/>
      <c r="Z14" s="55">
        <f t="shared" si="7"/>
        <v>0</v>
      </c>
      <c r="AA14" s="771">
        <f t="shared" si="3"/>
        <v>1</v>
      </c>
      <c r="AB14" s="771">
        <f t="shared" si="4"/>
        <v>1</v>
      </c>
      <c r="AC14" s="771">
        <f t="shared" si="5"/>
        <v>1</v>
      </c>
    </row>
    <row r="15" spans="1:29" ht="15">
      <c r="A15" s="439" t="s">
        <v>2551</v>
      </c>
      <c r="B15" s="69" t="s">
        <v>2087</v>
      </c>
      <c r="C15" s="2600">
        <f>估价对象房地状况!C3</f>
        <v>0</v>
      </c>
      <c r="D15" s="440">
        <v>100</v>
      </c>
      <c r="E15" s="443"/>
      <c r="F15" s="440">
        <f>SUMIF(76:76,E16,77:77)-SUMIF(76:76,C16,77:77)+100</f>
        <v>105</v>
      </c>
      <c r="G15" s="441"/>
      <c r="H15" s="440">
        <f>SUMIF(76:76,G16,77:77)-SUMIF(76:76,C16,77:77)+100</f>
        <v>105</v>
      </c>
      <c r="I15" s="441"/>
      <c r="J15" s="440">
        <f>SUMIF(76:76,I16,77:77)-SUMIF(76:76,C16,77:77)+100</f>
        <v>105</v>
      </c>
      <c r="K15" s="444">
        <v>5</v>
      </c>
      <c r="L15" s="1139"/>
      <c r="M15" s="1130"/>
      <c r="N15" s="1130"/>
      <c r="O15" s="1130"/>
      <c r="P15" s="3295" t="s">
        <v>2552</v>
      </c>
      <c r="Q15" s="1809" t="str">
        <f t="shared" si="6"/>
        <v>居住社区成熟度</v>
      </c>
      <c r="R15" s="772" t="s">
        <v>21</v>
      </c>
      <c r="S15" s="773">
        <f t="shared" si="0"/>
        <v>105</v>
      </c>
      <c r="T15" s="772" t="s">
        <v>21</v>
      </c>
      <c r="U15" s="773">
        <f t="shared" si="1"/>
        <v>105</v>
      </c>
      <c r="V15" s="772" t="s">
        <v>21</v>
      </c>
      <c r="W15" s="773">
        <f t="shared" si="2"/>
        <v>105</v>
      </c>
      <c r="X15" s="1812"/>
      <c r="Y15" s="3283" t="s">
        <v>2552</v>
      </c>
      <c r="Z15" s="1813" t="str">
        <f t="shared" si="7"/>
        <v>居住社区成熟度</v>
      </c>
      <c r="AA15" s="1810">
        <f t="shared" si="3"/>
        <v>0.95238095238095233</v>
      </c>
      <c r="AB15" s="1810">
        <f t="shared" si="4"/>
        <v>0.95238095238095233</v>
      </c>
      <c r="AC15" s="1810">
        <f t="shared" si="5"/>
        <v>0.95238095238095233</v>
      </c>
    </row>
    <row r="16" spans="1:29" ht="15">
      <c r="A16" s="427"/>
      <c r="B16" s="445"/>
      <c r="C16" s="446" t="s">
        <v>3152</v>
      </c>
      <c r="D16" s="447"/>
      <c r="E16" s="2601" t="s">
        <v>3117</v>
      </c>
      <c r="F16" s="447"/>
      <c r="G16" s="2602" t="s">
        <v>3117</v>
      </c>
      <c r="H16" s="449"/>
      <c r="I16" s="2602" t="s">
        <v>3117</v>
      </c>
      <c r="J16" s="447"/>
      <c r="K16" s="2603"/>
      <c r="L16" s="1139"/>
      <c r="M16" s="1130"/>
      <c r="N16" s="1130"/>
      <c r="O16" s="1130"/>
      <c r="P16" s="3296"/>
      <c r="Q16" s="1809"/>
      <c r="R16" s="772"/>
      <c r="S16" s="773"/>
      <c r="T16" s="772"/>
      <c r="U16" s="773"/>
      <c r="V16" s="772"/>
      <c r="W16" s="773"/>
      <c r="X16" s="1812"/>
      <c r="Y16" s="3284"/>
      <c r="Z16" s="1813"/>
      <c r="AA16" s="1810">
        <v>1</v>
      </c>
      <c r="AB16" s="1810">
        <v>1</v>
      </c>
      <c r="AC16" s="1810">
        <v>1</v>
      </c>
    </row>
    <row r="17" spans="1:29" ht="15">
      <c r="A17" s="427"/>
      <c r="B17" s="450" t="s">
        <v>2093</v>
      </c>
      <c r="C17" s="2604">
        <f>估价对象房地状况!C6</f>
        <v>0</v>
      </c>
      <c r="D17" s="449">
        <v>100</v>
      </c>
      <c r="E17" s="453"/>
      <c r="F17" s="449">
        <f>SUMIF(78:78,E18,79:79)-SUMIF(78:78,C18,79:79)+100</f>
        <v>100</v>
      </c>
      <c r="G17" s="451"/>
      <c r="H17" s="454">
        <f>SUMIF(78:78,G18,79:79)-SUMIF(78:78,C18,79:79)+100</f>
        <v>103</v>
      </c>
      <c r="I17" s="451"/>
      <c r="J17" s="454">
        <f>SUMIF(78:78,I18,79:79)-SUMIF(78:78,C18,79:79)+100</f>
        <v>103</v>
      </c>
      <c r="K17" s="3402">
        <v>3</v>
      </c>
      <c r="L17" s="1139"/>
      <c r="M17" s="1130"/>
      <c r="N17" s="1130"/>
      <c r="O17" s="1130"/>
      <c r="P17" s="3296"/>
      <c r="Q17" s="1809" t="str">
        <f>B17</f>
        <v>交通便捷度</v>
      </c>
      <c r="R17" s="772" t="s">
        <v>21</v>
      </c>
      <c r="S17" s="773">
        <f>F17</f>
        <v>100</v>
      </c>
      <c r="T17" s="772" t="s">
        <v>21</v>
      </c>
      <c r="U17" s="773">
        <f>H17</f>
        <v>103</v>
      </c>
      <c r="V17" s="772" t="s">
        <v>21</v>
      </c>
      <c r="W17" s="773">
        <f>J17</f>
        <v>103</v>
      </c>
      <c r="X17" s="1812"/>
      <c r="Y17" s="3284"/>
      <c r="Z17" s="1813" t="str">
        <f>Q17</f>
        <v>交通便捷度</v>
      </c>
      <c r="AA17" s="1810">
        <f t="shared" si="3"/>
        <v>1</v>
      </c>
      <c r="AB17" s="1810">
        <f t="shared" si="4"/>
        <v>0.970873786407767</v>
      </c>
      <c r="AC17" s="1810">
        <f t="shared" si="5"/>
        <v>0.970873786407767</v>
      </c>
    </row>
    <row r="18" spans="1:29" ht="15">
      <c r="A18" s="427"/>
      <c r="B18" s="455"/>
      <c r="C18" s="446" t="s">
        <v>3152</v>
      </c>
      <c r="D18" s="449"/>
      <c r="E18" s="446" t="s">
        <v>3152</v>
      </c>
      <c r="F18" s="449"/>
      <c r="G18" s="446" t="s">
        <v>3117</v>
      </c>
      <c r="H18" s="447"/>
      <c r="I18" s="446" t="s">
        <v>3117</v>
      </c>
      <c r="J18" s="447"/>
      <c r="K18" s="2603"/>
      <c r="L18" s="1139"/>
      <c r="M18" s="1130"/>
      <c r="N18" s="1130"/>
      <c r="O18" s="1130"/>
      <c r="P18" s="3296"/>
      <c r="Q18" s="1809"/>
      <c r="R18" s="772"/>
      <c r="S18" s="773"/>
      <c r="T18" s="772"/>
      <c r="U18" s="773"/>
      <c r="V18" s="772"/>
      <c r="W18" s="773"/>
      <c r="X18" s="1812"/>
      <c r="Y18" s="3284"/>
      <c r="Z18" s="1813"/>
      <c r="AA18" s="1810">
        <v>1</v>
      </c>
      <c r="AB18" s="1810">
        <v>1</v>
      </c>
      <c r="AC18" s="1810">
        <v>1</v>
      </c>
    </row>
    <row r="19" spans="1:29" ht="15">
      <c r="A19" s="427"/>
      <c r="B19" s="450" t="s">
        <v>2092</v>
      </c>
      <c r="C19" s="2604">
        <f>估价对象房地状况!C7</f>
        <v>0</v>
      </c>
      <c r="D19" s="454">
        <v>100</v>
      </c>
      <c r="E19" s="458"/>
      <c r="F19" s="454">
        <f>SUMIF(80:80,E20,81:81)-SUMIF(80:80,C20,81:81)+100</f>
        <v>100</v>
      </c>
      <c r="G19" s="456"/>
      <c r="H19" s="449">
        <f>SUMIF(80:80,G20,81:81)-SUMIF(80:80,C20,81:81)+100</f>
        <v>103</v>
      </c>
      <c r="I19" s="456"/>
      <c r="J19" s="449">
        <f>SUMIF(80:80,I20,81:81)-SUMIF(80:80,C20,81:81)+100</f>
        <v>103</v>
      </c>
      <c r="K19" s="3402">
        <v>3</v>
      </c>
      <c r="L19" s="1139"/>
      <c r="M19" s="1130"/>
      <c r="N19" s="1130"/>
      <c r="O19" s="1130"/>
      <c r="P19" s="3296"/>
      <c r="Q19" s="1809" t="str">
        <f>B19</f>
        <v>公共配套设施</v>
      </c>
      <c r="R19" s="772" t="s">
        <v>21</v>
      </c>
      <c r="S19" s="773">
        <f>F19</f>
        <v>100</v>
      </c>
      <c r="T19" s="772" t="s">
        <v>21</v>
      </c>
      <c r="U19" s="773">
        <f>H19</f>
        <v>103</v>
      </c>
      <c r="V19" s="772" t="s">
        <v>21</v>
      </c>
      <c r="W19" s="773">
        <f>J19</f>
        <v>103</v>
      </c>
      <c r="X19" s="1812"/>
      <c r="Y19" s="3284"/>
      <c r="Z19" s="1813" t="str">
        <f>Q19</f>
        <v>公共配套设施</v>
      </c>
      <c r="AA19" s="1810">
        <f t="shared" si="3"/>
        <v>1</v>
      </c>
      <c r="AB19" s="1810">
        <f t="shared" si="4"/>
        <v>0.970873786407767</v>
      </c>
      <c r="AC19" s="1810">
        <f t="shared" si="5"/>
        <v>0.970873786407767</v>
      </c>
    </row>
    <row r="20" spans="1:29" ht="15">
      <c r="A20" s="427"/>
      <c r="B20" s="455"/>
      <c r="C20" s="446" t="s">
        <v>3152</v>
      </c>
      <c r="D20" s="447"/>
      <c r="E20" s="446" t="s">
        <v>3152</v>
      </c>
      <c r="F20" s="447"/>
      <c r="G20" s="446" t="s">
        <v>3117</v>
      </c>
      <c r="H20" s="447"/>
      <c r="I20" s="446" t="s">
        <v>3117</v>
      </c>
      <c r="J20" s="447"/>
      <c r="K20" s="2603"/>
      <c r="L20" s="1139"/>
      <c r="M20" s="1130"/>
      <c r="N20" s="1130"/>
      <c r="O20" s="1130"/>
      <c r="P20" s="3296"/>
      <c r="Q20" s="1809"/>
      <c r="R20" s="772"/>
      <c r="S20" s="773"/>
      <c r="T20" s="772"/>
      <c r="U20" s="773"/>
      <c r="V20" s="772"/>
      <c r="W20" s="773"/>
      <c r="X20" s="1812"/>
      <c r="Y20" s="3284"/>
      <c r="Z20" s="1813"/>
      <c r="AA20" s="1810">
        <v>1</v>
      </c>
      <c r="AB20" s="1810">
        <v>1</v>
      </c>
      <c r="AC20" s="1810">
        <v>1</v>
      </c>
    </row>
    <row r="21" spans="1:29" ht="15">
      <c r="A21" s="427"/>
      <c r="B21" s="1383" t="s">
        <v>2094</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39"/>
      <c r="M21" s="1130"/>
      <c r="N21" s="1130"/>
      <c r="O21" s="1130"/>
      <c r="P21" s="3296"/>
      <c r="Q21" s="1809" t="str">
        <f>B21</f>
        <v>基础设施水平</v>
      </c>
      <c r="R21" s="772" t="s">
        <v>17</v>
      </c>
      <c r="S21" s="773">
        <f>F21</f>
        <v>100</v>
      </c>
      <c r="T21" s="772" t="s">
        <v>17</v>
      </c>
      <c r="U21" s="773">
        <f>H21</f>
        <v>100</v>
      </c>
      <c r="V21" s="772" t="s">
        <v>17</v>
      </c>
      <c r="W21" s="773">
        <f>J21</f>
        <v>100</v>
      </c>
      <c r="X21" s="1812"/>
      <c r="Y21" s="3284"/>
      <c r="Z21" s="1813" t="str">
        <f>Q21</f>
        <v>基础设施水平</v>
      </c>
      <c r="AA21" s="1810">
        <f>D21/F21</f>
        <v>1</v>
      </c>
      <c r="AB21" s="1810">
        <f>D21/H21</f>
        <v>1</v>
      </c>
      <c r="AC21" s="1810">
        <f>D21/J21</f>
        <v>1</v>
      </c>
    </row>
    <row r="22" spans="1:29" ht="15">
      <c r="A22" s="427"/>
      <c r="B22" s="1383"/>
      <c r="C22" s="2605" t="s">
        <v>3118</v>
      </c>
      <c r="D22" s="447"/>
      <c r="E22" s="2605" t="s">
        <v>3118</v>
      </c>
      <c r="F22" s="447"/>
      <c r="G22" s="2605" t="s">
        <v>3118</v>
      </c>
      <c r="H22" s="447"/>
      <c r="I22" s="2605" t="s">
        <v>3118</v>
      </c>
      <c r="J22" s="447"/>
      <c r="K22" s="2609"/>
      <c r="L22" s="1139"/>
      <c r="M22" s="1130"/>
      <c r="N22" s="1130"/>
      <c r="O22" s="1130"/>
      <c r="P22" s="3296"/>
      <c r="Q22" s="1809"/>
      <c r="R22" s="772"/>
      <c r="S22" s="773"/>
      <c r="T22" s="772"/>
      <c r="U22" s="773"/>
      <c r="V22" s="772"/>
      <c r="W22" s="773"/>
      <c r="X22" s="1812"/>
      <c r="Y22" s="3284"/>
      <c r="Z22" s="1813"/>
      <c r="AA22" s="1810">
        <v>1</v>
      </c>
      <c r="AB22" s="1810">
        <v>1</v>
      </c>
      <c r="AC22" s="1810">
        <v>1</v>
      </c>
    </row>
    <row r="23" spans="1:29" ht="15">
      <c r="A23" s="427"/>
      <c r="B23" s="450" t="s">
        <v>2096</v>
      </c>
      <c r="C23" s="2604">
        <f>估价对象房地状况!C9</f>
        <v>0</v>
      </c>
      <c r="D23" s="449">
        <v>100</v>
      </c>
      <c r="E23" s="453"/>
      <c r="F23" s="449">
        <f>SUMIF(84:84,E24,85:85)-SUMIF(84:84,C24,85:85)+100</f>
        <v>100</v>
      </c>
      <c r="G23" s="451"/>
      <c r="H23" s="449">
        <f>SUMIF(84:84,G24,85:85)-SUMIF(84:84,C24,85:85)+100</f>
        <v>100</v>
      </c>
      <c r="I23" s="451"/>
      <c r="J23" s="449">
        <f>SUMIF(84:84,I24,85:85)-SUMIF(84:84,C24,85:85)+100</f>
        <v>100</v>
      </c>
      <c r="K23" s="444">
        <v>3</v>
      </c>
      <c r="L23" s="1139"/>
      <c r="M23" s="1130"/>
      <c r="N23" s="1130"/>
      <c r="O23" s="1130"/>
      <c r="P23" s="3296"/>
      <c r="Q23" s="1809" t="str">
        <f>B23</f>
        <v>自然及人文环境</v>
      </c>
      <c r="R23" s="772" t="s">
        <v>21</v>
      </c>
      <c r="S23" s="773">
        <f>F23</f>
        <v>100</v>
      </c>
      <c r="T23" s="772" t="s">
        <v>21</v>
      </c>
      <c r="U23" s="773">
        <f>H23</f>
        <v>100</v>
      </c>
      <c r="V23" s="772" t="s">
        <v>21</v>
      </c>
      <c r="W23" s="773">
        <f>J23</f>
        <v>100</v>
      </c>
      <c r="X23" s="1812"/>
      <c r="Y23" s="3284"/>
      <c r="Z23" s="1813" t="str">
        <f>Q23</f>
        <v>自然及人文环境</v>
      </c>
      <c r="AA23" s="1810">
        <f>D23/F23</f>
        <v>1</v>
      </c>
      <c r="AB23" s="1810">
        <f>D23/H23</f>
        <v>1</v>
      </c>
      <c r="AC23" s="1810">
        <f>D23/J23</f>
        <v>1</v>
      </c>
    </row>
    <row r="24" spans="1:29" ht="15.75" thickBot="1">
      <c r="A24" s="427"/>
      <c r="B24" s="455"/>
      <c r="C24" s="446" t="s">
        <v>3117</v>
      </c>
      <c r="D24" s="447"/>
      <c r="E24" s="446" t="s">
        <v>3117</v>
      </c>
      <c r="F24" s="447"/>
      <c r="G24" s="446" t="s">
        <v>3117</v>
      </c>
      <c r="H24" s="447"/>
      <c r="I24" s="446" t="s">
        <v>3117</v>
      </c>
      <c r="J24" s="447"/>
      <c r="K24" s="2603"/>
      <c r="L24" s="1139"/>
      <c r="M24" s="1130"/>
      <c r="N24" s="1130"/>
      <c r="O24" s="1130"/>
      <c r="P24" s="3296"/>
      <c r="Q24" s="1809"/>
      <c r="R24" s="772"/>
      <c r="S24" s="773"/>
      <c r="T24" s="772"/>
      <c r="U24" s="773"/>
      <c r="V24" s="772"/>
      <c r="W24" s="773"/>
      <c r="X24" s="1812"/>
      <c r="Y24" s="3284"/>
      <c r="Z24" s="1813"/>
      <c r="AA24" s="1810">
        <v>1</v>
      </c>
      <c r="AB24" s="1810">
        <v>1</v>
      </c>
      <c r="AC24" s="1810">
        <v>1</v>
      </c>
    </row>
    <row r="25" spans="1:29" ht="15" hidden="1">
      <c r="A25" s="427"/>
      <c r="B25" s="421"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296"/>
      <c r="Q25" s="1809" t="str">
        <f t="shared" ref="Q25:Q46" si="8">B25</f>
        <v>楼层-1</v>
      </c>
      <c r="R25" s="772" t="s">
        <v>21</v>
      </c>
      <c r="S25" s="773">
        <f t="shared" ref="S25:S46" si="9">F25</f>
        <v>100</v>
      </c>
      <c r="T25" s="772" t="s">
        <v>21</v>
      </c>
      <c r="U25" s="773">
        <f t="shared" ref="U25:U46" si="10">H25</f>
        <v>100</v>
      </c>
      <c r="V25" s="772" t="s">
        <v>21</v>
      </c>
      <c r="W25" s="773">
        <f t="shared" ref="W25:W46" si="11">J25</f>
        <v>100</v>
      </c>
      <c r="X25" s="1812"/>
      <c r="Y25" s="3284"/>
      <c r="Z25" s="1813" t="str">
        <f>Q25</f>
        <v>楼层-1</v>
      </c>
      <c r="AA25" s="1810">
        <f t="shared" ref="AA25:AA46" si="12">D25/F25</f>
        <v>1</v>
      </c>
      <c r="AB25" s="1810">
        <f t="shared" ref="AB25:AB46" si="13">D25/H25</f>
        <v>1</v>
      </c>
      <c r="AC25" s="1810">
        <f t="shared" ref="AC25:AC46" si="14">D25/J25</f>
        <v>1</v>
      </c>
    </row>
    <row r="26" spans="1:29" ht="15.75" hidden="1" thickBot="1">
      <c r="A26" s="427"/>
      <c r="B26" s="421"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296"/>
      <c r="Q26" s="1809" t="str">
        <f t="shared" si="8"/>
        <v>朝向</v>
      </c>
      <c r="R26" s="772" t="s">
        <v>21</v>
      </c>
      <c r="S26" s="773">
        <f t="shared" si="9"/>
        <v>100</v>
      </c>
      <c r="T26" s="772" t="s">
        <v>21</v>
      </c>
      <c r="U26" s="773">
        <f t="shared" si="10"/>
        <v>100</v>
      </c>
      <c r="V26" s="772" t="s">
        <v>21</v>
      </c>
      <c r="W26" s="773">
        <f t="shared" si="11"/>
        <v>100</v>
      </c>
      <c r="X26" s="1812"/>
      <c r="Y26" s="3284"/>
      <c r="Z26" s="1813" t="str">
        <f>Q26</f>
        <v>朝向</v>
      </c>
      <c r="AA26" s="1810">
        <f t="shared" si="12"/>
        <v>1</v>
      </c>
      <c r="AB26" s="1810">
        <f t="shared" si="13"/>
        <v>1</v>
      </c>
      <c r="AC26" s="1810">
        <f t="shared" si="14"/>
        <v>1</v>
      </c>
    </row>
    <row r="27" spans="1:29" s="117" customFormat="1" ht="15" hidden="1">
      <c r="A27" s="430"/>
      <c r="B27" s="1385"/>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296"/>
      <c r="Q27" s="1794">
        <f t="shared" si="8"/>
        <v>0</v>
      </c>
      <c r="R27" s="768" t="s">
        <v>21</v>
      </c>
      <c r="S27" s="769">
        <f t="shared" si="9"/>
        <v>100</v>
      </c>
      <c r="T27" s="768" t="s">
        <v>21</v>
      </c>
      <c r="U27" s="769">
        <f t="shared" si="10"/>
        <v>100</v>
      </c>
      <c r="V27" s="768" t="s">
        <v>21</v>
      </c>
      <c r="W27" s="769">
        <f t="shared" si="11"/>
        <v>100</v>
      </c>
      <c r="X27" s="770"/>
      <c r="Y27" s="3284"/>
      <c r="Z27" s="55">
        <f>Q27</f>
        <v>0</v>
      </c>
      <c r="AA27" s="1810">
        <f t="shared" si="12"/>
        <v>1</v>
      </c>
      <c r="AB27" s="1810">
        <f t="shared" si="13"/>
        <v>1</v>
      </c>
      <c r="AC27" s="1810">
        <f t="shared" si="14"/>
        <v>1</v>
      </c>
    </row>
    <row r="28" spans="1:29" ht="15" hidden="1">
      <c r="A28" s="427"/>
      <c r="B28" s="1385"/>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296"/>
      <c r="Q28" s="1809">
        <f t="shared" si="8"/>
        <v>0</v>
      </c>
      <c r="R28" s="772" t="s">
        <v>21</v>
      </c>
      <c r="S28" s="773">
        <f t="shared" si="9"/>
        <v>100</v>
      </c>
      <c r="T28" s="772" t="s">
        <v>21</v>
      </c>
      <c r="U28" s="773">
        <f t="shared" si="10"/>
        <v>100</v>
      </c>
      <c r="V28" s="772" t="s">
        <v>21</v>
      </c>
      <c r="W28" s="773">
        <f t="shared" si="11"/>
        <v>100</v>
      </c>
      <c r="X28" s="1812"/>
      <c r="Y28" s="3284"/>
      <c r="Z28" s="1813">
        <f t="shared" ref="Z28:Z46" si="15">Q28</f>
        <v>0</v>
      </c>
      <c r="AA28" s="1810">
        <f t="shared" si="12"/>
        <v>1</v>
      </c>
      <c r="AB28" s="1810">
        <f t="shared" si="13"/>
        <v>1</v>
      </c>
      <c r="AC28" s="1810">
        <f t="shared" si="14"/>
        <v>1</v>
      </c>
    </row>
    <row r="29" spans="1:29" ht="15" hidden="1">
      <c r="A29" s="427"/>
      <c r="B29" s="1385"/>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296"/>
      <c r="Q29" s="1809">
        <f t="shared" si="8"/>
        <v>0</v>
      </c>
      <c r="R29" s="772" t="s">
        <v>21</v>
      </c>
      <c r="S29" s="773">
        <f t="shared" si="9"/>
        <v>100</v>
      </c>
      <c r="T29" s="772" t="s">
        <v>21</v>
      </c>
      <c r="U29" s="773">
        <f t="shared" si="10"/>
        <v>100</v>
      </c>
      <c r="V29" s="772" t="s">
        <v>21</v>
      </c>
      <c r="W29" s="773">
        <f t="shared" si="11"/>
        <v>100</v>
      </c>
      <c r="X29" s="1812"/>
      <c r="Y29" s="3284"/>
      <c r="Z29" s="1813">
        <f t="shared" si="15"/>
        <v>0</v>
      </c>
      <c r="AA29" s="1810">
        <f t="shared" si="12"/>
        <v>1</v>
      </c>
      <c r="AB29" s="1810">
        <f t="shared" si="13"/>
        <v>1</v>
      </c>
      <c r="AC29" s="1810">
        <f t="shared" si="14"/>
        <v>1</v>
      </c>
    </row>
    <row r="30" spans="1:29" ht="15" hidden="1">
      <c r="A30" s="427"/>
      <c r="B30" s="1385"/>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296"/>
      <c r="Q30" s="1809">
        <f t="shared" si="8"/>
        <v>0</v>
      </c>
      <c r="R30" s="772" t="s">
        <v>21</v>
      </c>
      <c r="S30" s="773">
        <f t="shared" si="9"/>
        <v>100</v>
      </c>
      <c r="T30" s="772" t="s">
        <v>21</v>
      </c>
      <c r="U30" s="773">
        <f t="shared" si="10"/>
        <v>100</v>
      </c>
      <c r="V30" s="772" t="s">
        <v>21</v>
      </c>
      <c r="W30" s="773">
        <f t="shared" si="11"/>
        <v>100</v>
      </c>
      <c r="X30" s="1812"/>
      <c r="Y30" s="3284"/>
      <c r="Z30" s="1813">
        <f t="shared" si="15"/>
        <v>0</v>
      </c>
      <c r="AA30" s="1810">
        <f t="shared" si="12"/>
        <v>1</v>
      </c>
      <c r="AB30" s="1810">
        <f t="shared" si="13"/>
        <v>1</v>
      </c>
      <c r="AC30" s="1810">
        <f t="shared" si="14"/>
        <v>1</v>
      </c>
    </row>
    <row r="31" spans="1:29" ht="15.75" hidden="1" thickBot="1">
      <c r="A31" s="435"/>
      <c r="B31" s="1385"/>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296"/>
      <c r="Q31" s="1809">
        <f t="shared" si="8"/>
        <v>0</v>
      </c>
      <c r="R31" s="772" t="s">
        <v>21</v>
      </c>
      <c r="S31" s="773">
        <f t="shared" si="9"/>
        <v>100</v>
      </c>
      <c r="T31" s="772" t="s">
        <v>21</v>
      </c>
      <c r="U31" s="773">
        <f t="shared" si="10"/>
        <v>100</v>
      </c>
      <c r="V31" s="772" t="s">
        <v>21</v>
      </c>
      <c r="W31" s="773">
        <f t="shared" si="11"/>
        <v>100</v>
      </c>
      <c r="X31" s="1812"/>
      <c r="Y31" s="3284"/>
      <c r="Z31" s="1813">
        <f t="shared" si="15"/>
        <v>0</v>
      </c>
      <c r="AA31" s="1810">
        <f t="shared" si="12"/>
        <v>1</v>
      </c>
      <c r="AB31" s="1810">
        <f t="shared" si="13"/>
        <v>1</v>
      </c>
      <c r="AC31" s="1810">
        <f t="shared" si="14"/>
        <v>1</v>
      </c>
    </row>
    <row r="32" spans="1:29" ht="15">
      <c r="A32" s="439" t="s">
        <v>2555</v>
      </c>
      <c r="B32" s="71" t="s">
        <v>2556</v>
      </c>
      <c r="C32" s="2614" t="s">
        <v>3148</v>
      </c>
      <c r="D32" s="466">
        <v>100</v>
      </c>
      <c r="E32" s="2615" t="s">
        <v>3148</v>
      </c>
      <c r="F32" s="460">
        <f>SUMIF(100:100,E32,101:101)-SUMIF(100:100,C32,101:101)+100</f>
        <v>100</v>
      </c>
      <c r="G32" s="2614" t="s">
        <v>3148</v>
      </c>
      <c r="H32" s="466">
        <f>SUMIF(100:100,G32,101:101)-SUMIF(100:100,C32,101:101)+100</f>
        <v>100</v>
      </c>
      <c r="I32" s="2614" t="s">
        <v>3148</v>
      </c>
      <c r="J32" s="434">
        <f>SUMIF(100:100,I32,101:101)-SUMIF(100:100,C32,101:101)+100</f>
        <v>100</v>
      </c>
      <c r="K32" s="425">
        <v>5</v>
      </c>
      <c r="L32" s="1139"/>
      <c r="M32" s="1130"/>
      <c r="N32" s="1130"/>
      <c r="O32" s="1130"/>
      <c r="P32" s="3297" t="s">
        <v>2557</v>
      </c>
      <c r="Q32" s="1809" t="str">
        <f t="shared" si="8"/>
        <v>建筑类型</v>
      </c>
      <c r="R32" s="772" t="s">
        <v>21</v>
      </c>
      <c r="S32" s="773">
        <f t="shared" si="9"/>
        <v>100</v>
      </c>
      <c r="T32" s="772" t="s">
        <v>21</v>
      </c>
      <c r="U32" s="773">
        <f t="shared" si="10"/>
        <v>100</v>
      </c>
      <c r="V32" s="772" t="s">
        <v>21</v>
      </c>
      <c r="W32" s="773">
        <f t="shared" si="11"/>
        <v>100</v>
      </c>
      <c r="X32" s="1812"/>
      <c r="Y32" s="3286" t="s">
        <v>2557</v>
      </c>
      <c r="Z32" s="1813" t="str">
        <f t="shared" si="15"/>
        <v>建筑类型</v>
      </c>
      <c r="AA32" s="1810">
        <f t="shared" si="12"/>
        <v>1</v>
      </c>
      <c r="AB32" s="1810">
        <f t="shared" si="13"/>
        <v>1</v>
      </c>
      <c r="AC32" s="1810">
        <f t="shared" si="14"/>
        <v>1</v>
      </c>
    </row>
    <row r="33" spans="1:29" s="470" customFormat="1" ht="15">
      <c r="A33" s="467"/>
      <c r="B33" s="421" t="s">
        <v>2558</v>
      </c>
      <c r="C33" s="468">
        <v>223334</v>
      </c>
      <c r="D33" s="135">
        <v>100</v>
      </c>
      <c r="E33" s="429">
        <v>66741</v>
      </c>
      <c r="F33" s="424">
        <f>LOOKUP(E33,103:103,104:104)-LOOKUP(C33,103:103,104:104)+100</f>
        <v>98</v>
      </c>
      <c r="G33" s="428">
        <v>125000</v>
      </c>
      <c r="H33" s="135">
        <f>LOOKUP(G33,103:103,104:104)-LOOKUP(C33,103:103,104:104)+100</f>
        <v>99</v>
      </c>
      <c r="I33" s="429">
        <v>66741</v>
      </c>
      <c r="J33" s="135">
        <f>LOOKUP(I33,103:103,104:104)-LOOKUP(C33,103:103,104:104)+100</f>
        <v>98</v>
      </c>
      <c r="K33" s="2598"/>
      <c r="L33" s="1137"/>
      <c r="M33" s="1140"/>
      <c r="N33" s="1140"/>
      <c r="O33" s="1140"/>
      <c r="P33" s="3298"/>
      <c r="Q33" s="774" t="str">
        <f t="shared" si="8"/>
        <v>项目建筑规模</v>
      </c>
      <c r="R33" s="775" t="s">
        <v>21</v>
      </c>
      <c r="S33" s="776">
        <f t="shared" si="9"/>
        <v>98</v>
      </c>
      <c r="T33" s="775" t="s">
        <v>21</v>
      </c>
      <c r="U33" s="776">
        <f t="shared" si="10"/>
        <v>99</v>
      </c>
      <c r="V33" s="775" t="s">
        <v>21</v>
      </c>
      <c r="W33" s="776">
        <f t="shared" si="11"/>
        <v>98</v>
      </c>
      <c r="X33" s="777"/>
      <c r="Y33" s="3286"/>
      <c r="Z33" s="778" t="str">
        <f t="shared" si="15"/>
        <v>项目建筑规模</v>
      </c>
      <c r="AA33" s="1810">
        <f t="shared" si="12"/>
        <v>1.0204081632653061</v>
      </c>
      <c r="AB33" s="1810">
        <f t="shared" si="13"/>
        <v>1.0101010101010102</v>
      </c>
      <c r="AC33" s="1810">
        <f t="shared" si="14"/>
        <v>1.0204081632653061</v>
      </c>
    </row>
    <row r="34" spans="1:29" ht="15">
      <c r="A34" s="471"/>
      <c r="B34" s="421" t="s">
        <v>2559</v>
      </c>
      <c r="C34" s="2616" t="s">
        <v>3110</v>
      </c>
      <c r="D34" s="434">
        <v>100</v>
      </c>
      <c r="E34" s="2616" t="s">
        <v>3110</v>
      </c>
      <c r="F34" s="460">
        <f>SUMIF(105:105,E34,106:106)-SUMIF(105:105,C34,106:106)+100</f>
        <v>100</v>
      </c>
      <c r="G34" s="2616" t="s">
        <v>3110</v>
      </c>
      <c r="H34" s="434">
        <f>SUMIF(105:105,G34,106:106)-SUMIF(105:105,C34,106:106)+100</f>
        <v>100</v>
      </c>
      <c r="I34" s="2616" t="s">
        <v>3110</v>
      </c>
      <c r="J34" s="434">
        <f>SUMIF(105:105,I34,106:106)-SUMIF(105:105,C34,106:106)+100</f>
        <v>100</v>
      </c>
      <c r="K34" s="425">
        <v>2</v>
      </c>
      <c r="L34" s="1139"/>
      <c r="M34" s="1130"/>
      <c r="N34" s="1130"/>
      <c r="O34" s="1130"/>
      <c r="P34" s="3298"/>
      <c r="Q34" s="1809" t="str">
        <f t="shared" si="8"/>
        <v>建筑结构</v>
      </c>
      <c r="R34" s="772" t="s">
        <v>21</v>
      </c>
      <c r="S34" s="773">
        <f t="shared" si="9"/>
        <v>100</v>
      </c>
      <c r="T34" s="772" t="s">
        <v>21</v>
      </c>
      <c r="U34" s="773">
        <f t="shared" si="10"/>
        <v>100</v>
      </c>
      <c r="V34" s="772" t="s">
        <v>21</v>
      </c>
      <c r="W34" s="773">
        <f t="shared" si="11"/>
        <v>100</v>
      </c>
      <c r="X34" s="1812"/>
      <c r="Y34" s="3286"/>
      <c r="Z34" s="1813" t="str">
        <f t="shared" si="15"/>
        <v>建筑结构</v>
      </c>
      <c r="AA34" s="1810">
        <f t="shared" si="12"/>
        <v>1</v>
      </c>
      <c r="AB34" s="1810">
        <f t="shared" si="13"/>
        <v>1</v>
      </c>
      <c r="AC34" s="1810">
        <f t="shared" si="14"/>
        <v>1</v>
      </c>
    </row>
    <row r="35" spans="1:29" ht="15">
      <c r="A35" s="471"/>
      <c r="B35" s="421" t="s">
        <v>2560</v>
      </c>
      <c r="C35" s="2610" t="s">
        <v>3143</v>
      </c>
      <c r="D35" s="434">
        <v>100</v>
      </c>
      <c r="E35" s="2610" t="s">
        <v>3143</v>
      </c>
      <c r="F35" s="460">
        <f>SUMIF(107:107,E35,108:108)-SUMIF(107:107,C35,108:108)+100</f>
        <v>100</v>
      </c>
      <c r="G35" s="2610" t="s">
        <v>3143</v>
      </c>
      <c r="H35" s="434">
        <f>SUMIF(107:107,G35,108:108)-SUMIF(107:107,C35,108:108)+100</f>
        <v>100</v>
      </c>
      <c r="I35" s="2610" t="s">
        <v>3143</v>
      </c>
      <c r="J35" s="434">
        <f>SUMIF(107:107,I35,108:108)-SUMIF(107:107,C35,108:108)+100</f>
        <v>100</v>
      </c>
      <c r="K35" s="425">
        <v>5</v>
      </c>
      <c r="L35" s="1139"/>
      <c r="M35" s="1130"/>
      <c r="N35" s="1130"/>
      <c r="O35" s="1130"/>
      <c r="P35" s="3298"/>
      <c r="Q35" s="1809" t="str">
        <f t="shared" si="8"/>
        <v>建筑品质</v>
      </c>
      <c r="R35" s="772" t="s">
        <v>21</v>
      </c>
      <c r="S35" s="773">
        <f t="shared" si="9"/>
        <v>100</v>
      </c>
      <c r="T35" s="772" t="s">
        <v>21</v>
      </c>
      <c r="U35" s="773">
        <f t="shared" si="10"/>
        <v>100</v>
      </c>
      <c r="V35" s="772" t="s">
        <v>21</v>
      </c>
      <c r="W35" s="773">
        <f t="shared" si="11"/>
        <v>100</v>
      </c>
      <c r="X35" s="1812"/>
      <c r="Y35" s="3286"/>
      <c r="Z35" s="1813" t="str">
        <f t="shared" si="15"/>
        <v>建筑品质</v>
      </c>
      <c r="AA35" s="1810">
        <f t="shared" si="12"/>
        <v>1</v>
      </c>
      <c r="AB35" s="1810">
        <f t="shared" si="13"/>
        <v>1</v>
      </c>
      <c r="AC35" s="1810">
        <f t="shared" si="14"/>
        <v>1</v>
      </c>
    </row>
    <row r="36" spans="1:29" ht="15">
      <c r="A36" s="471"/>
      <c r="B36" s="421" t="s">
        <v>2561</v>
      </c>
      <c r="C36" s="2610" t="s">
        <v>3144</v>
      </c>
      <c r="D36" s="434">
        <v>100</v>
      </c>
      <c r="E36" s="2610" t="s">
        <v>3144</v>
      </c>
      <c r="F36" s="460">
        <f>SUMIF(109:109,E36,110:110)-SUMIF(109:109,C36,110:110)+100</f>
        <v>100</v>
      </c>
      <c r="G36" s="2610" t="s">
        <v>3144</v>
      </c>
      <c r="H36" s="434">
        <f>SUMIF(109:109,G36,110:110)-SUMIF(109:109,C36,110:110)+100</f>
        <v>100</v>
      </c>
      <c r="I36" s="2610" t="s">
        <v>3144</v>
      </c>
      <c r="J36" s="434">
        <f>SUMIF(109:109,I36,110:110)-SUMIF(109:109,C36,110:110)+100</f>
        <v>100</v>
      </c>
      <c r="K36" s="425">
        <v>1</v>
      </c>
      <c r="L36" s="1139"/>
      <c r="M36" s="1130"/>
      <c r="N36" s="1130"/>
      <c r="O36" s="1130"/>
      <c r="P36" s="3298"/>
      <c r="Q36" s="1809" t="str">
        <f t="shared" si="8"/>
        <v>公共部分装修</v>
      </c>
      <c r="R36" s="772" t="s">
        <v>21</v>
      </c>
      <c r="S36" s="773">
        <f t="shared" si="9"/>
        <v>100</v>
      </c>
      <c r="T36" s="772" t="s">
        <v>21</v>
      </c>
      <c r="U36" s="773">
        <f t="shared" si="10"/>
        <v>100</v>
      </c>
      <c r="V36" s="772" t="s">
        <v>21</v>
      </c>
      <c r="W36" s="773">
        <f t="shared" si="11"/>
        <v>100</v>
      </c>
      <c r="X36" s="1812"/>
      <c r="Y36" s="3286"/>
      <c r="Z36" s="1813" t="str">
        <f t="shared" si="15"/>
        <v>公共部分装修</v>
      </c>
      <c r="AA36" s="1810">
        <f t="shared" si="12"/>
        <v>1</v>
      </c>
      <c r="AB36" s="1810">
        <f t="shared" si="13"/>
        <v>1</v>
      </c>
      <c r="AC36" s="1810">
        <f t="shared" si="14"/>
        <v>1</v>
      </c>
    </row>
    <row r="37" spans="1:29" s="117" customFormat="1" ht="15">
      <c r="A37" s="472"/>
      <c r="B37" s="421" t="s">
        <v>2562</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5</v>
      </c>
      <c r="L37" s="1131"/>
      <c r="M37" s="1132"/>
      <c r="N37" s="1132"/>
      <c r="O37" s="1132"/>
      <c r="P37" s="3298"/>
      <c r="Q37" s="1794" t="str">
        <f t="shared" si="8"/>
        <v>成新度</v>
      </c>
      <c r="R37" s="768" t="s">
        <v>21</v>
      </c>
      <c r="S37" s="769">
        <f t="shared" si="9"/>
        <v>100</v>
      </c>
      <c r="T37" s="768" t="s">
        <v>21</v>
      </c>
      <c r="U37" s="769">
        <f t="shared" si="10"/>
        <v>100</v>
      </c>
      <c r="V37" s="768" t="s">
        <v>21</v>
      </c>
      <c r="W37" s="769">
        <f t="shared" si="11"/>
        <v>100</v>
      </c>
      <c r="X37" s="770"/>
      <c r="Y37" s="3286"/>
      <c r="Z37" s="55" t="str">
        <f t="shared" si="15"/>
        <v>成新度</v>
      </c>
      <c r="AA37" s="771">
        <f t="shared" si="12"/>
        <v>1</v>
      </c>
      <c r="AB37" s="771">
        <f t="shared" si="13"/>
        <v>1</v>
      </c>
      <c r="AC37" s="771">
        <f t="shared" si="14"/>
        <v>1</v>
      </c>
    </row>
    <row r="38" spans="1:29" ht="15">
      <c r="A38" s="471"/>
      <c r="B38" s="421" t="s">
        <v>2563</v>
      </c>
      <c r="C38" s="2610" t="s">
        <v>3145</v>
      </c>
      <c r="D38" s="434">
        <v>100</v>
      </c>
      <c r="E38" s="2611" t="s">
        <v>3145</v>
      </c>
      <c r="F38" s="460">
        <f>SUMIF(114:114,E38,115:115)-SUMIF(114:114,C38,115:115)+100</f>
        <v>100</v>
      </c>
      <c r="G38" s="2610" t="s">
        <v>3145</v>
      </c>
      <c r="H38" s="434">
        <f>SUMIF(114:114,G38,115:115)-SUMIF(114:114,C38,115:115)+100</f>
        <v>100</v>
      </c>
      <c r="I38" s="2611" t="s">
        <v>3145</v>
      </c>
      <c r="J38" s="434">
        <f>SUMIF(114:114,I38,115:115)-SUMIF(114:114,C38,115:115)+100</f>
        <v>100</v>
      </c>
      <c r="K38" s="425">
        <v>3</v>
      </c>
      <c r="L38" s="1139"/>
      <c r="M38" s="1130"/>
      <c r="N38" s="1130"/>
      <c r="O38" s="1130"/>
      <c r="P38" s="3298" t="s">
        <v>2557</v>
      </c>
      <c r="Q38" s="1809" t="str">
        <f t="shared" si="8"/>
        <v>物业管理</v>
      </c>
      <c r="R38" s="772" t="s">
        <v>21</v>
      </c>
      <c r="S38" s="773">
        <f t="shared" si="9"/>
        <v>100</v>
      </c>
      <c r="T38" s="772" t="s">
        <v>21</v>
      </c>
      <c r="U38" s="773">
        <f t="shared" si="10"/>
        <v>100</v>
      </c>
      <c r="V38" s="772" t="s">
        <v>21</v>
      </c>
      <c r="W38" s="773">
        <f t="shared" si="11"/>
        <v>100</v>
      </c>
      <c r="X38" s="1812"/>
      <c r="Y38" s="3286" t="s">
        <v>2557</v>
      </c>
      <c r="Z38" s="1813" t="str">
        <f t="shared" si="15"/>
        <v>物业管理</v>
      </c>
      <c r="AA38" s="1810">
        <f t="shared" si="12"/>
        <v>1</v>
      </c>
      <c r="AB38" s="1810">
        <f t="shared" si="13"/>
        <v>1</v>
      </c>
      <c r="AC38" s="1810">
        <f t="shared" si="14"/>
        <v>1</v>
      </c>
    </row>
    <row r="39" spans="1:29" ht="15">
      <c r="A39" s="471"/>
      <c r="B39" s="421" t="s">
        <v>2564</v>
      </c>
      <c r="C39" s="2610" t="s">
        <v>3118</v>
      </c>
      <c r="D39" s="434">
        <v>100</v>
      </c>
      <c r="E39" s="2610" t="s">
        <v>3118</v>
      </c>
      <c r="F39" s="460">
        <f>SUMIF(116:116,E39,117:117)-SUMIF(116:116,C39,117:117)+100</f>
        <v>100</v>
      </c>
      <c r="G39" s="2610" t="s">
        <v>3118</v>
      </c>
      <c r="H39" s="434">
        <f>SUMIF(116:116,G39,117:117)-SUMIF(116:116,C39,117:117)+100</f>
        <v>100</v>
      </c>
      <c r="I39" s="2610" t="s">
        <v>3118</v>
      </c>
      <c r="J39" s="434">
        <f>SUMIF(116:116,I39,117:117)-SUMIF(116:116,C39,117:117)+100</f>
        <v>100</v>
      </c>
      <c r="K39" s="425">
        <v>2</v>
      </c>
      <c r="L39" s="1139"/>
      <c r="M39" s="1130"/>
      <c r="N39" s="1130"/>
      <c r="O39" s="1130"/>
      <c r="P39" s="3298"/>
      <c r="Q39" s="1809" t="str">
        <f t="shared" si="8"/>
        <v>市政基础设施</v>
      </c>
      <c r="R39" s="772" t="s">
        <v>21</v>
      </c>
      <c r="S39" s="773">
        <f t="shared" si="9"/>
        <v>100</v>
      </c>
      <c r="T39" s="772" t="s">
        <v>21</v>
      </c>
      <c r="U39" s="773">
        <f t="shared" si="10"/>
        <v>100</v>
      </c>
      <c r="V39" s="772" t="s">
        <v>21</v>
      </c>
      <c r="W39" s="773">
        <f t="shared" si="11"/>
        <v>100</v>
      </c>
      <c r="X39" s="1812"/>
      <c r="Y39" s="3286"/>
      <c r="Z39" s="1813" t="str">
        <f t="shared" si="15"/>
        <v>市政基础设施</v>
      </c>
      <c r="AA39" s="1810">
        <f t="shared" si="12"/>
        <v>1</v>
      </c>
      <c r="AB39" s="1810">
        <f t="shared" si="13"/>
        <v>1</v>
      </c>
      <c r="AC39" s="1810">
        <f t="shared" si="14"/>
        <v>1</v>
      </c>
    </row>
    <row r="40" spans="1:29" ht="15">
      <c r="A40" s="471"/>
      <c r="B40" s="421" t="s">
        <v>2565</v>
      </c>
      <c r="C40" s="2610" t="s">
        <v>3146</v>
      </c>
      <c r="D40" s="434">
        <v>100</v>
      </c>
      <c r="E40" s="2611" t="s">
        <v>3146</v>
      </c>
      <c r="F40" s="460">
        <f>SUMIF(118:118,E40,119:119)-SUMIF(118:118,C40,119:119)+100</f>
        <v>100</v>
      </c>
      <c r="G40" s="2610" t="s">
        <v>3146</v>
      </c>
      <c r="H40" s="434">
        <f>SUMIF(118:118,G40,119:119)-SUMIF(118:118,C40,119:119)+100</f>
        <v>100</v>
      </c>
      <c r="I40" s="2611" t="s">
        <v>3146</v>
      </c>
      <c r="J40" s="434">
        <f>SUMIF(118:118,I40,119:119)-SUMIF(118:118,C40,119:119)+100</f>
        <v>100</v>
      </c>
      <c r="K40" s="425">
        <v>10</v>
      </c>
      <c r="L40" s="1139"/>
      <c r="M40" s="1130"/>
      <c r="N40" s="1130"/>
      <c r="O40" s="1130"/>
      <c r="P40" s="3298"/>
      <c r="Q40" s="1809" t="str">
        <f t="shared" si="8"/>
        <v>房型</v>
      </c>
      <c r="R40" s="772" t="s">
        <v>21</v>
      </c>
      <c r="S40" s="773">
        <f t="shared" si="9"/>
        <v>100</v>
      </c>
      <c r="T40" s="772" t="s">
        <v>21</v>
      </c>
      <c r="U40" s="773">
        <f t="shared" si="10"/>
        <v>100</v>
      </c>
      <c r="V40" s="772" t="s">
        <v>21</v>
      </c>
      <c r="W40" s="773">
        <f t="shared" si="11"/>
        <v>100</v>
      </c>
      <c r="X40" s="1812"/>
      <c r="Y40" s="3286"/>
      <c r="Z40" s="1813" t="str">
        <f t="shared" si="15"/>
        <v>房型</v>
      </c>
      <c r="AA40" s="1810">
        <f t="shared" si="12"/>
        <v>1</v>
      </c>
      <c r="AB40" s="1810">
        <f t="shared" si="13"/>
        <v>1</v>
      </c>
      <c r="AC40" s="1810">
        <f t="shared" si="14"/>
        <v>1</v>
      </c>
    </row>
    <row r="41" spans="1:29" s="470" customFormat="1" ht="28.5">
      <c r="A41" s="467"/>
      <c r="B41" s="421" t="s">
        <v>2566</v>
      </c>
      <c r="C41" s="468">
        <v>50</v>
      </c>
      <c r="D41" s="135">
        <v>100</v>
      </c>
      <c r="E41" s="429">
        <v>40</v>
      </c>
      <c r="F41" s="424">
        <f>SUMIF(120:120,E41,121:121)-SUMIF(120:120,C41,121:121)+100</f>
        <v>100</v>
      </c>
      <c r="G41" s="428">
        <v>36</v>
      </c>
      <c r="H41" s="135">
        <f>SUMIF(120:120,G41,121:121)-SUMIF(120:120,C41,121:121)+100</f>
        <v>100</v>
      </c>
      <c r="I41" s="476">
        <v>26</v>
      </c>
      <c r="J41" s="434">
        <f>SUMIF(120:120,I41,121:121)-SUMIF(120:120,C41,121:121)+100</f>
        <v>100</v>
      </c>
      <c r="K41" s="2598"/>
      <c r="L41" s="1137"/>
      <c r="M41" s="1140"/>
      <c r="N41" s="1140"/>
      <c r="O41" s="1140"/>
      <c r="P41" s="3298"/>
      <c r="Q41" s="774" t="str">
        <f t="shared" si="8"/>
        <v>单套/主力户型建筑面积</v>
      </c>
      <c r="R41" s="775" t="s">
        <v>21</v>
      </c>
      <c r="S41" s="776">
        <f t="shared" si="9"/>
        <v>100</v>
      </c>
      <c r="T41" s="775" t="s">
        <v>21</v>
      </c>
      <c r="U41" s="776">
        <f t="shared" si="10"/>
        <v>100</v>
      </c>
      <c r="V41" s="775" t="s">
        <v>21</v>
      </c>
      <c r="W41" s="776">
        <f t="shared" si="11"/>
        <v>100</v>
      </c>
      <c r="X41" s="777"/>
      <c r="Y41" s="3286"/>
      <c r="Z41" s="778" t="str">
        <f t="shared" si="15"/>
        <v>单套/主力户型建筑面积</v>
      </c>
      <c r="AA41" s="1810">
        <f t="shared" si="12"/>
        <v>1</v>
      </c>
      <c r="AB41" s="1810">
        <f t="shared" si="13"/>
        <v>1</v>
      </c>
      <c r="AC41" s="1810">
        <f t="shared" si="14"/>
        <v>1</v>
      </c>
    </row>
    <row r="42" spans="1:29" ht="15">
      <c r="A42" s="471"/>
      <c r="B42" s="421" t="s">
        <v>2567</v>
      </c>
      <c r="C42" s="2610" t="s">
        <v>3147</v>
      </c>
      <c r="D42" s="434">
        <v>100</v>
      </c>
      <c r="E42" s="2611" t="s">
        <v>3144</v>
      </c>
      <c r="F42" s="460">
        <f>SUMIF(122:122,E42,123:123)-SUMIF(122:122,C42,123:123)+100</f>
        <v>104</v>
      </c>
      <c r="G42" s="2610" t="s">
        <v>3144</v>
      </c>
      <c r="H42" s="434">
        <f>SUMIF(122:122,G42,123:123)-SUMIF(122:122,C42,123:123)+100</f>
        <v>104</v>
      </c>
      <c r="I42" s="2611" t="s">
        <v>3144</v>
      </c>
      <c r="J42" s="434">
        <f>SUMIF(122:122,I42,123:123)-SUMIF(122:122,C42,123:123)+100</f>
        <v>104</v>
      </c>
      <c r="K42" s="425">
        <v>2</v>
      </c>
      <c r="L42" s="1139"/>
      <c r="M42" s="1130"/>
      <c r="N42" s="1130"/>
      <c r="O42" s="1130"/>
      <c r="P42" s="3298"/>
      <c r="Q42" s="1809" t="str">
        <f t="shared" si="8"/>
        <v>内部装修</v>
      </c>
      <c r="R42" s="772" t="s">
        <v>21</v>
      </c>
      <c r="S42" s="773">
        <f t="shared" si="9"/>
        <v>104</v>
      </c>
      <c r="T42" s="772" t="s">
        <v>21</v>
      </c>
      <c r="U42" s="773">
        <f t="shared" si="10"/>
        <v>104</v>
      </c>
      <c r="V42" s="772" t="s">
        <v>21</v>
      </c>
      <c r="W42" s="773">
        <f t="shared" si="11"/>
        <v>104</v>
      </c>
      <c r="X42" s="1812"/>
      <c r="Y42" s="3286"/>
      <c r="Z42" s="1813" t="str">
        <f t="shared" si="15"/>
        <v>内部装修</v>
      </c>
      <c r="AA42" s="1810">
        <f t="shared" si="12"/>
        <v>0.96153846153846156</v>
      </c>
      <c r="AB42" s="1810">
        <f t="shared" si="13"/>
        <v>0.96153846153846156</v>
      </c>
      <c r="AC42" s="1810">
        <f t="shared" si="14"/>
        <v>0.96153846153846156</v>
      </c>
    </row>
    <row r="43" spans="1:29" ht="15" hidden="1">
      <c r="A43" s="471"/>
      <c r="B43" s="421" t="s">
        <v>2568</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v>1</v>
      </c>
      <c r="L43" s="1139"/>
      <c r="M43" s="1130"/>
      <c r="N43" s="1130"/>
      <c r="O43" s="1130"/>
      <c r="P43" s="3298"/>
      <c r="Q43" s="1809" t="str">
        <f t="shared" si="8"/>
        <v>内部装修维护情况</v>
      </c>
      <c r="R43" s="772" t="s">
        <v>21</v>
      </c>
      <c r="S43" s="773">
        <f t="shared" si="9"/>
        <v>100</v>
      </c>
      <c r="T43" s="772" t="s">
        <v>21</v>
      </c>
      <c r="U43" s="773">
        <f t="shared" si="10"/>
        <v>100</v>
      </c>
      <c r="V43" s="772" t="s">
        <v>21</v>
      </c>
      <c r="W43" s="773">
        <f t="shared" si="11"/>
        <v>100</v>
      </c>
      <c r="X43" s="1812"/>
      <c r="Y43" s="3286"/>
      <c r="Z43" s="1813" t="str">
        <f t="shared" si="15"/>
        <v>内部装修维护情况</v>
      </c>
      <c r="AA43" s="1810">
        <f t="shared" si="12"/>
        <v>1</v>
      </c>
      <c r="AB43" s="1810">
        <f t="shared" si="13"/>
        <v>1</v>
      </c>
      <c r="AC43" s="1810">
        <f t="shared" si="14"/>
        <v>1</v>
      </c>
    </row>
    <row r="44" spans="1:29" s="117" customFormat="1" ht="15.75" thickBot="1">
      <c r="A44" s="472"/>
      <c r="B44" s="2967"/>
      <c r="C44" s="2969" t="s">
        <v>3151</v>
      </c>
      <c r="D44" s="135">
        <v>100</v>
      </c>
      <c r="E44" s="2969" t="s">
        <v>3149</v>
      </c>
      <c r="F44" s="424">
        <f>SUMIF(126:126,E44,127:127)-SUMIF(126:126,C44,127:127)+100</f>
        <v>110</v>
      </c>
      <c r="G44" s="2969" t="s">
        <v>3150</v>
      </c>
      <c r="H44" s="135">
        <f>SUMIF(126:126,G44,127:127)-SUMIF(126:126,C44,127:127)+100</f>
        <v>100</v>
      </c>
      <c r="I44" s="2969" t="s">
        <v>3149</v>
      </c>
      <c r="J44" s="135">
        <f>SUMIF(126:126,I44,127:127)-SUMIF(126:126,C44,127:127)+100</f>
        <v>110</v>
      </c>
      <c r="K44" s="2598"/>
      <c r="L44" s="1131"/>
      <c r="M44" s="1132"/>
      <c r="N44" s="1132"/>
      <c r="O44" s="1132"/>
      <c r="P44" s="3298"/>
      <c r="Q44" s="1794">
        <f t="shared" si="8"/>
        <v>0</v>
      </c>
      <c r="R44" s="768" t="s">
        <v>21</v>
      </c>
      <c r="S44" s="769">
        <f t="shared" si="9"/>
        <v>110</v>
      </c>
      <c r="T44" s="768" t="s">
        <v>21</v>
      </c>
      <c r="U44" s="769">
        <f t="shared" si="10"/>
        <v>100</v>
      </c>
      <c r="V44" s="768" t="s">
        <v>21</v>
      </c>
      <c r="W44" s="769">
        <f t="shared" si="11"/>
        <v>110</v>
      </c>
      <c r="X44" s="770"/>
      <c r="Y44" s="3286"/>
      <c r="Z44" s="55">
        <f t="shared" si="15"/>
        <v>0</v>
      </c>
      <c r="AA44" s="771">
        <f t="shared" si="12"/>
        <v>0.90909090909090906</v>
      </c>
      <c r="AB44" s="771">
        <f t="shared" si="13"/>
        <v>1</v>
      </c>
      <c r="AC44" s="771">
        <f t="shared" si="14"/>
        <v>0.90909090909090906</v>
      </c>
    </row>
    <row r="45" spans="1:29" ht="15" hidden="1">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9"/>
      <c r="M45" s="1130"/>
      <c r="N45" s="1130"/>
      <c r="O45" s="1130"/>
      <c r="P45" s="3298"/>
      <c r="Q45" s="1809">
        <f t="shared" si="8"/>
        <v>0</v>
      </c>
      <c r="R45" s="772" t="s">
        <v>21</v>
      </c>
      <c r="S45" s="773">
        <f t="shared" si="9"/>
        <v>100</v>
      </c>
      <c r="T45" s="772" t="s">
        <v>21</v>
      </c>
      <c r="U45" s="773">
        <f t="shared" si="10"/>
        <v>100</v>
      </c>
      <c r="V45" s="772" t="s">
        <v>21</v>
      </c>
      <c r="W45" s="773">
        <f t="shared" si="11"/>
        <v>100</v>
      </c>
      <c r="X45" s="1812"/>
      <c r="Y45" s="3286"/>
      <c r="Z45" s="1813">
        <f t="shared" si="15"/>
        <v>0</v>
      </c>
      <c r="AA45" s="1810">
        <f t="shared" si="12"/>
        <v>1</v>
      </c>
      <c r="AB45" s="1810">
        <f t="shared" si="13"/>
        <v>1</v>
      </c>
      <c r="AC45" s="1810">
        <f t="shared" si="14"/>
        <v>1</v>
      </c>
    </row>
    <row r="46" spans="1:29" ht="15.75" hidden="1" thickBot="1">
      <c r="A46" s="477"/>
      <c r="B46" s="2599"/>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299"/>
      <c r="Q46" s="1809">
        <f t="shared" si="8"/>
        <v>0</v>
      </c>
      <c r="R46" s="772" t="s">
        <v>20</v>
      </c>
      <c r="S46" s="773">
        <f t="shared" si="9"/>
        <v>100</v>
      </c>
      <c r="T46" s="772" t="s">
        <v>20</v>
      </c>
      <c r="U46" s="773">
        <f t="shared" si="10"/>
        <v>100</v>
      </c>
      <c r="V46" s="772" t="s">
        <v>20</v>
      </c>
      <c r="W46" s="773">
        <f t="shared" si="11"/>
        <v>100</v>
      </c>
      <c r="X46" s="1812"/>
      <c r="Y46" s="3300"/>
      <c r="Z46" s="1813">
        <f t="shared" si="15"/>
        <v>0</v>
      </c>
      <c r="AA46" s="1810">
        <f t="shared" si="12"/>
        <v>1</v>
      </c>
      <c r="AB46" s="1810">
        <f t="shared" si="13"/>
        <v>1</v>
      </c>
      <c r="AC46" s="1810">
        <f t="shared" si="14"/>
        <v>1</v>
      </c>
    </row>
    <row r="47" spans="1:29" ht="15">
      <c r="A47" s="478" t="s">
        <v>2569</v>
      </c>
      <c r="B47" s="479"/>
      <c r="C47" s="1406" t="s">
        <v>19</v>
      </c>
      <c r="D47" s="1407"/>
      <c r="E47" s="1408">
        <v>32000</v>
      </c>
      <c r="F47" s="1409"/>
      <c r="G47" s="1410">
        <v>28000</v>
      </c>
      <c r="H47" s="1411"/>
      <c r="I47" s="1408">
        <v>30000</v>
      </c>
      <c r="J47" s="1411"/>
      <c r="K47" s="2617"/>
      <c r="L47" s="1142"/>
      <c r="M47" s="1143"/>
      <c r="N47" s="1130"/>
      <c r="O47" s="1143"/>
      <c r="P47" s="3268" t="str">
        <f>A47</f>
        <v>成交单价（元/平方米）</v>
      </c>
      <c r="Q47" s="3268"/>
      <c r="R47" s="3301">
        <f>E47</f>
        <v>32000</v>
      </c>
      <c r="S47" s="3301"/>
      <c r="T47" s="3301">
        <f>G47</f>
        <v>28000</v>
      </c>
      <c r="U47" s="3301"/>
      <c r="V47" s="3301">
        <f>I47</f>
        <v>30000</v>
      </c>
      <c r="W47" s="3301"/>
      <c r="X47" s="757"/>
      <c r="Y47" s="779"/>
      <c r="Z47" s="757"/>
      <c r="AA47" s="757"/>
      <c r="AB47" s="757"/>
      <c r="AC47" s="757"/>
    </row>
    <row r="48" spans="1:29" ht="15.75" thickBot="1">
      <c r="A48" s="485" t="s">
        <v>2570</v>
      </c>
      <c r="B48" s="486"/>
      <c r="C48" s="1412">
        <f>R49</f>
        <v>24377</v>
      </c>
      <c r="D48" s="1413"/>
      <c r="E48" s="1414">
        <f>R48</f>
        <v>25645</v>
      </c>
      <c r="F48" s="1414"/>
      <c r="G48" s="1412">
        <f>T48</f>
        <v>23935</v>
      </c>
      <c r="H48" s="1413"/>
      <c r="I48" s="1414">
        <f>V48</f>
        <v>23551</v>
      </c>
      <c r="J48" s="1413"/>
      <c r="K48" s="2618"/>
      <c r="L48" s="1142"/>
      <c r="M48" s="1143"/>
      <c r="N48" s="1143"/>
      <c r="O48" s="1143"/>
      <c r="P48" s="3268" t="str">
        <f>A48</f>
        <v>比较价值（元/平方米）</v>
      </c>
      <c r="Q48" s="3268"/>
      <c r="R48" s="3301">
        <f>IF(F1="售价",ROUND(PRODUCT(R47,AA7:AA46),0),ROUND(PRODUCT(R47,AA7:AA46),1))</f>
        <v>25645</v>
      </c>
      <c r="S48" s="3301"/>
      <c r="T48" s="3301">
        <f>IF(F1="售价",ROUND(PRODUCT(T47,AB7:AB46),0),ROUND(PRODUCT(T47,AB7:AB46),1))</f>
        <v>23935</v>
      </c>
      <c r="U48" s="3301"/>
      <c r="V48" s="3301">
        <f>IF(F1="售价",ROUND(PRODUCT(V47,AC7:AC46),0),ROUND(PRODUCT(V47,AC7:AC46),1))</f>
        <v>23551</v>
      </c>
      <c r="W48" s="3301"/>
      <c r="X48" s="757"/>
      <c r="Y48" s="757"/>
      <c r="Z48" s="757"/>
      <c r="AA48" s="757"/>
      <c r="AB48" s="757"/>
      <c r="AC48" s="757"/>
    </row>
    <row r="49" spans="1:29" ht="15.75" thickBot="1">
      <c r="A49" s="491" t="s">
        <v>2571</v>
      </c>
      <c r="B49" s="492"/>
      <c r="C49" s="1415">
        <f>R49</f>
        <v>24377</v>
      </c>
      <c r="D49" s="1416"/>
      <c r="E49" s="1416"/>
      <c r="F49" s="1416"/>
      <c r="G49" s="1416"/>
      <c r="H49" s="1416"/>
      <c r="I49" s="1416"/>
      <c r="J49" s="1416"/>
      <c r="K49" s="2619"/>
      <c r="L49" s="1142"/>
      <c r="M49" s="1143"/>
      <c r="N49" s="1143"/>
      <c r="O49" s="1143"/>
      <c r="P49" s="3288" t="str">
        <f>A49</f>
        <v>估价对象XX用房的比较价值（楼面单价，元/平方米）</v>
      </c>
      <c r="Q49" s="3289"/>
      <c r="R49" s="3302">
        <f>IF(F1="售价",ROUND(AVERAGE(R48:V48),0),ROUND(AVERAGE(R48:V48),1))</f>
        <v>24377</v>
      </c>
      <c r="S49" s="3302"/>
      <c r="T49" s="3302"/>
      <c r="U49" s="3302"/>
      <c r="V49" s="3302"/>
      <c r="W49" s="3302"/>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2572</v>
      </c>
      <c r="D52" s="497"/>
      <c r="E52" s="498">
        <f>IF(E47&lt;E48,E48/E47-1,E47/E48-1)</f>
        <v>0.24780658997855332</v>
      </c>
      <c r="F52" s="499" t="str">
        <f>IF(OR(E52&gt;=0.3,E52&lt;=-0.3),"超过30%","")</f>
        <v/>
      </c>
      <c r="G52" s="498">
        <f>IF(G47&lt;G48,G48/G47-1,G47/G48-1)</f>
        <v>0.16983496970963019</v>
      </c>
      <c r="H52" s="499" t="str">
        <f>IF(OR(G52&gt;=0.3,G52&lt;=-0.3),"超过30%","")</f>
        <v/>
      </c>
      <c r="I52" s="498">
        <f>IF(I47&lt;I48,I48/I47-1,I47/I48-1)</f>
        <v>0.27383125981911594</v>
      </c>
      <c r="J52" s="499" t="str">
        <f>IF(OR(I52&gt;=0.3,I52&lt;=-0.3),"超过30%","")</f>
        <v/>
      </c>
      <c r="K52" s="1104"/>
      <c r="L52" s="1105"/>
      <c r="M52" s="1143"/>
      <c r="N52" s="1143"/>
      <c r="O52" s="1143"/>
    </row>
    <row r="53" spans="1:29" ht="13.5" customHeight="1">
      <c r="A53" s="1143"/>
      <c r="B53" s="1143"/>
      <c r="C53" s="496" t="s">
        <v>2573</v>
      </c>
      <c r="D53" s="500"/>
      <c r="E53" s="498">
        <f>IF(E48&lt;G48,G48/E48-1,E48/G48-1)</f>
        <v>7.1443492792981012E-2</v>
      </c>
      <c r="F53" s="499" t="str">
        <f>IF(OR(E53&gt;=0.2,E53&lt;=-0.2),"超过20%","")</f>
        <v/>
      </c>
      <c r="G53" s="498">
        <f>IF(G48&lt;I48,I48/G48-1,G48/I48-1)</f>
        <v>1.6305040125684789E-2</v>
      </c>
      <c r="H53" s="499" t="str">
        <f>IF(OR(G53&gt;=0.2,G53&lt;=-0.2),"超过20%","")</f>
        <v/>
      </c>
      <c r="I53" s="498">
        <f>IF(I48&lt;E48,E48/I48-1,I48/E48-1)</f>
        <v>8.8913421935374215E-2</v>
      </c>
      <c r="J53" s="499" t="str">
        <f>IF(OR(I53&gt;=0.2,I53&lt;=-0.2),"超过20%","")</f>
        <v/>
      </c>
      <c r="K53" s="1104"/>
      <c r="L53" s="1105"/>
      <c r="M53" s="1143"/>
      <c r="N53" s="1143"/>
      <c r="O53" s="1143"/>
    </row>
    <row r="54" spans="1:29" s="501" customFormat="1" ht="13.5" customHeight="1">
      <c r="A54" s="1144"/>
      <c r="B54" s="1144"/>
      <c r="C54" s="496" t="s">
        <v>2574</v>
      </c>
      <c r="D54" s="500"/>
      <c r="E54" s="498">
        <f>IF(E47&lt;G47,G47/E47-1,E47/G47-1)</f>
        <v>0.14285714285714279</v>
      </c>
      <c r="F54" s="499" t="str">
        <f>IF(OR(E54&gt;=0.3,E54&lt;=-0.3),"超过30%","")</f>
        <v/>
      </c>
      <c r="G54" s="498">
        <f>IF(G47&lt;I47,I47/G47-1,G47/I47-1)</f>
        <v>7.1428571428571397E-2</v>
      </c>
      <c r="H54" s="499" t="str">
        <f>IF(OR(G54&gt;=0.3,G54&lt;=-0.3),"超过30%","")</f>
        <v/>
      </c>
      <c r="I54" s="498">
        <f>IF(I47&lt;E47,E47/I47-1,I47/E47-1)</f>
        <v>6.6666666666666652E-2</v>
      </c>
      <c r="J54" s="499" t="str">
        <f>IF(OR(I54&gt;=0.3,I54&lt;=-0.3),"超过30%","")</f>
        <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1" t="s">
        <v>2575</v>
      </c>
      <c r="B57" s="757"/>
      <c r="C57" s="762"/>
      <c r="D57" s="762"/>
      <c r="E57" s="762"/>
      <c r="F57" s="763"/>
      <c r="G57" s="763"/>
      <c r="H57" s="762"/>
      <c r="I57" s="762"/>
      <c r="J57" s="762"/>
      <c r="K57" s="1159"/>
      <c r="L57" s="1160"/>
      <c r="M57" s="1158"/>
      <c r="N57" s="1158"/>
      <c r="O57" s="1158"/>
      <c r="P57" s="2622"/>
      <c r="Q57" s="503"/>
    </row>
    <row r="58" spans="1:29" s="507" customFormat="1" ht="15">
      <c r="A58" s="504" t="s">
        <v>2576</v>
      </c>
      <c r="B58" s="505"/>
      <c r="C58" s="1575" t="str">
        <f>YEAR(C7)&amp;"-"&amp;MONTH(C7)</f>
        <v>2018-8</v>
      </c>
      <c r="D58" s="1574">
        <f>EDATE(C58,-1)</f>
        <v>43282</v>
      </c>
      <c r="E58" s="1574">
        <f>EDATE(D58,-1)</f>
        <v>43252</v>
      </c>
      <c r="F58" s="1574">
        <f t="shared" ref="F58:O58" si="16">EDATE(E58,-1)</f>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 t="shared" si="16"/>
        <v>42948</v>
      </c>
      <c r="P58" s="1569"/>
    </row>
    <row r="59" spans="1:29" s="117" customFormat="1" ht="15">
      <c r="A59" s="508"/>
      <c r="B59" s="2623"/>
      <c r="C59" s="1572">
        <v>100</v>
      </c>
      <c r="D59" s="510"/>
      <c r="E59" s="511"/>
      <c r="F59" s="511"/>
      <c r="G59" s="511"/>
      <c r="H59" s="511"/>
      <c r="I59" s="511"/>
      <c r="J59" s="511"/>
      <c r="K59" s="511"/>
      <c r="L59" s="511"/>
      <c r="M59" s="512"/>
      <c r="N59" s="511"/>
      <c r="O59" s="512"/>
      <c r="P59" s="2624"/>
    </row>
    <row r="60" spans="1:29" s="117" customFormat="1" ht="15.75" thickBot="1">
      <c r="A60" s="514" t="s">
        <v>2577</v>
      </c>
      <c r="B60" s="515"/>
      <c r="C60" s="516"/>
      <c r="D60" s="517"/>
      <c r="E60" s="517"/>
      <c r="F60" s="517"/>
      <c r="G60" s="517"/>
      <c r="H60" s="517"/>
      <c r="I60" s="517"/>
      <c r="J60" s="517"/>
      <c r="K60" s="517"/>
      <c r="L60" s="517"/>
      <c r="M60" s="518"/>
      <c r="N60" s="517"/>
      <c r="O60" s="518"/>
      <c r="P60" s="2624"/>
      <c r="Q60" s="503"/>
    </row>
    <row r="61" spans="1:29" s="117" customFormat="1" ht="15">
      <c r="A61" s="520" t="s">
        <v>2578</v>
      </c>
      <c r="B61" s="509"/>
      <c r="C61" s="521" t="s">
        <v>2579</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2580</v>
      </c>
      <c r="B63" s="527" t="s">
        <v>2546</v>
      </c>
      <c r="C63" s="528" t="str">
        <f>C9</f>
        <v>商住</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1"/>
      <c r="O65" s="1151"/>
      <c r="P65" s="2626"/>
      <c r="Q65" s="503"/>
    </row>
    <row r="66" spans="1:17" ht="15.75" thickBot="1">
      <c r="A66" s="533"/>
      <c r="B66" s="542"/>
      <c r="C66" s="543">
        <v>100</v>
      </c>
      <c r="D66" s="543">
        <f t="shared" ref="D66:I66" si="17">C66-$K10</f>
        <v>99</v>
      </c>
      <c r="E66" s="543">
        <f t="shared" si="17"/>
        <v>98</v>
      </c>
      <c r="F66" s="543">
        <f t="shared" si="17"/>
        <v>97</v>
      </c>
      <c r="G66" s="543">
        <f t="shared" si="17"/>
        <v>96</v>
      </c>
      <c r="H66" s="543">
        <f t="shared" si="17"/>
        <v>95</v>
      </c>
      <c r="I66" s="543">
        <f t="shared" si="17"/>
        <v>94</v>
      </c>
      <c r="J66" s="543"/>
      <c r="K66" s="543"/>
      <c r="L66" s="543"/>
      <c r="M66" s="544"/>
      <c r="N66" s="1152"/>
      <c r="O66" s="1152"/>
      <c r="P66" s="2626"/>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3（含）-4</v>
      </c>
      <c r="G67" s="546" t="str">
        <f t="shared" si="18"/>
        <v>4（含）-5</v>
      </c>
      <c r="H67" s="546" t="str">
        <f t="shared" si="18"/>
        <v>5（含）-6</v>
      </c>
      <c r="I67" s="546" t="str">
        <f t="shared" si="18"/>
        <v>6（含）-7</v>
      </c>
      <c r="J67" s="546" t="str">
        <f t="shared" si="18"/>
        <v>7（含）-8</v>
      </c>
      <c r="K67" s="546" t="str">
        <f>K68&amp;"（含）"&amp;"-"&amp;L68</f>
        <v>8（含）-9</v>
      </c>
      <c r="L67" s="546" t="str">
        <f t="shared" si="18"/>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9">
        <v>8</v>
      </c>
      <c r="L68" s="550">
        <v>9</v>
      </c>
      <c r="M68" s="551">
        <v>10</v>
      </c>
      <c r="N68" s="1151"/>
      <c r="O68" s="1151"/>
      <c r="P68" s="2626"/>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2"/>
      <c r="O69" s="1152"/>
      <c r="P69" s="2626"/>
      <c r="Q69" s="503"/>
    </row>
    <row r="70" spans="1:17" s="470" customFormat="1" ht="15.75" hidden="1" thickTop="1">
      <c r="A70" s="552"/>
      <c r="B70" s="537">
        <f>B12</f>
        <v>0</v>
      </c>
      <c r="C70" s="553"/>
      <c r="D70" s="553"/>
      <c r="E70" s="553"/>
      <c r="F70" s="553"/>
      <c r="G70" s="553"/>
      <c r="H70" s="554"/>
      <c r="I70" s="554"/>
      <c r="J70" s="554"/>
      <c r="K70" s="554"/>
      <c r="L70" s="555"/>
      <c r="M70" s="556"/>
      <c r="N70" s="1153"/>
      <c r="O70" s="1153"/>
      <c r="P70" s="2627"/>
      <c r="Q70" s="558"/>
    </row>
    <row r="71" spans="1:17" s="470" customFormat="1" ht="15.75" hidden="1" thickBot="1">
      <c r="A71" s="552"/>
      <c r="B71" s="542"/>
      <c r="C71" s="559"/>
      <c r="D71" s="535"/>
      <c r="E71" s="535"/>
      <c r="F71" s="535"/>
      <c r="G71" s="535"/>
      <c r="H71" s="535"/>
      <c r="I71" s="535"/>
      <c r="J71" s="535"/>
      <c r="K71" s="535"/>
      <c r="L71" s="535"/>
      <c r="M71" s="536"/>
      <c r="N71" s="1152"/>
      <c r="O71" s="1152"/>
      <c r="P71" s="2627"/>
      <c r="Q71" s="558"/>
    </row>
    <row r="72" spans="1:17" s="470" customFormat="1" ht="15.75" hidden="1" thickTop="1">
      <c r="A72" s="552"/>
      <c r="B72" s="537">
        <f>B13</f>
        <v>0</v>
      </c>
      <c r="C72" s="553"/>
      <c r="D72" s="553"/>
      <c r="E72" s="553"/>
      <c r="F72" s="553"/>
      <c r="G72" s="553"/>
      <c r="H72" s="554"/>
      <c r="I72" s="554"/>
      <c r="J72" s="554"/>
      <c r="K72" s="554"/>
      <c r="L72" s="555"/>
      <c r="M72" s="556"/>
      <c r="N72" s="1153"/>
      <c r="O72" s="1153"/>
      <c r="P72" s="2628"/>
      <c r="Q72" s="560"/>
    </row>
    <row r="73" spans="1:17" s="470" customFormat="1" ht="15.75" hidden="1" thickBot="1">
      <c r="A73" s="552"/>
      <c r="B73" s="542"/>
      <c r="C73" s="559"/>
      <c r="D73" s="559"/>
      <c r="E73" s="559"/>
      <c r="F73" s="559"/>
      <c r="G73" s="559"/>
      <c r="H73" s="561"/>
      <c r="I73" s="561"/>
      <c r="J73" s="561"/>
      <c r="K73" s="561"/>
      <c r="L73" s="561"/>
      <c r="M73" s="562"/>
      <c r="N73" s="1153"/>
      <c r="O73" s="1153"/>
      <c r="P73" s="2627"/>
      <c r="Q73" s="558"/>
    </row>
    <row r="74" spans="1:17" s="470" customFormat="1" ht="15.75" hidden="1" thickTop="1">
      <c r="A74" s="552"/>
      <c r="B74" s="545">
        <f>B14</f>
        <v>0</v>
      </c>
      <c r="C74" s="553"/>
      <c r="D74" s="553"/>
      <c r="E74" s="553"/>
      <c r="F74" s="553"/>
      <c r="G74" s="522"/>
      <c r="H74" s="563"/>
      <c r="I74" s="563"/>
      <c r="J74" s="563"/>
      <c r="K74" s="563"/>
      <c r="L74" s="564"/>
      <c r="M74" s="565"/>
      <c r="N74" s="1153"/>
      <c r="O74" s="1153"/>
      <c r="P74" s="2629"/>
      <c r="Q74" s="558"/>
    </row>
    <row r="75" spans="1:17" s="470" customFormat="1" ht="15.75" hidden="1" thickBot="1">
      <c r="A75" s="567"/>
      <c r="B75" s="568"/>
      <c r="C75" s="569"/>
      <c r="D75" s="569"/>
      <c r="E75" s="569"/>
      <c r="F75" s="569"/>
      <c r="G75" s="569"/>
      <c r="H75" s="570"/>
      <c r="I75" s="570"/>
      <c r="J75" s="570"/>
      <c r="K75" s="570"/>
      <c r="L75" s="570"/>
      <c r="M75" s="571"/>
      <c r="N75" s="1153"/>
      <c r="O75" s="1153"/>
      <c r="P75" s="2627"/>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1"/>
      <c r="O76" s="1151"/>
      <c r="P76" s="2630"/>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6"/>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1"/>
      <c r="O78" s="1151"/>
      <c r="P78" s="2626"/>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6"/>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1"/>
      <c r="O80" s="1151"/>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6"/>
      <c r="Q81" s="503"/>
    </row>
    <row r="82" spans="1:17" ht="15.75" thickTop="1">
      <c r="A82" s="533"/>
      <c r="B82" s="545" t="s">
        <v>2094</v>
      </c>
      <c r="C82" s="538" t="s">
        <v>2596</v>
      </c>
      <c r="D82" s="538" t="s">
        <v>2597</v>
      </c>
      <c r="E82" s="538" t="s">
        <v>2598</v>
      </c>
      <c r="F82" s="538" t="s">
        <v>2599</v>
      </c>
      <c r="G82" s="538" t="s">
        <v>2600</v>
      </c>
      <c r="H82" s="538"/>
      <c r="I82" s="538"/>
      <c r="J82" s="538"/>
      <c r="K82" s="538"/>
      <c r="L82" s="538"/>
      <c r="M82" s="1381"/>
      <c r="N82" s="1152"/>
      <c r="O82" s="1152"/>
      <c r="P82" s="2626"/>
      <c r="Q82" s="503"/>
    </row>
    <row r="83" spans="1:17" ht="15.75" thickBot="1">
      <c r="A83" s="533"/>
      <c r="B83" s="545"/>
      <c r="C83" s="659">
        <v>100</v>
      </c>
      <c r="D83" s="659">
        <f>C83-$K21</f>
        <v>97</v>
      </c>
      <c r="E83" s="659">
        <f>D83-$K21</f>
        <v>94</v>
      </c>
      <c r="F83" s="659">
        <f>E83-$K21</f>
        <v>91</v>
      </c>
      <c r="G83" s="659">
        <f>F83-$K21</f>
        <v>88</v>
      </c>
      <c r="H83" s="659"/>
      <c r="I83" s="659"/>
      <c r="J83" s="659"/>
      <c r="K83" s="659"/>
      <c r="L83" s="659"/>
      <c r="M83" s="449"/>
      <c r="N83" s="1152"/>
      <c r="O83" s="1152"/>
      <c r="P83" s="2626"/>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1"/>
      <c r="O84" s="1151"/>
      <c r="P84" s="2626"/>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6"/>
      <c r="Q85" s="503"/>
    </row>
    <row r="86" spans="1:17" s="117" customFormat="1" ht="15.75" thickTop="1">
      <c r="A86" s="578"/>
      <c r="B86" s="537" t="s">
        <v>2602</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
        <v>2603</v>
      </c>
      <c r="C88" s="553"/>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2"/>
      <c r="O89" s="1152"/>
      <c r="P89" s="2626"/>
      <c r="Q89" s="503"/>
    </row>
    <row r="90" spans="1:17" s="470" customFormat="1" ht="15.75" hidden="1" thickTop="1">
      <c r="A90" s="552"/>
      <c r="B90" s="537">
        <f>B27</f>
        <v>0</v>
      </c>
      <c r="C90" s="553"/>
      <c r="D90" s="553"/>
      <c r="E90" s="553"/>
      <c r="F90" s="553"/>
      <c r="G90" s="553"/>
      <c r="H90" s="554"/>
      <c r="I90" s="554"/>
      <c r="J90" s="554"/>
      <c r="K90" s="554"/>
      <c r="L90" s="555"/>
      <c r="M90" s="556"/>
      <c r="N90" s="1153"/>
      <c r="O90" s="1153"/>
      <c r="P90" s="2627"/>
      <c r="Q90" s="558"/>
    </row>
    <row r="91" spans="1:17" s="470" customFormat="1" ht="15.75" hidden="1" thickBot="1">
      <c r="A91" s="552"/>
      <c r="B91" s="542"/>
      <c r="C91" s="559"/>
      <c r="D91" s="559"/>
      <c r="E91" s="559"/>
      <c r="F91" s="559"/>
      <c r="G91" s="559"/>
      <c r="H91" s="561"/>
      <c r="I91" s="561"/>
      <c r="J91" s="561"/>
      <c r="K91" s="561"/>
      <c r="L91" s="561"/>
      <c r="M91" s="562"/>
      <c r="N91" s="1153"/>
      <c r="O91" s="1153"/>
      <c r="P91" s="2627"/>
      <c r="Q91" s="558"/>
    </row>
    <row r="92" spans="1:17" ht="15.75" hidden="1" thickTop="1">
      <c r="A92" s="533"/>
      <c r="B92" s="537">
        <f>B28</f>
        <v>0</v>
      </c>
      <c r="C92" s="553"/>
      <c r="D92" s="553"/>
      <c r="E92" s="553"/>
      <c r="F92" s="553"/>
      <c r="G92" s="582"/>
      <c r="H92" s="582"/>
      <c r="I92" s="582"/>
      <c r="J92" s="582"/>
      <c r="K92" s="583"/>
      <c r="L92" s="584"/>
      <c r="M92" s="585"/>
      <c r="N92" s="1151"/>
      <c r="O92" s="1151"/>
      <c r="P92" s="2626"/>
      <c r="Q92" s="503"/>
    </row>
    <row r="93" spans="1:17" ht="15.75" hidden="1" thickBot="1">
      <c r="A93" s="533"/>
      <c r="B93" s="542"/>
      <c r="C93" s="559"/>
      <c r="D93" s="535"/>
      <c r="E93" s="535"/>
      <c r="F93" s="535"/>
      <c r="G93" s="535"/>
      <c r="H93" s="535"/>
      <c r="I93" s="535"/>
      <c r="J93" s="535"/>
      <c r="K93" s="535"/>
      <c r="L93" s="535"/>
      <c r="M93" s="536"/>
      <c r="N93" s="1152"/>
      <c r="O93" s="1152"/>
      <c r="P93" s="2626"/>
      <c r="Q93" s="503"/>
    </row>
    <row r="94" spans="1:17" ht="15.75" hidden="1" thickTop="1">
      <c r="A94" s="533"/>
      <c r="B94" s="537">
        <f>B29</f>
        <v>0</v>
      </c>
      <c r="C94" s="553"/>
      <c r="D94" s="553"/>
      <c r="E94" s="553"/>
      <c r="F94" s="553"/>
      <c r="G94" s="582"/>
      <c r="H94" s="582"/>
      <c r="I94" s="582"/>
      <c r="J94" s="582"/>
      <c r="K94" s="583"/>
      <c r="L94" s="584"/>
      <c r="M94" s="585"/>
      <c r="N94" s="1151"/>
      <c r="O94" s="1151"/>
      <c r="P94" s="2626"/>
      <c r="Q94" s="503"/>
    </row>
    <row r="95" spans="1:17" ht="15.75" hidden="1" thickBot="1">
      <c r="A95" s="533"/>
      <c r="B95" s="542"/>
      <c r="C95" s="559"/>
      <c r="D95" s="559"/>
      <c r="E95" s="559"/>
      <c r="F95" s="559"/>
      <c r="G95" s="535"/>
      <c r="H95" s="535"/>
      <c r="I95" s="535"/>
      <c r="J95" s="535"/>
      <c r="K95" s="535"/>
      <c r="L95" s="535"/>
      <c r="M95" s="536"/>
      <c r="N95" s="1152"/>
      <c r="O95" s="1152"/>
      <c r="P95" s="2626"/>
      <c r="Q95" s="503"/>
    </row>
    <row r="96" spans="1:17" ht="15.75" hidden="1" thickTop="1">
      <c r="A96" s="533"/>
      <c r="B96" s="537">
        <f>B30</f>
        <v>0</v>
      </c>
      <c r="C96" s="553"/>
      <c r="D96" s="553"/>
      <c r="E96" s="553"/>
      <c r="F96" s="553"/>
      <c r="G96" s="582"/>
      <c r="H96" s="582"/>
      <c r="I96" s="582"/>
      <c r="J96" s="582"/>
      <c r="K96" s="583"/>
      <c r="L96" s="584"/>
      <c r="M96" s="585"/>
      <c r="N96" s="1151"/>
      <c r="O96" s="1151"/>
      <c r="P96" s="2626"/>
      <c r="Q96" s="503"/>
    </row>
    <row r="97" spans="1:17" ht="15.75" hidden="1" thickBot="1">
      <c r="A97" s="533"/>
      <c r="B97" s="542"/>
      <c r="C97" s="569"/>
      <c r="D97" s="569"/>
      <c r="E97" s="569"/>
      <c r="F97" s="569"/>
      <c r="G97" s="535"/>
      <c r="H97" s="535"/>
      <c r="I97" s="535"/>
      <c r="J97" s="535"/>
      <c r="K97" s="535"/>
      <c r="L97" s="535"/>
      <c r="M97" s="536"/>
      <c r="N97" s="1152"/>
      <c r="O97" s="1152"/>
      <c r="P97" s="2626"/>
      <c r="Q97" s="503"/>
    </row>
    <row r="98" spans="1:17" ht="15.75" hidden="1" thickTop="1">
      <c r="A98" s="533"/>
      <c r="B98" s="545">
        <f>B31</f>
        <v>0</v>
      </c>
      <c r="C98" s="586"/>
      <c r="D98" s="586"/>
      <c r="E98" s="586"/>
      <c r="F98" s="586"/>
      <c r="G98" s="586"/>
      <c r="H98" s="586"/>
      <c r="I98" s="586"/>
      <c r="J98" s="586"/>
      <c r="K98" s="587"/>
      <c r="L98" s="588"/>
      <c r="M98" s="589"/>
      <c r="N98" s="1151"/>
      <c r="O98" s="1151"/>
      <c r="P98" s="2626"/>
      <c r="Q98" s="503"/>
    </row>
    <row r="99" spans="1:17" ht="15.75" hidden="1" thickBot="1">
      <c r="A99" s="2632"/>
      <c r="B99" s="568"/>
      <c r="C99" s="590"/>
      <c r="D99" s="590"/>
      <c r="E99" s="590"/>
      <c r="F99" s="590"/>
      <c r="G99" s="590"/>
      <c r="H99" s="590"/>
      <c r="I99" s="590"/>
      <c r="J99" s="590"/>
      <c r="K99" s="590"/>
      <c r="L99" s="590"/>
      <c r="M99" s="591"/>
      <c r="N99" s="1152"/>
      <c r="O99" s="1152"/>
      <c r="P99" s="2626"/>
      <c r="Q99" s="503"/>
    </row>
    <row r="100" spans="1:17" ht="15" thickTop="1">
      <c r="A100" s="526" t="s">
        <v>2555</v>
      </c>
      <c r="B100" s="527" t="s">
        <v>2604</v>
      </c>
      <c r="C100" s="2964" t="s">
        <v>3121</v>
      </c>
      <c r="D100" s="2964" t="s">
        <v>3122</v>
      </c>
      <c r="E100" s="2964" t="s">
        <v>3123</v>
      </c>
      <c r="F100" s="2964" t="s">
        <v>3124</v>
      </c>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2"/>
      <c r="O101" s="1152"/>
      <c r="P101" s="2626"/>
      <c r="Q101" s="503"/>
    </row>
    <row r="102" spans="1:17" ht="29.25" thickTop="1">
      <c r="A102" s="533"/>
      <c r="B102" s="537" t="s">
        <v>2605</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500000(含)-600000</v>
      </c>
      <c r="I102" s="577" t="str">
        <f t="shared" si="23"/>
        <v>600000(含)-</v>
      </c>
      <c r="J102" s="577" t="str">
        <f t="shared" si="23"/>
        <v>(含)-</v>
      </c>
      <c r="K102" s="577" t="str">
        <f>K103&amp;"(含)"&amp;"-"&amp;L103</f>
        <v>(含)-</v>
      </c>
      <c r="L102" s="577" t="str">
        <f t="shared" si="23"/>
        <v>(含)-</v>
      </c>
      <c r="M102" s="577" t="str">
        <f>M103&amp;"(含)"&amp;"-"&amp;P103</f>
        <v>(含)-</v>
      </c>
      <c r="N102" s="1150"/>
      <c r="O102" s="1150"/>
      <c r="P102" s="2626"/>
      <c r="Q102" s="503"/>
    </row>
    <row r="103" spans="1:17" s="470" customFormat="1">
      <c r="A103" s="592"/>
      <c r="B103" s="593"/>
      <c r="C103" s="594">
        <v>0</v>
      </c>
      <c r="D103" s="594">
        <v>100000</v>
      </c>
      <c r="E103" s="594">
        <v>200000</v>
      </c>
      <c r="F103" s="594">
        <v>300000</v>
      </c>
      <c r="G103" s="594">
        <v>400000</v>
      </c>
      <c r="H103" s="594">
        <v>500000</v>
      </c>
      <c r="I103" s="594">
        <v>600000</v>
      </c>
      <c r="J103" s="595"/>
      <c r="K103" s="595"/>
      <c r="L103" s="596"/>
      <c r="M103" s="597"/>
      <c r="N103" s="1153"/>
      <c r="O103" s="1153"/>
      <c r="P103" s="2627"/>
      <c r="Q103" s="558"/>
    </row>
    <row r="104" spans="1:17" s="470" customFormat="1" ht="15.75" thickBot="1">
      <c r="A104" s="552"/>
      <c r="B104" s="542"/>
      <c r="C104" s="559">
        <v>100</v>
      </c>
      <c r="D104" s="535">
        <v>101</v>
      </c>
      <c r="E104" s="535">
        <v>102</v>
      </c>
      <c r="F104" s="535">
        <v>103</v>
      </c>
      <c r="G104" s="535">
        <v>104</v>
      </c>
      <c r="H104" s="535">
        <v>105</v>
      </c>
      <c r="I104" s="535">
        <v>106</v>
      </c>
      <c r="J104" s="535"/>
      <c r="K104" s="535"/>
      <c r="L104" s="535"/>
      <c r="M104" s="535"/>
      <c r="N104" s="1152"/>
      <c r="O104" s="1152"/>
      <c r="P104" s="2627"/>
      <c r="Q104" s="558"/>
    </row>
    <row r="105" spans="1:17" ht="15" thickTop="1">
      <c r="A105" s="598"/>
      <c r="B105" s="537" t="s">
        <v>2606</v>
      </c>
      <c r="C105" s="2965" t="s">
        <v>3125</v>
      </c>
      <c r="D105" s="2965" t="s">
        <v>3126</v>
      </c>
      <c r="E105" s="2966" t="s">
        <v>3127</v>
      </c>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2"/>
      <c r="O106" s="1152"/>
      <c r="P106" s="2626"/>
      <c r="Q106" s="503"/>
    </row>
    <row r="107" spans="1:17" ht="15" thickTop="1">
      <c r="A107" s="598"/>
      <c r="B107" s="537" t="s">
        <v>2607</v>
      </c>
      <c r="C107" s="2966" t="s">
        <v>3128</v>
      </c>
      <c r="D107" s="2966" t="s">
        <v>3129</v>
      </c>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95</v>
      </c>
      <c r="E108" s="543">
        <f t="shared" si="25"/>
        <v>90</v>
      </c>
      <c r="F108" s="543">
        <f t="shared" si="25"/>
        <v>85</v>
      </c>
      <c r="G108" s="543">
        <f t="shared" si="25"/>
        <v>80</v>
      </c>
      <c r="H108" s="543">
        <f t="shared" si="25"/>
        <v>75</v>
      </c>
      <c r="I108" s="543">
        <f t="shared" si="25"/>
        <v>70</v>
      </c>
      <c r="J108" s="543">
        <f t="shared" si="25"/>
        <v>65</v>
      </c>
      <c r="K108" s="543">
        <f t="shared" si="25"/>
        <v>60</v>
      </c>
      <c r="L108" s="543">
        <f t="shared" si="25"/>
        <v>55</v>
      </c>
      <c r="M108" s="543">
        <f t="shared" si="25"/>
        <v>50</v>
      </c>
      <c r="N108" s="1152"/>
      <c r="O108" s="1152"/>
      <c r="P108" s="2626"/>
      <c r="Q108" s="503"/>
    </row>
    <row r="109" spans="1:17" ht="15" thickTop="1">
      <c r="A109" s="598"/>
      <c r="B109" s="537" t="s">
        <v>2608</v>
      </c>
      <c r="C109" s="2965" t="s">
        <v>3130</v>
      </c>
      <c r="D109" s="2965" t="s">
        <v>3131</v>
      </c>
      <c r="E109" s="2965" t="s">
        <v>3132</v>
      </c>
      <c r="F109" s="2966" t="s">
        <v>3133</v>
      </c>
      <c r="G109" s="582"/>
      <c r="H109" s="582"/>
      <c r="I109" s="582"/>
      <c r="J109" s="582"/>
      <c r="K109" s="583"/>
      <c r="L109" s="584"/>
      <c r="M109" s="585"/>
      <c r="N109" s="1151"/>
      <c r="O109" s="1151"/>
      <c r="P109" s="2626"/>
      <c r="Q109" s="503"/>
    </row>
    <row r="110" spans="1:17" ht="15.75" thickBot="1">
      <c r="A110" s="533"/>
      <c r="B110" s="542"/>
      <c r="C110" s="543">
        <v>100</v>
      </c>
      <c r="D110" s="543">
        <f t="shared" ref="D110:M110" si="26">C110-$K36</f>
        <v>99</v>
      </c>
      <c r="E110" s="543">
        <f t="shared" si="26"/>
        <v>98</v>
      </c>
      <c r="F110" s="543">
        <f t="shared" si="26"/>
        <v>97</v>
      </c>
      <c r="G110" s="543">
        <f t="shared" si="26"/>
        <v>96</v>
      </c>
      <c r="H110" s="543">
        <f t="shared" si="26"/>
        <v>95</v>
      </c>
      <c r="I110" s="543">
        <f t="shared" si="26"/>
        <v>94</v>
      </c>
      <c r="J110" s="543">
        <f t="shared" si="26"/>
        <v>93</v>
      </c>
      <c r="K110" s="543">
        <f t="shared" si="26"/>
        <v>92</v>
      </c>
      <c r="L110" s="543">
        <f t="shared" si="26"/>
        <v>91</v>
      </c>
      <c r="M110" s="543">
        <f t="shared" si="26"/>
        <v>90</v>
      </c>
      <c r="N110" s="1152"/>
      <c r="O110" s="1152"/>
      <c r="P110" s="262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105</v>
      </c>
      <c r="E113" s="543">
        <f>D113+$K37</f>
        <v>110</v>
      </c>
      <c r="F113" s="543">
        <f>E113+$K37</f>
        <v>115</v>
      </c>
      <c r="G113" s="543">
        <f>F113+$K37</f>
        <v>120</v>
      </c>
      <c r="H113" s="543">
        <f>G113+$K37</f>
        <v>125</v>
      </c>
      <c r="I113" s="581"/>
      <c r="J113" s="606"/>
      <c r="K113" s="606"/>
      <c r="L113" s="606"/>
      <c r="M113" s="607"/>
      <c r="N113" s="1153"/>
      <c r="O113" s="1153"/>
      <c r="P113" s="2627"/>
      <c r="Q113" s="558"/>
    </row>
    <row r="114" spans="1:17" ht="15" thickTop="1">
      <c r="A114" s="598"/>
      <c r="B114" s="537" t="s">
        <v>2609</v>
      </c>
      <c r="C114" s="2965" t="s">
        <v>3134</v>
      </c>
      <c r="D114" s="2965" t="s">
        <v>3135</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7">C115-$K38</f>
        <v>97</v>
      </c>
      <c r="E115" s="543">
        <f t="shared" si="27"/>
        <v>94</v>
      </c>
      <c r="F115" s="543">
        <f t="shared" si="27"/>
        <v>91</v>
      </c>
      <c r="G115" s="543">
        <f t="shared" si="27"/>
        <v>88</v>
      </c>
      <c r="H115" s="543">
        <f t="shared" si="27"/>
        <v>85</v>
      </c>
      <c r="I115" s="543">
        <f t="shared" si="27"/>
        <v>82</v>
      </c>
      <c r="J115" s="543">
        <f t="shared" si="27"/>
        <v>79</v>
      </c>
      <c r="K115" s="543">
        <f t="shared" si="27"/>
        <v>76</v>
      </c>
      <c r="L115" s="543">
        <f t="shared" si="27"/>
        <v>73</v>
      </c>
      <c r="M115" s="543">
        <f t="shared" si="27"/>
        <v>70</v>
      </c>
      <c r="N115" s="1152"/>
      <c r="O115" s="1152"/>
      <c r="P115" s="2626"/>
      <c r="Q115" s="503"/>
    </row>
    <row r="116" spans="1:17" ht="15" thickTop="1">
      <c r="A116" s="598"/>
      <c r="B116" s="537" t="s">
        <v>2610</v>
      </c>
      <c r="C116" s="2965" t="s">
        <v>3136</v>
      </c>
      <c r="D116" s="2965" t="s">
        <v>3137</v>
      </c>
      <c r="E116" s="2965" t="s">
        <v>3138</v>
      </c>
      <c r="F116" s="2965" t="s">
        <v>3139</v>
      </c>
      <c r="G116" s="2965" t="s">
        <v>3140</v>
      </c>
      <c r="H116" s="582"/>
      <c r="I116" s="582"/>
      <c r="J116" s="582"/>
      <c r="K116" s="583"/>
      <c r="L116" s="584"/>
      <c r="M116" s="585"/>
      <c r="N116" s="1151"/>
      <c r="O116" s="1151"/>
      <c r="P116" s="2626"/>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6"/>
      <c r="Q117" s="503"/>
    </row>
    <row r="118" spans="1:17" ht="15" thickTop="1">
      <c r="A118" s="598"/>
      <c r="B118" s="537" t="s">
        <v>2611</v>
      </c>
      <c r="C118" s="2966" t="s">
        <v>3141</v>
      </c>
      <c r="D118" s="2966" t="s">
        <v>3142</v>
      </c>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28">C119-$K40</f>
        <v>90</v>
      </c>
      <c r="E119" s="543">
        <f t="shared" si="28"/>
        <v>80</v>
      </c>
      <c r="F119" s="543">
        <f t="shared" si="28"/>
        <v>70</v>
      </c>
      <c r="G119" s="543">
        <f t="shared" si="28"/>
        <v>60</v>
      </c>
      <c r="H119" s="543">
        <f t="shared" si="28"/>
        <v>50</v>
      </c>
      <c r="I119" s="543">
        <f t="shared" si="28"/>
        <v>40</v>
      </c>
      <c r="J119" s="543">
        <f t="shared" si="28"/>
        <v>30</v>
      </c>
      <c r="K119" s="543">
        <f t="shared" si="28"/>
        <v>20</v>
      </c>
      <c r="L119" s="543">
        <f t="shared" si="28"/>
        <v>10</v>
      </c>
      <c r="M119" s="543">
        <f t="shared" si="28"/>
        <v>0</v>
      </c>
      <c r="N119" s="1152"/>
      <c r="O119" s="1152"/>
      <c r="P119" s="2626"/>
      <c r="Q119" s="503"/>
    </row>
    <row r="120" spans="1:17" s="470" customFormat="1" ht="28.5" thickTop="1">
      <c r="A120" s="592"/>
      <c r="B120" s="537" t="s">
        <v>2566</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2612</v>
      </c>
      <c r="C122" s="2965" t="s">
        <v>3130</v>
      </c>
      <c r="D122" s="2965" t="s">
        <v>3131</v>
      </c>
      <c r="E122" s="2965" t="s">
        <v>3132</v>
      </c>
      <c r="F122" s="2966" t="s">
        <v>3133</v>
      </c>
      <c r="G122" s="582"/>
      <c r="H122" s="582"/>
      <c r="I122" s="582"/>
      <c r="J122" s="582"/>
      <c r="K122" s="583"/>
      <c r="L122" s="584"/>
      <c r="M122" s="585"/>
      <c r="N122" s="1151"/>
      <c r="O122" s="1151"/>
      <c r="P122" s="2626"/>
      <c r="Q122" s="503"/>
    </row>
    <row r="123" spans="1:17" ht="15.75" thickBot="1">
      <c r="A123" s="533"/>
      <c r="B123" s="542"/>
      <c r="C123" s="543">
        <v>100</v>
      </c>
      <c r="D123" s="543">
        <f t="shared" ref="D123:M123" si="29">C123-$K42</f>
        <v>98</v>
      </c>
      <c r="E123" s="543">
        <f t="shared" si="29"/>
        <v>96</v>
      </c>
      <c r="F123" s="543">
        <f t="shared" si="29"/>
        <v>94</v>
      </c>
      <c r="G123" s="543">
        <f t="shared" si="29"/>
        <v>92</v>
      </c>
      <c r="H123" s="543">
        <f t="shared" si="29"/>
        <v>90</v>
      </c>
      <c r="I123" s="543">
        <f t="shared" si="29"/>
        <v>88</v>
      </c>
      <c r="J123" s="543">
        <f t="shared" si="29"/>
        <v>86</v>
      </c>
      <c r="K123" s="543">
        <f t="shared" si="29"/>
        <v>84</v>
      </c>
      <c r="L123" s="543">
        <f t="shared" si="29"/>
        <v>82</v>
      </c>
      <c r="M123" s="543">
        <f t="shared" si="29"/>
        <v>80</v>
      </c>
      <c r="N123" s="1152"/>
      <c r="O123" s="1152"/>
      <c r="P123" s="2626"/>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1"/>
      <c r="O124" s="1151"/>
      <c r="P124" s="2627"/>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6"/>
      <c r="Q125" s="503"/>
    </row>
    <row r="126" spans="1:17" s="470" customFormat="1" ht="15" thickTop="1">
      <c r="A126" s="592"/>
      <c r="B126" s="537">
        <f>B44</f>
        <v>0</v>
      </c>
      <c r="C126" s="2968" t="s">
        <v>3149</v>
      </c>
      <c r="D126" s="2968" t="s">
        <v>3150</v>
      </c>
      <c r="E126" s="553"/>
      <c r="F126" s="553"/>
      <c r="G126" s="553"/>
      <c r="H126" s="554"/>
      <c r="I126" s="554"/>
      <c r="J126" s="554"/>
      <c r="K126" s="554"/>
      <c r="L126" s="555"/>
      <c r="M126" s="556"/>
      <c r="N126" s="1153"/>
      <c r="O126" s="1153"/>
      <c r="P126" s="2627"/>
      <c r="Q126" s="558"/>
    </row>
    <row r="127" spans="1:17" s="470" customFormat="1" ht="15.75" thickBot="1">
      <c r="A127" s="552"/>
      <c r="B127" s="542"/>
      <c r="C127" s="559">
        <v>100</v>
      </c>
      <c r="D127" s="535">
        <v>90</v>
      </c>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5" t="s">
        <v>2617</v>
      </c>
      <c r="D138" s="145" t="s">
        <v>2618</v>
      </c>
      <c r="E138" s="2641" t="s">
        <v>2619</v>
      </c>
      <c r="F138" s="2642" t="s">
        <v>2620</v>
      </c>
      <c r="G138" s="145" t="s">
        <v>2618</v>
      </c>
      <c r="H138" s="146" t="s">
        <v>2619</v>
      </c>
      <c r="I138" s="2643"/>
      <c r="J138" s="145" t="s">
        <v>2621</v>
      </c>
      <c r="K138" s="146" t="s">
        <v>2622</v>
      </c>
    </row>
    <row r="139" spans="1:17" ht="15">
      <c r="B139" s="1083">
        <v>6</v>
      </c>
      <c r="C139" s="1084">
        <v>96</v>
      </c>
      <c r="D139" s="2644" t="s">
        <v>2623</v>
      </c>
      <c r="E139" s="1085">
        <v>100</v>
      </c>
      <c r="F139" s="1086">
        <v>102.5</v>
      </c>
      <c r="G139" s="2644" t="s">
        <v>2623</v>
      </c>
      <c r="H139" s="1087">
        <v>105</v>
      </c>
      <c r="I139" s="2645" t="s">
        <v>2624</v>
      </c>
      <c r="J139" s="1084">
        <v>20</v>
      </c>
      <c r="K139" s="1088">
        <f>C145/(J139-2)</f>
        <v>4.0555555555555553E-3</v>
      </c>
    </row>
    <row r="140" spans="1:17" ht="15">
      <c r="B140" s="1089">
        <v>5</v>
      </c>
      <c r="C140" s="1090">
        <v>100</v>
      </c>
      <c r="D140" s="1090"/>
      <c r="E140" s="1091"/>
      <c r="F140" s="1092">
        <v>102</v>
      </c>
      <c r="G140" s="1090"/>
      <c r="H140" s="1093"/>
      <c r="I140" s="2646" t="s">
        <v>2625</v>
      </c>
      <c r="J140" s="314">
        <f>ROUNDUP((J139-1)/2,0)</f>
        <v>10</v>
      </c>
      <c r="K140" s="1094">
        <v>100</v>
      </c>
    </row>
    <row r="141" spans="1:17" ht="15">
      <c r="B141" s="1089">
        <v>4</v>
      </c>
      <c r="C141" s="1090">
        <v>102</v>
      </c>
      <c r="D141" s="1090"/>
      <c r="E141" s="1091"/>
      <c r="F141" s="1092">
        <v>101.5</v>
      </c>
      <c r="G141" s="1090"/>
      <c r="H141" s="1093"/>
      <c r="I141" s="2646" t="s">
        <v>2626</v>
      </c>
      <c r="J141" s="314">
        <v>1</v>
      </c>
      <c r="K141" s="1095">
        <f>ROUND(100+(J141-J140)*K139*100,1)</f>
        <v>96.4</v>
      </c>
    </row>
    <row r="142" spans="1:17" ht="15">
      <c r="B142" s="1089">
        <v>3</v>
      </c>
      <c r="C142" s="1090">
        <v>103</v>
      </c>
      <c r="D142" s="1090"/>
      <c r="E142" s="1091"/>
      <c r="F142" s="1092">
        <v>101</v>
      </c>
      <c r="G142" s="1090"/>
      <c r="H142" s="1093"/>
      <c r="I142" s="2646" t="s">
        <v>2627</v>
      </c>
      <c r="J142" s="314">
        <f>J139</f>
        <v>20</v>
      </c>
      <c r="K142" s="1096">
        <v>95</v>
      </c>
    </row>
    <row r="143" spans="1:17" ht="15">
      <c r="B143" s="1089">
        <v>2</v>
      </c>
      <c r="C143" s="1090">
        <v>100</v>
      </c>
      <c r="D143" s="1090"/>
      <c r="E143" s="1091"/>
      <c r="F143" s="1092">
        <v>100.5</v>
      </c>
      <c r="G143" s="1090"/>
      <c r="H143" s="1093"/>
      <c r="I143" s="2646" t="s">
        <v>2628</v>
      </c>
      <c r="J143" s="1090">
        <v>15</v>
      </c>
      <c r="K143" s="1095">
        <f>ROUND(100+(J143-J140)*K139*100,1)</f>
        <v>102</v>
      </c>
    </row>
    <row r="144" spans="1:17" ht="15">
      <c r="B144" s="1089">
        <v>1</v>
      </c>
      <c r="C144" s="1090">
        <v>98</v>
      </c>
      <c r="D144" s="2647" t="s">
        <v>2629</v>
      </c>
      <c r="E144" s="1091">
        <v>102</v>
      </c>
      <c r="F144" s="1097">
        <v>100</v>
      </c>
      <c r="G144" s="2647" t="s">
        <v>2629</v>
      </c>
      <c r="H144" s="1093">
        <v>105</v>
      </c>
      <c r="I144" s="2646" t="s">
        <v>2628</v>
      </c>
      <c r="J144" s="1090">
        <v>18</v>
      </c>
      <c r="K144" s="1095">
        <f>ROUND(100+(J144-J140)*K139*100,1)</f>
        <v>103.2</v>
      </c>
    </row>
    <row r="145" spans="2:11" ht="15.75" thickBot="1">
      <c r="B145" s="2648" t="s">
        <v>2630</v>
      </c>
      <c r="C145" s="1098">
        <f>ROUND(MAX(C139:C144)/MIN(C139:C144)-1,3)</f>
        <v>7.2999999999999995E-2</v>
      </c>
      <c r="D145" s="1099"/>
      <c r="E145" s="1099"/>
      <c r="F145" s="2649" t="s">
        <v>2631</v>
      </c>
      <c r="G145" s="2650"/>
      <c r="H145" s="2651"/>
      <c r="I145" s="2652" t="s">
        <v>2628</v>
      </c>
      <c r="J145" s="1100">
        <v>8</v>
      </c>
      <c r="K145" s="1101">
        <f>ROUND(100+(J145-J140)*K139*100,1)</f>
        <v>99.2</v>
      </c>
    </row>
    <row r="147" spans="2:11">
      <c r="B147" s="2633" t="s">
        <v>2632</v>
      </c>
    </row>
    <row r="148" spans="2:11">
      <c r="B148" s="263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F9" activeCellId="1" sqref="F42 F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0"/>
      <c r="C1" s="1836" t="s">
        <v>3106</v>
      </c>
      <c r="D1" s="1819" t="s">
        <v>3114</v>
      </c>
      <c r="E1" s="1820" t="s">
        <v>1387</v>
      </c>
      <c r="F1" s="1282">
        <f ca="1">J53</f>
        <v>36.79</v>
      </c>
      <c r="G1" s="1835">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1515</v>
      </c>
      <c r="B2" s="1843">
        <f ca="1">C40+J29+L46</f>
        <v>30202</v>
      </c>
      <c r="C2" s="1844" t="s">
        <v>1516</v>
      </c>
      <c r="D2" s="1844"/>
      <c r="E2" s="1845"/>
      <c r="F2" s="1846"/>
      <c r="G2" s="1847"/>
      <c r="H2" s="1839"/>
      <c r="I2" s="1839"/>
      <c r="J2" s="1839"/>
      <c r="K2" s="1840"/>
      <c r="L2" s="1839"/>
      <c r="M2" s="1839"/>
    </row>
    <row r="3" spans="1:37" ht="18" customHeight="1" thickBot="1">
      <c r="A3" s="1848" t="s">
        <v>1517</v>
      </c>
      <c r="B3" s="1849">
        <f ca="1">IF(ISERROR(B2*10000/F43),0,ROUND(B2*10000/F43,0))</f>
        <v>28764</v>
      </c>
      <c r="C3" s="1844" t="s">
        <v>1518</v>
      </c>
      <c r="D3" s="1844"/>
      <c r="E3" s="1845"/>
      <c r="F3" s="1846"/>
      <c r="G3" s="1847"/>
      <c r="H3" s="742"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f ca="1">C6+C10+C12</f>
        <v>1554</v>
      </c>
      <c r="D5" s="1821" t="s">
        <v>1402</v>
      </c>
      <c r="E5" s="1292"/>
      <c r="F5" s="1293"/>
      <c r="G5" s="1850"/>
      <c r="H5" s="343">
        <v>1</v>
      </c>
      <c r="I5" s="344" t="s">
        <v>1401</v>
      </c>
      <c r="J5" s="1291">
        <f ca="1">J6+J10+J12</f>
        <v>0</v>
      </c>
      <c r="K5" s="1821" t="s">
        <v>1402</v>
      </c>
      <c r="L5" s="1292"/>
      <c r="M5" s="1293"/>
    </row>
    <row r="6" spans="1:37" ht="18" customHeight="1">
      <c r="A6" s="1290" t="s">
        <v>1035</v>
      </c>
      <c r="B6" s="3305" t="s">
        <v>1403</v>
      </c>
      <c r="C6" s="1295">
        <f ca="1">ROUND(F6*F8*F7*(1-F9)/10000,0)</f>
        <v>1552</v>
      </c>
      <c r="D6" s="163" t="s">
        <v>3025</v>
      </c>
      <c r="E6" s="346" t="s">
        <v>1405</v>
      </c>
      <c r="F6" s="347">
        <f ca="1">INDIRECT("'数据-取费表'!u"&amp;$G$1)</f>
        <v>4.5</v>
      </c>
      <c r="G6" s="1850"/>
      <c r="H6" s="1290" t="s">
        <v>1035</v>
      </c>
      <c r="I6" s="3305" t="s">
        <v>1403</v>
      </c>
      <c r="J6" s="345">
        <f ca="1">ROUND(M6*M8*M7*(1-M9)/10000,0)</f>
        <v>0</v>
      </c>
      <c r="K6" s="163" t="s">
        <v>3024</v>
      </c>
      <c r="L6" s="346" t="s">
        <v>1405</v>
      </c>
      <c r="M6" s="347">
        <f ca="1">INDIRECT("'数据-取费表'!z"&amp;$G$1)</f>
        <v>0</v>
      </c>
    </row>
    <row r="7" spans="1:37" ht="18" customHeight="1">
      <c r="A7" s="1294"/>
      <c r="B7" s="3306"/>
      <c r="C7" s="1296"/>
      <c r="D7" s="351"/>
      <c r="E7" s="1297" t="s">
        <v>1406</v>
      </c>
      <c r="F7" s="347">
        <f ca="1">IF(INDIRECT("'数据-取费表'!ah"&amp;$G$1)="",INDIRECT("'数据-取费表'!k"&amp;$G$1),INDIRECT("'数据-取费表'!ah"&amp;$G$1))</f>
        <v>10500.04</v>
      </c>
      <c r="G7" s="1850"/>
      <c r="H7" s="348"/>
      <c r="I7" s="3306"/>
      <c r="J7" s="350"/>
      <c r="K7" s="351"/>
      <c r="L7" s="346" t="s">
        <v>1406</v>
      </c>
      <c r="M7" s="347">
        <f ca="1">F7</f>
        <v>10500.04</v>
      </c>
    </row>
    <row r="8" spans="1:37" ht="18" customHeight="1">
      <c r="A8" s="348"/>
      <c r="B8" s="3306"/>
      <c r="C8" s="350"/>
      <c r="D8" s="351"/>
      <c r="E8" s="346" t="s">
        <v>1407</v>
      </c>
      <c r="F8" s="347">
        <f ca="1">INDIRECT("'数据-取费表'!ai"&amp;$G$1)</f>
        <v>365</v>
      </c>
      <c r="G8" s="1850"/>
      <c r="H8" s="348"/>
      <c r="I8" s="3306"/>
      <c r="J8" s="350"/>
      <c r="K8" s="351"/>
      <c r="L8" s="346" t="s">
        <v>1407</v>
      </c>
      <c r="M8" s="347">
        <f ca="1">INDIRECT("'数据-取费表'!ai"&amp;$G$1)</f>
        <v>365</v>
      </c>
    </row>
    <row r="9" spans="1:37" ht="18" customHeight="1">
      <c r="A9" s="348"/>
      <c r="B9" s="3307"/>
      <c r="C9" s="350"/>
      <c r="D9" s="351"/>
      <c r="E9" s="346" t="s">
        <v>1408</v>
      </c>
      <c r="F9" s="3404">
        <f ca="1">INDIRECT("'数据-取费表'!w"&amp;$G$1)</f>
        <v>0.1</v>
      </c>
      <c r="G9" s="1850"/>
      <c r="H9" s="348"/>
      <c r="I9" s="3307"/>
      <c r="J9" s="350"/>
      <c r="K9" s="351"/>
      <c r="L9" s="357" t="s">
        <v>1408</v>
      </c>
      <c r="M9" s="358">
        <f ca="1">INDIRECT("'数据-取费表'!ab"&amp;$G$1)</f>
        <v>0</v>
      </c>
    </row>
    <row r="10" spans="1:37" ht="18" customHeight="1">
      <c r="A10" s="1290" t="s">
        <v>1039</v>
      </c>
      <c r="B10" s="1822" t="s">
        <v>1409</v>
      </c>
      <c r="C10" s="360">
        <f ca="1">ROUND(IF(F10="押一",C6/12*F11,IF(F10="押二",C6/12*2*F11,IF(F10="押三",C6/12*3*F11,C11*F11))),0)</f>
        <v>2</v>
      </c>
      <c r="D10" s="1823" t="s">
        <v>3034</v>
      </c>
      <c r="E10" s="357" t="s">
        <v>1410</v>
      </c>
      <c r="F10" s="1365" t="s">
        <v>3112</v>
      </c>
      <c r="G10" s="1850"/>
      <c r="H10" s="1290" t="s">
        <v>1039</v>
      </c>
      <c r="I10" s="1822" t="s">
        <v>1409</v>
      </c>
      <c r="J10" s="345">
        <f ca="1">ROUND(IF(M10="押一",J6/12*M11,IF(M10="押二",J6/12*2*M11,IF(M10="押三",J6/12*3*M11,J11*M11))),0)</f>
        <v>0</v>
      </c>
      <c r="K10" s="1823" t="s">
        <v>3033</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6"/>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f ca="1">ROUND(C29*F13,0)</f>
        <v>4402</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6" t="s">
        <v>1417</v>
      </c>
      <c r="C14" s="362">
        <f ca="1">INDIRECT("'数据-取费表'!m"&amp;$G$1)+INDIRECT("'数据-取费表'!t"&amp;$G$1)</f>
        <v>2940</v>
      </c>
      <c r="D14" s="1799" t="s">
        <v>1418</v>
      </c>
      <c r="E14" s="1793"/>
      <c r="F14" s="363"/>
      <c r="G14" s="1850"/>
      <c r="H14" s="1200" t="s">
        <v>1035</v>
      </c>
      <c r="I14" s="346" t="s">
        <v>1419</v>
      </c>
      <c r="J14" s="24">
        <f ca="1">C29</f>
        <v>4402</v>
      </c>
      <c r="K14" s="15"/>
      <c r="L14" s="978"/>
      <c r="M14" s="979"/>
    </row>
    <row r="15" spans="1:37" s="1857" customFormat="1" ht="18" customHeight="1" thickBot="1">
      <c r="A15" s="1200" t="s">
        <v>1036</v>
      </c>
      <c r="B15" s="346" t="s">
        <v>1420</v>
      </c>
      <c r="C15" s="24">
        <f ca="1">ROUND(C14*F15,0)</f>
        <v>88</v>
      </c>
      <c r="D15" s="364" t="s">
        <v>1421</v>
      </c>
      <c r="E15" s="364" t="s">
        <v>1422</v>
      </c>
      <c r="F15" s="365">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50"/>
      <c r="H16" s="1328" t="s">
        <v>1030</v>
      </c>
      <c r="I16" s="1329" t="s">
        <v>1424</v>
      </c>
      <c r="J16" s="354">
        <f ca="1">ROUND(J17+J22+J23+J24,0)</f>
        <v>104</v>
      </c>
      <c r="K16" s="1336" t="s">
        <v>1425</v>
      </c>
      <c r="L16" s="1337"/>
      <c r="M16" s="1293"/>
    </row>
    <row r="17" spans="1:37" s="1857" customFormat="1" ht="18" customHeight="1">
      <c r="A17" s="1200" t="s">
        <v>1390</v>
      </c>
      <c r="B17" s="346" t="s">
        <v>1426</v>
      </c>
      <c r="C17" s="24">
        <f ca="1">ROUND(F17*(F43+INDIRECT("'数据-取费表'!S"&amp;$G$1))/10000,0)</f>
        <v>210</v>
      </c>
      <c r="D17" s="346" t="s">
        <v>1427</v>
      </c>
      <c r="E17" s="346" t="s">
        <v>1428</v>
      </c>
      <c r="F17" s="26">
        <f>'数据-取费表'!B35</f>
        <v>200</v>
      </c>
      <c r="G17" s="1853"/>
      <c r="H17" s="1200" t="s">
        <v>1035</v>
      </c>
      <c r="I17" s="346" t="s">
        <v>1429</v>
      </c>
      <c r="J17" s="24">
        <f ca="1">ROUND(IF(项目基本情况!B11="自然人",J5*M17,J18+J19+J20),1)</f>
        <v>38.4</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f ca="1">ROUND(C14*F18,0)</f>
        <v>44</v>
      </c>
      <c r="D18" s="346" t="s">
        <v>1421</v>
      </c>
      <c r="E18" s="346" t="s">
        <v>1422</v>
      </c>
      <c r="F18" s="366">
        <f>'数据-取费表'!B36</f>
        <v>1.4999999999999999E-2</v>
      </c>
      <c r="G18" s="1853"/>
      <c r="H18" s="1200" t="s">
        <v>1034</v>
      </c>
      <c r="I18" s="346" t="s">
        <v>1433</v>
      </c>
      <c r="J18" s="24">
        <f ca="1">ROUND(J5*M18/(1+'数据-取费表'!C42),2)</f>
        <v>0</v>
      </c>
      <c r="K18" s="1797"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f ca="1">SUM(C14:C18)</f>
        <v>3282</v>
      </c>
      <c r="D19" s="139" t="s">
        <v>1436</v>
      </c>
      <c r="E19" s="1817"/>
      <c r="F19" s="26"/>
      <c r="G19" s="1850"/>
      <c r="H19" s="1200" t="s">
        <v>1036</v>
      </c>
      <c r="I19" s="346" t="s">
        <v>1437</v>
      </c>
      <c r="J19" s="24">
        <f ca="1">IF(K19="按租金收入计税",ROUND(J5*M19,2),ROUND(C29*M19*0.7,2))</f>
        <v>36.979999999999997</v>
      </c>
      <c r="K19" s="1827" t="s">
        <v>1438</v>
      </c>
      <c r="L19" s="346" t="s">
        <v>1422</v>
      </c>
      <c r="M19" s="366">
        <f>IF(K19="按租金收入计税",'数据-取费表'!B51,'数据-取费表'!B50)</f>
        <v>1.2E-2</v>
      </c>
    </row>
    <row r="20" spans="1:37" s="1857" customFormat="1" ht="18" customHeight="1">
      <c r="A20" s="1200" t="s">
        <v>1039</v>
      </c>
      <c r="B20" s="346" t="s">
        <v>1439</v>
      </c>
      <c r="C20" s="24">
        <f ca="1">ROUND(C19*F20,0)</f>
        <v>66</v>
      </c>
      <c r="D20" s="368" t="s">
        <v>1440</v>
      </c>
      <c r="E20" s="346" t="s">
        <v>1422</v>
      </c>
      <c r="F20" s="366">
        <f>'数据-取费表'!B37</f>
        <v>0.02</v>
      </c>
      <c r="G20" s="1853"/>
      <c r="H20" s="1200" t="s">
        <v>1389</v>
      </c>
      <c r="I20" s="163" t="s">
        <v>1441</v>
      </c>
      <c r="J20" s="25">
        <f ca="1">ROUND(M20*M21/10000,2)</f>
        <v>1.42</v>
      </c>
      <c r="K20" s="369" t="s">
        <v>1442</v>
      </c>
      <c r="L20" s="346" t="s">
        <v>1443</v>
      </c>
      <c r="M20" s="370">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f ca="1">INDIRECT("'数据-取费表'!r"&amp;$G$1)</f>
        <v>1576.41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7"/>
      <c r="F22" s="26"/>
      <c r="G22" s="1850"/>
      <c r="H22" s="1200" t="s">
        <v>1039</v>
      </c>
      <c r="I22" s="346" t="s">
        <v>1449</v>
      </c>
      <c r="J22" s="24">
        <f ca="1">ROUND(J14*M22,1)</f>
        <v>66</v>
      </c>
      <c r="K22" s="1797" t="s">
        <v>1450</v>
      </c>
      <c r="L22" s="346" t="s">
        <v>1422</v>
      </c>
      <c r="M22" s="373">
        <f ca="1">INDIRECT("'数据-取费表'!Ak"&amp;$G$1)</f>
        <v>1.4999999999999999E-2</v>
      </c>
    </row>
    <row r="23" spans="1:37" s="1857" customFormat="1" ht="18" customHeight="1">
      <c r="A23" s="1200" t="s">
        <v>1034</v>
      </c>
      <c r="B23" s="346" t="s">
        <v>1451</v>
      </c>
      <c r="C23" s="24">
        <f ca="1">IF('数据-取费表'!B22&lt;=1,ROUND(C19*F24*F23/2,0)+ROUND(C20*F24*F23/2,0),ROUND(C19*(POWER((1+F24),F23/2)-1),0)+ROUND(C20*(POWER((1+F24),F23/2)-1),0))</f>
        <v>159</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f ca="1">ROUND(J13*M23,1)</f>
        <v>0</v>
      </c>
      <c r="K23" s="1797" t="s">
        <v>1454</v>
      </c>
      <c r="L23" s="346" t="s">
        <v>1455</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1817"/>
      <c r="F25" s="26"/>
      <c r="G25" s="1850"/>
      <c r="H25" s="1328" t="s">
        <v>1031</v>
      </c>
      <c r="I25" s="1343" t="s">
        <v>1463</v>
      </c>
      <c r="J25" s="354">
        <f ca="1">J5-J16</f>
        <v>-104</v>
      </c>
      <c r="K25" s="1344" t="s">
        <v>1464</v>
      </c>
      <c r="L25" s="1345"/>
      <c r="M25" s="1346"/>
    </row>
    <row r="26" spans="1:37">
      <c r="A26" s="1200" t="s">
        <v>1034</v>
      </c>
      <c r="B26" s="346" t="s">
        <v>1465</v>
      </c>
      <c r="C26" s="24">
        <f ca="1">ROUND((C19+C20)*F26,0)</f>
        <v>502</v>
      </c>
      <c r="D26" s="368" t="s">
        <v>1466</v>
      </c>
      <c r="E26" s="357" t="s">
        <v>1467</v>
      </c>
      <c r="F26" s="356">
        <f ca="1">INDIRECT("'数据-取费表'!q"&amp;$G$1)</f>
        <v>0.15</v>
      </c>
      <c r="G26" s="1850"/>
      <c r="H26" s="343" t="s">
        <v>1032</v>
      </c>
      <c r="I26" s="344" t="s">
        <v>1468</v>
      </c>
      <c r="J26" s="345">
        <f ca="1">IF(J5&lt;&gt;0,ROUND(J25*(1-((1+M28)/(1+M26))^M27)/(M26-M28),0),0)</f>
        <v>0</v>
      </c>
      <c r="K26" s="369" t="s">
        <v>1469</v>
      </c>
      <c r="L26" s="346" t="s">
        <v>1470</v>
      </c>
      <c r="M26" s="356">
        <f ca="1">INDIRECT("'数据-取费表'!I"&amp;$G$1)</f>
        <v>5.5E-2</v>
      </c>
    </row>
    <row r="27" spans="1:37" ht="18" customHeight="1">
      <c r="A27" s="1200" t="s">
        <v>1036</v>
      </c>
      <c r="B27" s="346" t="s">
        <v>1471</v>
      </c>
      <c r="C27" s="24">
        <f ca="1">ROUND(F21*F26,4)</f>
        <v>4.4999999999999997E-3</v>
      </c>
      <c r="D27" s="368" t="s">
        <v>1472</v>
      </c>
      <c r="E27" s="364"/>
      <c r="F27" s="365"/>
      <c r="G27" s="1850"/>
      <c r="H27" s="348"/>
      <c r="I27" s="349"/>
      <c r="J27" s="350"/>
      <c r="K27" s="377" t="s">
        <v>1473</v>
      </c>
      <c r="L27" s="346" t="s">
        <v>1474</v>
      </c>
      <c r="M27" s="378">
        <f ca="1">INDIRECT("'数据-取费表'!ag"&amp;$G$1)</f>
        <v>0</v>
      </c>
    </row>
    <row r="28" spans="1:37" s="1857" customFormat="1" ht="18" customHeight="1">
      <c r="A28" s="1200" t="s">
        <v>1037</v>
      </c>
      <c r="B28" s="346" t="s">
        <v>1475</v>
      </c>
      <c r="C28" s="24">
        <f>ROUND(F28/(1+'数据-取费表'!C42),4)</f>
        <v>5.33E-2</v>
      </c>
      <c r="D28" s="368" t="s">
        <v>1476</v>
      </c>
      <c r="E28" s="346" t="s">
        <v>1422</v>
      </c>
      <c r="F28" s="366">
        <f>'数据-取费表'!B41</f>
        <v>5.6000000000000001E-2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4402</v>
      </c>
      <c r="D29" s="1341"/>
      <c r="E29" s="1339"/>
      <c r="F29" s="1342"/>
      <c r="G29" s="1853"/>
      <c r="H29" s="379" t="s">
        <v>1033</v>
      </c>
      <c r="I29" s="380" t="s">
        <v>1479</v>
      </c>
      <c r="J29" s="381">
        <f ca="1">ROUND(J26/(1+F40)^F41,0)</f>
        <v>0</v>
      </c>
      <c r="K29" s="382" t="s">
        <v>1480</v>
      </c>
      <c r="L29" s="383"/>
      <c r="M29" s="384">
        <f ca="1">INDIRECT("'数据-取费表'!k"&amp;$G$1)</f>
        <v>10500.04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f ca="1">ROUND(C31+C36+C37+C38,0)</f>
        <v>359</v>
      </c>
      <c r="D30" s="1336" t="s">
        <v>1425</v>
      </c>
      <c r="E30" s="1337"/>
      <c r="F30" s="1293"/>
      <c r="G30" s="1850"/>
      <c r="H30" s="743"/>
      <c r="I30" s="744"/>
      <c r="J30" s="745"/>
      <c r="K30" s="746"/>
      <c r="L30" s="747"/>
      <c r="M30" s="748"/>
    </row>
    <row r="31" spans="1:37" ht="18" customHeight="1">
      <c r="A31" s="1200" t="s">
        <v>1035</v>
      </c>
      <c r="B31" s="346" t="s">
        <v>1429</v>
      </c>
      <c r="C31" s="24">
        <f ca="1">ROUND(IF(项目基本情况!B11="自然人",C5*F31,C32+C33+C34),1)</f>
        <v>270.8</v>
      </c>
      <c r="D31" s="1799" t="s">
        <v>1430</v>
      </c>
      <c r="E31" s="1797" t="s">
        <v>1481</v>
      </c>
      <c r="F31" s="367" t="str">
        <f ca="1">IF(项目基本情况!B11="企业","",IF(INDIRECT("'数据-取费表'!c"&amp;$G$1)="住宅",5%,IF(F6*F7*F8/12/(1+'数据-取费表'!C42)&gt;20000,12%,7%)))</f>
        <v/>
      </c>
      <c r="G31" s="1850"/>
      <c r="H31" s="743"/>
      <c r="I31" s="744"/>
      <c r="J31" s="745"/>
      <c r="K31" s="746"/>
      <c r="L31" s="747"/>
      <c r="M31" s="748"/>
    </row>
    <row r="32" spans="1:37" ht="18" customHeight="1">
      <c r="A32" s="1200" t="s">
        <v>1034</v>
      </c>
      <c r="B32" s="346" t="s">
        <v>1433</v>
      </c>
      <c r="C32" s="24">
        <f ca="1">IF(项目基本情况!B11="自然人","——",ROUND(C5*F32/(1+'数据-取费表'!C42),2))</f>
        <v>82.88</v>
      </c>
      <c r="D32" s="1797" t="s">
        <v>1434</v>
      </c>
      <c r="E32" s="346" t="s">
        <v>1422</v>
      </c>
      <c r="F32" s="376">
        <f>'数据-取费表'!B41</f>
        <v>5.6000000000000001E-2</v>
      </c>
      <c r="G32" s="1850"/>
      <c r="H32" s="743"/>
      <c r="I32" s="744"/>
      <c r="J32" s="745"/>
      <c r="K32" s="746"/>
      <c r="L32" s="747"/>
      <c r="M32" s="748"/>
    </row>
    <row r="33" spans="1:18" ht="18" customHeight="1">
      <c r="A33" s="1200" t="s">
        <v>1036</v>
      </c>
      <c r="B33" s="346" t="s">
        <v>1437</v>
      </c>
      <c r="C33" s="24">
        <f ca="1">IF(项目基本情况!B11="自然人","——",IF(D33="按租金收入计税",ROUND(C5*F33,2),IF(D33="按房产原值计税",ROUND(C29*F33*0.7,2),INDIRECT("'数据-取费表'!Aj"&amp;$G$1))))</f>
        <v>186.48</v>
      </c>
      <c r="D33" s="1827" t="s">
        <v>3113</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f ca="1">IF(项目基本情况!B11="自然人","——",ROUND(F34*F35/10000,2))</f>
        <v>1.42</v>
      </c>
      <c r="D34" s="369" t="s">
        <v>1442</v>
      </c>
      <c r="E34" s="346" t="s">
        <v>1443</v>
      </c>
      <c r="F34" s="370">
        <f>'数据-取费表'!B52</f>
        <v>9</v>
      </c>
      <c r="G34" s="1850"/>
      <c r="H34" s="743"/>
      <c r="I34" s="1859"/>
      <c r="J34" s="1860"/>
      <c r="K34" s="1862"/>
      <c r="L34" s="1863"/>
      <c r="M34" s="1863"/>
    </row>
    <row r="35" spans="1:18" ht="18" customHeight="1">
      <c r="A35" s="1352"/>
      <c r="B35" s="1350"/>
      <c r="C35" s="29"/>
      <c r="D35" s="372"/>
      <c r="E35" s="346" t="s">
        <v>1447</v>
      </c>
      <c r="F35" s="347">
        <f ca="1">INDIRECT("'数据-取费表'!r"&amp;$G$1)</f>
        <v>1576.41</v>
      </c>
      <c r="G35" s="1850"/>
      <c r="H35" s="743"/>
      <c r="I35" s="1859"/>
      <c r="J35" s="1860"/>
      <c r="K35" s="1861"/>
      <c r="L35" s="1858"/>
      <c r="M35" s="1858"/>
    </row>
    <row r="36" spans="1:18" ht="18" customHeight="1">
      <c r="A36" s="1351" t="s">
        <v>1039</v>
      </c>
      <c r="B36" s="346" t="s">
        <v>1449</v>
      </c>
      <c r="C36" s="24">
        <f ca="1">ROUND(C29*F36,1)</f>
        <v>66</v>
      </c>
      <c r="D36" s="1797" t="s">
        <v>1482</v>
      </c>
      <c r="E36" s="346" t="s">
        <v>1422</v>
      </c>
      <c r="F36" s="373">
        <f ca="1">INDIRECT("'数据-取费表'!Ak"&amp;$G$1)</f>
        <v>1.4999999999999999E-2</v>
      </c>
      <c r="G36" s="1850"/>
      <c r="H36" s="1858"/>
      <c r="I36" s="1859"/>
      <c r="J36" s="1860"/>
      <c r="K36" s="749"/>
      <c r="L36" s="1858"/>
      <c r="M36" s="1858"/>
    </row>
    <row r="37" spans="1:18" ht="18" customHeight="1">
      <c r="A37" s="1200" t="s">
        <v>1075</v>
      </c>
      <c r="B37" s="346" t="s">
        <v>1453</v>
      </c>
      <c r="C37" s="24">
        <f ca="1">ROUND(C13*F37,1)</f>
        <v>6.6</v>
      </c>
      <c r="D37" s="1797" t="s">
        <v>1454</v>
      </c>
      <c r="E37" s="346" t="s">
        <v>1455</v>
      </c>
      <c r="F37" s="375">
        <f ca="1">INDIRECT("'数据-取费表'!Al"&amp;$G$1)</f>
        <v>1.5E-3</v>
      </c>
      <c r="G37" s="1850"/>
      <c r="H37" s="1858"/>
      <c r="I37" s="1859"/>
      <c r="J37" s="1860"/>
      <c r="K37" s="749"/>
      <c r="L37" s="1858"/>
      <c r="M37" s="1858"/>
    </row>
    <row r="38" spans="1:18" ht="18" customHeight="1" thickBot="1">
      <c r="A38" s="1338" t="s">
        <v>1393</v>
      </c>
      <c r="B38" s="1339" t="s">
        <v>1439</v>
      </c>
      <c r="C38" s="1340">
        <f ca="1">ROUND(C5*F38,1)</f>
        <v>15.5</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4">
        <f ca="1">C5-C30</f>
        <v>1195</v>
      </c>
      <c r="D39" s="1344" t="s">
        <v>1484</v>
      </c>
      <c r="E39" s="1345"/>
      <c r="F39" s="1346"/>
      <c r="G39" s="1850"/>
      <c r="H39" s="1858"/>
      <c r="I39" s="1859"/>
      <c r="J39" s="1860"/>
      <c r="K39" s="1864"/>
      <c r="L39" s="1858"/>
      <c r="M39" s="1858"/>
    </row>
    <row r="40" spans="1:18" ht="18" customHeight="1">
      <c r="A40" s="343" t="s">
        <v>1032</v>
      </c>
      <c r="B40" s="344" t="s">
        <v>1485</v>
      </c>
      <c r="C40" s="345">
        <f ca="1">ROUND(C39*(1-((1+F42)/(1+F40))^F41)/(F40-F42),0)</f>
        <v>30202</v>
      </c>
      <c r="D40" s="369" t="s">
        <v>1469</v>
      </c>
      <c r="E40" s="346" t="s">
        <v>1470</v>
      </c>
      <c r="F40" s="356">
        <f ca="1">INDIRECT("'数据-取费表'!I"&amp;$G$1)</f>
        <v>5.5E-2</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36.79</v>
      </c>
      <c r="G41" s="1850"/>
      <c r="H41" s="730"/>
      <c r="I41" s="1859"/>
      <c r="J41" s="1860"/>
      <c r="K41" s="749"/>
      <c r="L41" s="730"/>
      <c r="M41" s="730"/>
    </row>
    <row r="42" spans="1:18" ht="18" customHeight="1">
      <c r="A42" s="352"/>
      <c r="B42" s="353"/>
      <c r="C42" s="354"/>
      <c r="D42" s="372"/>
      <c r="E42" s="346" t="s">
        <v>1477</v>
      </c>
      <c r="F42" s="3404">
        <f ca="1">INDIRECT("'数据-取费表'!v"&amp;$G$1)</f>
        <v>3.5000000000000003E-2</v>
      </c>
      <c r="G42" s="1850"/>
      <c r="H42" s="730"/>
      <c r="I42" s="1859"/>
      <c r="J42" s="1860"/>
      <c r="K42" s="749"/>
      <c r="L42" s="730"/>
      <c r="M42" s="730"/>
    </row>
    <row r="43" spans="1:18" ht="18" customHeight="1" thickBot="1">
      <c r="A43" s="379" t="s">
        <v>1033</v>
      </c>
      <c r="B43" s="380" t="s">
        <v>1487</v>
      </c>
      <c r="C43" s="381">
        <f ca="1">ROUND(C40*10000/F43,0)</f>
        <v>28764</v>
      </c>
      <c r="D43" s="382" t="s">
        <v>1488</v>
      </c>
      <c r="E43" s="383" t="s">
        <v>1489</v>
      </c>
      <c r="F43" s="384">
        <f ca="1">INDIRECT("'数据-取费表'!k"&amp;$G$1)</f>
        <v>10500.04</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1519</v>
      </c>
      <c r="P45" s="1838"/>
      <c r="Q45" s="1838"/>
      <c r="R45" s="1838"/>
    </row>
    <row r="46" spans="1:18" s="1841" customFormat="1" ht="13.5" thickBot="1">
      <c r="A46" s="1869" t="s">
        <v>1520</v>
      </c>
      <c r="C46" s="1870">
        <f ca="1">C68-C40</f>
        <v>-37149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0"/>
      <c r="I47" s="1879" t="s">
        <v>1526</v>
      </c>
      <c r="J47" s="1880" t="s">
        <v>3110</v>
      </c>
      <c r="K47" s="1881" t="s">
        <v>1527</v>
      </c>
      <c r="L47" s="1882">
        <f ca="1">INDIRECT("'数据-取费表'!d"&amp;$G$1)</f>
        <v>40</v>
      </c>
      <c r="M47" s="1837" t="str">
        <f>IF(ISNUMBER(FIND("住宅",C1)),"住宅","非住宅")</f>
        <v>非住宅</v>
      </c>
      <c r="O47" s="1883" t="s">
        <v>1040</v>
      </c>
      <c r="P47" s="1884" t="s">
        <v>1528</v>
      </c>
      <c r="Q47" s="1885">
        <f ca="1">C40+J29</f>
        <v>30202</v>
      </c>
      <c r="R47" s="1885" t="s">
        <v>1529</v>
      </c>
    </row>
    <row r="48" spans="1:18" s="1841" customFormat="1" ht="28.5" thickBot="1">
      <c r="A48" s="1359" t="s">
        <v>1135</v>
      </c>
      <c r="B48" s="344" t="s">
        <v>1401</v>
      </c>
      <c r="C48" s="1816">
        <f ca="1">C49+C53+C55</f>
        <v>0</v>
      </c>
      <c r="D48" s="1361"/>
      <c r="E48" s="1362"/>
      <c r="F48" s="1180"/>
      <c r="G48" s="790"/>
      <c r="H48" s="791"/>
      <c r="I48" s="1886" t="s">
        <v>1530</v>
      </c>
      <c r="J48" s="1887" t="s">
        <v>3111</v>
      </c>
      <c r="K48" s="1888" t="s">
        <v>1531</v>
      </c>
      <c r="L48" s="1889">
        <f ca="1">INDIRECT("'数据-取费表'!f"&amp;$G$1)</f>
        <v>36.99</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3026</v>
      </c>
      <c r="E49" s="1829" t="s">
        <v>1491</v>
      </c>
      <c r="F49" s="1280"/>
      <c r="G49" s="1890"/>
      <c r="H49" s="791"/>
      <c r="I49" s="1886" t="s">
        <v>1534</v>
      </c>
      <c r="J49" s="1891"/>
      <c r="K49" s="1888" t="s">
        <v>1535</v>
      </c>
      <c r="L49" s="1892"/>
      <c r="O49" s="1893" t="s">
        <v>1042</v>
      </c>
      <c r="P49" s="1884" t="s">
        <v>1536</v>
      </c>
      <c r="Q49" s="1885">
        <f ca="1">C29</f>
        <v>4402</v>
      </c>
      <c r="R49" s="1885" t="s">
        <v>1529</v>
      </c>
    </row>
    <row r="50" spans="1:18" s="1841" customFormat="1" ht="13.5" thickBot="1">
      <c r="A50" s="1194"/>
      <c r="B50" s="1197"/>
      <c r="C50" s="1367"/>
      <c r="D50" s="1171"/>
      <c r="E50" s="1276" t="s">
        <v>1406</v>
      </c>
      <c r="F50" s="1277">
        <f ca="1">F7</f>
        <v>10500.04</v>
      </c>
      <c r="H50" s="791"/>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7">
        <f ca="1">F8</f>
        <v>365</v>
      </c>
      <c r="I51" s="1897" t="s">
        <v>1540</v>
      </c>
      <c r="J51" s="1898">
        <f>IF(J49="",J50,J49+J50-YEAR('数据-取费表'!B2))</f>
        <v>60</v>
      </c>
      <c r="K51" s="1899" t="s">
        <v>1541</v>
      </c>
      <c r="L51" s="1900">
        <f ca="1">ROUND(-PV(INDIRECT("'数据-取费表'!h"&amp;$G$1),L48,(C39-C13*C76),0),0)</f>
        <v>13716</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f ca="1">J53</f>
        <v>36.79</v>
      </c>
      <c r="R52" s="1885" t="s">
        <v>1546</v>
      </c>
    </row>
    <row r="53" spans="1:18" s="1841" customFormat="1" ht="24.75" thickBot="1">
      <c r="A53" s="1404" t="s">
        <v>1137</v>
      </c>
      <c r="B53" s="1830" t="s">
        <v>1409</v>
      </c>
      <c r="C53" s="360">
        <f ca="1">ROUND(IF(F53="押一",C49/12*F11,IF(F53="押二",C49/12*2*F11,IF(F53="押三",C49/12*3*F11,C54*F11))),0)</f>
        <v>0</v>
      </c>
      <c r="D53" s="1823" t="s">
        <v>3033</v>
      </c>
      <c r="E53" s="357"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36.79</v>
      </c>
      <c r="K53" s="3303" t="s">
        <v>1548</v>
      </c>
      <c r="L53" s="3304"/>
      <c r="O53" s="1883" t="s">
        <v>1046</v>
      </c>
      <c r="P53" s="1884" t="s">
        <v>1549</v>
      </c>
      <c r="Q53" s="1885">
        <f ca="1">Q47+Q48</f>
        <v>30202</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5">
        <f ca="1">C13</f>
        <v>4402</v>
      </c>
      <c r="D56" s="1913"/>
      <c r="E56" s="1914"/>
      <c r="F56" s="1906"/>
      <c r="I56" s="1915" t="s">
        <v>1554</v>
      </c>
      <c r="J56" s="3006" t="s">
        <v>3054</v>
      </c>
      <c r="K56" s="1886" t="s">
        <v>1555</v>
      </c>
      <c r="L56" s="1889" t="str">
        <f ca="1">IF(L48&lt;J51,"——",L48-J53)</f>
        <v>——</v>
      </c>
      <c r="O56" s="1883" t="s">
        <v>1040</v>
      </c>
      <c r="P56" s="1884" t="s">
        <v>1528</v>
      </c>
      <c r="Q56" s="1885">
        <f ca="1">C40+J29</f>
        <v>30202</v>
      </c>
      <c r="R56" s="1885" t="s">
        <v>1529</v>
      </c>
    </row>
    <row r="57" spans="1:18" s="1841" customFormat="1" ht="24.75" thickBot="1">
      <c r="A57" s="1917"/>
      <c r="B57" s="1168" t="s">
        <v>1478</v>
      </c>
      <c r="C57" s="281">
        <f ca="1">C29</f>
        <v>4402</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9" t="s">
        <v>1030</v>
      </c>
      <c r="B58" s="1176" t="s">
        <v>1424</v>
      </c>
      <c r="C58" s="360">
        <f ca="1">ROUND(C59+C64+C65+C66,0)</f>
        <v>444</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371.2</v>
      </c>
      <c r="D59" s="1181" t="s">
        <v>1430</v>
      </c>
      <c r="E59" s="1182" t="s">
        <v>1431</v>
      </c>
      <c r="F59" s="367"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6">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369.77</v>
      </c>
      <c r="D61" s="1827" t="s">
        <v>1438</v>
      </c>
      <c r="E61" s="1168" t="s">
        <v>1494</v>
      </c>
      <c r="F61" s="366">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1.42</v>
      </c>
      <c r="D62" s="1183" t="s">
        <v>1497</v>
      </c>
      <c r="E62" s="1168" t="s">
        <v>1498</v>
      </c>
      <c r="F62" s="370">
        <f t="shared" si="0"/>
        <v>9</v>
      </c>
      <c r="I62" s="1928" t="s">
        <v>1570</v>
      </c>
      <c r="J62" s="1929" t="s">
        <v>1571</v>
      </c>
      <c r="K62" s="1929" t="s">
        <v>1572</v>
      </c>
      <c r="L62" s="1929" t="s">
        <v>1573</v>
      </c>
      <c r="M62" s="1930" t="s">
        <v>1574</v>
      </c>
      <c r="O62" s="1883" t="s">
        <v>1046</v>
      </c>
      <c r="P62" s="1884" t="s">
        <v>1575</v>
      </c>
      <c r="Q62" s="1885">
        <f ca="1">Q56+Q57</f>
        <v>30202</v>
      </c>
      <c r="R62" s="1885" t="s">
        <v>1047</v>
      </c>
    </row>
    <row r="63" spans="1:18" s="1841" customFormat="1" ht="13.5" thickBot="1">
      <c r="A63" s="371"/>
      <c r="B63" s="1174"/>
      <c r="C63" s="29"/>
      <c r="D63" s="1184"/>
      <c r="E63" s="1168" t="s">
        <v>1499</v>
      </c>
      <c r="F63" s="347">
        <f t="shared" ca="1" si="0"/>
        <v>1576.41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66</v>
      </c>
      <c r="D64" s="1182" t="s">
        <v>1502</v>
      </c>
      <c r="E64" s="1168" t="s">
        <v>1494</v>
      </c>
      <c r="F64" s="373">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6.6</v>
      </c>
      <c r="D65" s="1182" t="s">
        <v>1454</v>
      </c>
      <c r="E65" s="1168" t="s">
        <v>1455</v>
      </c>
      <c r="F65" s="375">
        <f t="shared" ca="1" si="0"/>
        <v>1.5E-3</v>
      </c>
      <c r="I65" s="1928" t="s">
        <v>1579</v>
      </c>
      <c r="J65" s="1929">
        <v>40</v>
      </c>
      <c r="K65" s="1929">
        <v>30</v>
      </c>
      <c r="L65" s="1929">
        <v>50</v>
      </c>
      <c r="M65" s="1931">
        <v>0.02</v>
      </c>
      <c r="O65" s="1883" t="s">
        <v>1040</v>
      </c>
      <c r="P65" s="1884" t="s">
        <v>1580</v>
      </c>
      <c r="Q65" s="1885">
        <f ca="1">C40+J29</f>
        <v>30202</v>
      </c>
      <c r="R65" s="1885" t="s">
        <v>1529</v>
      </c>
    </row>
    <row r="66" spans="1:18" s="1841" customFormat="1" ht="16.5" thickBot="1">
      <c r="A66" s="1200" t="s">
        <v>1504</v>
      </c>
      <c r="B66" s="1168" t="s">
        <v>1439</v>
      </c>
      <c r="C66" s="24">
        <f ca="1">ROUND(C48*F66,1)</f>
        <v>0</v>
      </c>
      <c r="D66" s="1182" t="s">
        <v>1505</v>
      </c>
      <c r="E66" s="1168" t="s">
        <v>1422</v>
      </c>
      <c r="F66" s="356">
        <f t="shared" ca="1" si="0"/>
        <v>0.01</v>
      </c>
      <c r="O66" s="1883" t="s">
        <v>1041</v>
      </c>
      <c r="P66" s="1884" t="s">
        <v>1558</v>
      </c>
      <c r="Q66" s="1885">
        <f ca="1">L60</f>
        <v>0</v>
      </c>
      <c r="R66" s="1885" t="s">
        <v>1581</v>
      </c>
    </row>
    <row r="67" spans="1:18" s="1841" customFormat="1" ht="16.5" thickBot="1">
      <c r="A67" s="1175" t="s">
        <v>1031</v>
      </c>
      <c r="B67" s="1185" t="s">
        <v>1463</v>
      </c>
      <c r="C67" s="360">
        <f ca="1">C48-C58</f>
        <v>-444</v>
      </c>
      <c r="D67" s="1181" t="s">
        <v>1464</v>
      </c>
      <c r="E67" s="1186"/>
      <c r="F67" s="1187"/>
      <c r="O67" s="1893" t="s">
        <v>1042</v>
      </c>
      <c r="P67" s="1884" t="s">
        <v>1562</v>
      </c>
      <c r="Q67" s="1932">
        <f ca="1">L51</f>
        <v>13716</v>
      </c>
      <c r="R67" s="1885" t="s">
        <v>1582</v>
      </c>
    </row>
    <row r="68" spans="1:18" s="1841" customFormat="1" ht="16.5" thickBot="1">
      <c r="A68" s="1165" t="s">
        <v>1032</v>
      </c>
      <c r="B68" s="1166" t="s">
        <v>1485</v>
      </c>
      <c r="C68" s="345">
        <f ca="1">ROUND(C67*(1-((1+F70)/(1+F68))^F69)/(F68-F70),0)</f>
        <v>-6947</v>
      </c>
      <c r="D68" s="1183" t="s">
        <v>1469</v>
      </c>
      <c r="E68" s="1168" t="s">
        <v>1470</v>
      </c>
      <c r="F68" s="356">
        <f ca="1">F40</f>
        <v>5.5E-2</v>
      </c>
      <c r="O68" s="1893" t="s">
        <v>1043</v>
      </c>
      <c r="P68" s="1933" t="s">
        <v>1583</v>
      </c>
      <c r="Q68" s="1885">
        <f ca="1">ROUND(Q69-Q70*Q71,0)</f>
        <v>821</v>
      </c>
      <c r="R68" s="1885" t="s">
        <v>1051</v>
      </c>
    </row>
    <row r="69" spans="1:18" s="1841" customFormat="1" ht="13.5" thickBot="1">
      <c r="A69" s="1169"/>
      <c r="B69" s="1170"/>
      <c r="C69" s="350"/>
      <c r="D69" s="1188" t="s">
        <v>1473</v>
      </c>
      <c r="E69" s="1168" t="s">
        <v>1474</v>
      </c>
      <c r="F69" s="378">
        <f ca="1">F41</f>
        <v>36.79</v>
      </c>
      <c r="O69" s="1893" t="s">
        <v>1048</v>
      </c>
      <c r="P69" s="1933" t="s">
        <v>1584</v>
      </c>
      <c r="Q69" s="1885">
        <f ca="1">C39</f>
        <v>1195</v>
      </c>
      <c r="R69" s="1885" t="s">
        <v>1529</v>
      </c>
    </row>
    <row r="70" spans="1:18" s="1841" customFormat="1" ht="13.5" thickBot="1">
      <c r="A70" s="1172"/>
      <c r="B70" s="1173"/>
      <c r="C70" s="354"/>
      <c r="D70" s="1184"/>
      <c r="E70" s="1168" t="s">
        <v>1477</v>
      </c>
      <c r="F70" s="1274"/>
      <c r="O70" s="1893" t="s">
        <v>1049</v>
      </c>
      <c r="P70" s="1933" t="s">
        <v>1585</v>
      </c>
      <c r="Q70" s="1885">
        <f ca="1">C13</f>
        <v>4402</v>
      </c>
      <c r="R70" s="1885" t="s">
        <v>1529</v>
      </c>
    </row>
    <row r="71" spans="1:18" s="1841" customFormat="1" ht="13.5" thickBot="1">
      <c r="A71" s="1189" t="s">
        <v>1033</v>
      </c>
      <c r="B71" s="1190" t="s">
        <v>1487</v>
      </c>
      <c r="C71" s="381">
        <f ca="1">ROUND(C68*10000/F71,0)</f>
        <v>-6616</v>
      </c>
      <c r="D71" s="1191" t="s">
        <v>1488</v>
      </c>
      <c r="E71" s="1192" t="s">
        <v>1489</v>
      </c>
      <c r="F71" s="384">
        <f ca="1">F43</f>
        <v>10500.04</v>
      </c>
      <c r="O71" s="1893" t="s">
        <v>1050</v>
      </c>
      <c r="P71" s="1933" t="s">
        <v>1586</v>
      </c>
      <c r="Q71" s="1896">
        <f ca="1">C76</f>
        <v>8.5000000000000006E-2</v>
      </c>
      <c r="R71" s="1885"/>
    </row>
    <row r="72" spans="1:18" s="1841" customFormat="1" ht="13.5" thickBot="1">
      <c r="B72" s="794"/>
      <c r="C72" s="794"/>
      <c r="O72" s="1893" t="s">
        <v>1044</v>
      </c>
      <c r="P72" s="1884" t="s">
        <v>1564</v>
      </c>
      <c r="Q72" s="1896">
        <f>L52</f>
        <v>0</v>
      </c>
      <c r="R72" s="1885"/>
    </row>
    <row r="73" spans="1:18" ht="16.5" thickBot="1">
      <c r="A73" s="1841"/>
      <c r="B73" s="794"/>
      <c r="C73" s="794"/>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5" t="s">
        <v>1506</v>
      </c>
      <c r="C75" s="386">
        <f ca="1">ROUND(C13*C76,0)</f>
        <v>374</v>
      </c>
      <c r="D75" s="1841"/>
      <c r="E75" s="1841"/>
      <c r="F75" s="1841"/>
      <c r="K75" s="1867"/>
      <c r="L75" s="1841"/>
      <c r="O75" s="1883" t="s">
        <v>1046</v>
      </c>
      <c r="P75" s="1884" t="s">
        <v>1549</v>
      </c>
      <c r="Q75" s="1885">
        <f ca="1">Q65+Q66</f>
        <v>30202</v>
      </c>
      <c r="R75" s="1885" t="s">
        <v>1047</v>
      </c>
    </row>
    <row r="76" spans="1:18">
      <c r="B76" s="387" t="s">
        <v>1507</v>
      </c>
      <c r="C76" s="388">
        <f ca="1">INDIRECT("'数据-取费表'!j"&amp;$G$1)</f>
        <v>8.5000000000000006E-2</v>
      </c>
      <c r="I76" s="1841"/>
      <c r="J76" s="1841"/>
      <c r="K76" s="1867"/>
      <c r="L76" s="1841"/>
    </row>
    <row r="77" spans="1:18">
      <c r="B77" s="389" t="s">
        <v>1508</v>
      </c>
      <c r="C77" s="390"/>
      <c r="I77" s="1841"/>
      <c r="J77" s="1841"/>
      <c r="K77" s="1867"/>
      <c r="L77" s="1841"/>
    </row>
    <row r="78" spans="1:18">
      <c r="B78" s="313" t="s">
        <v>1509</v>
      </c>
      <c r="C78" s="391"/>
    </row>
    <row r="79" spans="1:18">
      <c r="B79" s="385" t="s">
        <v>1510</v>
      </c>
      <c r="C79" s="317">
        <f ca="1">1-C80</f>
        <v>0.68700000000000006</v>
      </c>
    </row>
    <row r="80" spans="1:18">
      <c r="B80" s="385" t="s">
        <v>1511</v>
      </c>
      <c r="C80" s="317">
        <f ca="1">ROUND(C75/C39,3)</f>
        <v>0.313</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0"/>
      <c r="C1" s="1836"/>
      <c r="D1" s="1819"/>
      <c r="E1" s="1820" t="s">
        <v>1387</v>
      </c>
      <c r="F1" s="1282" t="b">
        <f>J53</f>
        <v>0</v>
      </c>
      <c r="G1" s="1835">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2" t="s">
        <v>1588</v>
      </c>
      <c r="I3" s="1839"/>
      <c r="J3" s="1839"/>
      <c r="K3" s="1840"/>
      <c r="L3" s="1839"/>
      <c r="M3" s="1839"/>
    </row>
    <row r="4" spans="1:37" ht="18" customHeight="1">
      <c r="A4" s="339" t="s">
        <v>1595</v>
      </c>
      <c r="B4" s="340" t="s">
        <v>1596</v>
      </c>
      <c r="C4" s="340" t="s">
        <v>1597</v>
      </c>
      <c r="D4" s="340" t="s">
        <v>1598</v>
      </c>
      <c r="E4" s="341" t="s">
        <v>1599</v>
      </c>
      <c r="F4" s="342"/>
      <c r="G4" s="1850"/>
      <c r="H4" s="339" t="s">
        <v>1595</v>
      </c>
      <c r="I4" s="340" t="s">
        <v>1596</v>
      </c>
      <c r="J4" s="340" t="s">
        <v>1597</v>
      </c>
      <c r="K4" s="340" t="s">
        <v>1598</v>
      </c>
      <c r="L4" s="341" t="s">
        <v>1599</v>
      </c>
      <c r="M4" s="342"/>
    </row>
    <row r="5" spans="1:37" ht="18" customHeight="1">
      <c r="A5" s="343">
        <v>1</v>
      </c>
      <c r="B5" s="344" t="s">
        <v>1600</v>
      </c>
      <c r="C5" s="1291">
        <f ca="1">C6+C10+C12</f>
        <v>0</v>
      </c>
      <c r="D5" s="1821" t="s">
        <v>1601</v>
      </c>
      <c r="E5" s="1292"/>
      <c r="F5" s="1293"/>
      <c r="G5" s="1850"/>
      <c r="H5" s="343">
        <v>1</v>
      </c>
      <c r="I5" s="344" t="s">
        <v>1600</v>
      </c>
      <c r="J5" s="1291">
        <f ca="1">J6+J10+J12</f>
        <v>0</v>
      </c>
      <c r="K5" s="1821" t="s">
        <v>1601</v>
      </c>
      <c r="L5" s="1292"/>
      <c r="M5" s="1293"/>
    </row>
    <row r="6" spans="1:37" ht="18" customHeight="1">
      <c r="A6" s="1290" t="s">
        <v>1035</v>
      </c>
      <c r="B6" s="3305" t="s">
        <v>1403</v>
      </c>
      <c r="C6" s="1295">
        <f ca="1">ROUND(F6*F8*F7*(1-F9),0)</f>
        <v>0</v>
      </c>
      <c r="D6" s="163" t="s">
        <v>3022</v>
      </c>
      <c r="E6" s="346" t="s">
        <v>1405</v>
      </c>
      <c r="F6" s="347">
        <f ca="1">INDIRECT("'数据-取费表'!u"&amp;$G$1)</f>
        <v>1.5</v>
      </c>
      <c r="G6" s="1850"/>
      <c r="H6" s="1290" t="s">
        <v>1035</v>
      </c>
      <c r="I6" s="3305" t="s">
        <v>1403</v>
      </c>
      <c r="J6" s="345">
        <f ca="1">ROUND(M6*M8*M7*(1-M9),0)</f>
        <v>0</v>
      </c>
      <c r="K6" s="1833" t="s">
        <v>3023</v>
      </c>
      <c r="L6" s="346" t="s">
        <v>1405</v>
      </c>
      <c r="M6" s="347">
        <f ca="1">INDIRECT("'数据-取费表'!z"&amp;$G$1)</f>
        <v>0</v>
      </c>
    </row>
    <row r="7" spans="1:37" ht="18" customHeight="1">
      <c r="A7" s="1294"/>
      <c r="B7" s="3306"/>
      <c r="C7" s="1296"/>
      <c r="D7" s="351"/>
      <c r="E7" s="1297" t="s">
        <v>1406</v>
      </c>
      <c r="F7" s="347">
        <f ca="1">IF(INDIRECT("'数据-取费表'!ah"&amp;$G$1)="",INDIRECT("'数据-取费表'!k"&amp;$G$1),INDIRECT("'数据-取费表'!ah"&amp;$G$1))</f>
        <v>0</v>
      </c>
      <c r="G7" s="1850"/>
      <c r="H7" s="348"/>
      <c r="I7" s="3306"/>
      <c r="J7" s="350"/>
      <c r="K7" s="351"/>
      <c r="L7" s="346" t="s">
        <v>1406</v>
      </c>
      <c r="M7" s="347">
        <f ca="1">F7</f>
        <v>0</v>
      </c>
    </row>
    <row r="8" spans="1:37" ht="18" customHeight="1">
      <c r="A8" s="348"/>
      <c r="B8" s="3306"/>
      <c r="C8" s="350"/>
      <c r="D8" s="351"/>
      <c r="E8" s="346" t="s">
        <v>1407</v>
      </c>
      <c r="F8" s="347">
        <f ca="1">INDIRECT("'数据-取费表'!ai"&amp;$G$1)</f>
        <v>0</v>
      </c>
      <c r="G8" s="1850"/>
      <c r="H8" s="348"/>
      <c r="I8" s="3306"/>
      <c r="J8" s="350"/>
      <c r="K8" s="351"/>
      <c r="L8" s="346" t="s">
        <v>1407</v>
      </c>
      <c r="M8" s="347">
        <f ca="1">INDIRECT("'数据-取费表'!ai"&amp;$G$1)</f>
        <v>0</v>
      </c>
    </row>
    <row r="9" spans="1:37" ht="18" customHeight="1">
      <c r="A9" s="348"/>
      <c r="B9" s="3307"/>
      <c r="C9" s="350"/>
      <c r="D9" s="351"/>
      <c r="E9" s="346" t="s">
        <v>1408</v>
      </c>
      <c r="F9" s="356">
        <f ca="1">INDIRECT("'数据-取费表'!w"&amp;$G$1)</f>
        <v>0.15</v>
      </c>
      <c r="G9" s="1850"/>
      <c r="H9" s="348"/>
      <c r="I9" s="3307"/>
      <c r="J9" s="350"/>
      <c r="K9" s="351"/>
      <c r="L9" s="357" t="s">
        <v>1408</v>
      </c>
      <c r="M9" s="358">
        <f ca="1">INDIRECT("'数据-取费表'!ab"&amp;$G$1)</f>
        <v>0</v>
      </c>
    </row>
    <row r="10" spans="1:37" ht="18" customHeight="1">
      <c r="A10" s="1290" t="s">
        <v>1039</v>
      </c>
      <c r="B10" s="1822" t="s">
        <v>1409</v>
      </c>
      <c r="C10" s="360">
        <f ca="1">ROUND(IF(F10="押一",C6/12*F11,IF(F10="押二",C6/12*2*F11,IF(F10="押三",C6/12*3*F11,C11*F11))),0)</f>
        <v>0</v>
      </c>
      <c r="D10" s="1823" t="s">
        <v>3033</v>
      </c>
      <c r="E10" s="357" t="s">
        <v>1410</v>
      </c>
      <c r="F10" s="1365"/>
      <c r="G10" s="1850"/>
      <c r="H10" s="1290" t="s">
        <v>1039</v>
      </c>
      <c r="I10" s="1822" t="s">
        <v>1409</v>
      </c>
      <c r="J10" s="345">
        <f ca="1">ROUND(IF(M10="押一",J6/12*M11,IF(M10="押二",J6/12*2*M11,IF(M10="押三",J6/12*3*M11,J11*M11))),0)</f>
        <v>0</v>
      </c>
      <c r="K10" s="1834" t="s">
        <v>3035</v>
      </c>
      <c r="L10" s="357" t="s">
        <v>1410</v>
      </c>
      <c r="M10" s="1365"/>
    </row>
    <row r="11" spans="1:37" ht="18" customHeight="1">
      <c r="A11" s="352"/>
      <c r="B11" s="1824" t="s">
        <v>1602</v>
      </c>
      <c r="C11" s="1177"/>
      <c r="D11" s="351"/>
      <c r="E11" s="357" t="s">
        <v>1412</v>
      </c>
      <c r="F11" s="358">
        <f ca="1">'数据-取费表'!B39</f>
        <v>1.4999999999999999E-2</v>
      </c>
      <c r="G11" s="1850"/>
      <c r="H11" s="1298"/>
      <c r="I11" s="1824" t="s">
        <v>1603</v>
      </c>
      <c r="J11" s="1177"/>
      <c r="K11" s="746"/>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f ca="1">ROUND(C29*F13,0)</f>
        <v>0</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6" t="s">
        <v>1417</v>
      </c>
      <c r="C14" s="362">
        <f ca="1">ROUND(INDIRECT("'数据-取费表'!l"&amp;$G$1)*F43+'数据-取费表'!L14*INDIRECT("'数据-取费表'!S"&amp;$G$1),0)</f>
        <v>0</v>
      </c>
      <c r="D14" s="1799" t="s">
        <v>1418</v>
      </c>
      <c r="E14" s="1793"/>
      <c r="F14" s="363"/>
      <c r="G14" s="1850"/>
      <c r="H14" s="1200" t="s">
        <v>1035</v>
      </c>
      <c r="I14" s="346" t="s">
        <v>1419</v>
      </c>
      <c r="J14" s="24">
        <f ca="1">C29</f>
        <v>0</v>
      </c>
      <c r="K14" s="15"/>
      <c r="L14" s="978"/>
      <c r="M14" s="979"/>
    </row>
    <row r="15" spans="1:37" s="1857" customFormat="1" ht="18" customHeight="1" thickBot="1">
      <c r="A15" s="1200" t="s">
        <v>1036</v>
      </c>
      <c r="B15" s="346" t="s">
        <v>1420</v>
      </c>
      <c r="C15" s="24">
        <f ca="1">ROUND(C14*F15,0)</f>
        <v>0</v>
      </c>
      <c r="D15" s="364" t="s">
        <v>1421</v>
      </c>
      <c r="E15" s="364" t="s">
        <v>1422</v>
      </c>
      <c r="F15" s="365">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f ca="1">ROUND(INDIRECT("'数据-取费表'!l"&amp;$G$1)*F43*F16,0)</f>
        <v>0</v>
      </c>
      <c r="D16" s="346" t="s">
        <v>1421</v>
      </c>
      <c r="E16" s="346" t="s">
        <v>1422</v>
      </c>
      <c r="F16" s="366">
        <f ca="1">IF(INDIRECT("'数据-取费表'!c"&amp;$G$1)="住宅",'数据-取费表'!B34,0)</f>
        <v>0</v>
      </c>
      <c r="G16" s="1850"/>
      <c r="H16" s="1328" t="s">
        <v>1030</v>
      </c>
      <c r="I16" s="1329" t="s">
        <v>1424</v>
      </c>
      <c r="J16" s="354">
        <f ca="1">ROUND(J17+J22+J23+J24,0)</f>
        <v>0</v>
      </c>
      <c r="K16" s="1336" t="s">
        <v>1425</v>
      </c>
      <c r="L16" s="1337"/>
      <c r="M16" s="1293"/>
    </row>
    <row r="17" spans="1:37" s="1857" customFormat="1" ht="18" customHeight="1">
      <c r="A17" s="1200" t="s">
        <v>1390</v>
      </c>
      <c r="B17" s="346" t="s">
        <v>1426</v>
      </c>
      <c r="C17" s="24">
        <f ca="1">ROUND(F17*(F43+INDIRECT("'数据-取费表'!S"&amp;$G$1)),0)</f>
        <v>0</v>
      </c>
      <c r="D17" s="346" t="s">
        <v>1427</v>
      </c>
      <c r="E17" s="346" t="s">
        <v>1428</v>
      </c>
      <c r="F17" s="26">
        <f>'数据-取费表'!B35</f>
        <v>200</v>
      </c>
      <c r="G17" s="1853"/>
      <c r="H17" s="1200" t="s">
        <v>1035</v>
      </c>
      <c r="I17" s="346" t="s">
        <v>1429</v>
      </c>
      <c r="J17" s="24">
        <f ca="1">ROUND(IF(项目基本情况!B11="自然人",J5*M17,J18+J19+J20),0)</f>
        <v>0</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f ca="1">ROUND(C14*F18,0)</f>
        <v>0</v>
      </c>
      <c r="D18" s="346" t="s">
        <v>1421</v>
      </c>
      <c r="E18" s="346" t="s">
        <v>1422</v>
      </c>
      <c r="F18" s="366">
        <f>'数据-取费表'!B36</f>
        <v>1.4999999999999999E-2</v>
      </c>
      <c r="G18" s="1853"/>
      <c r="H18" s="1200" t="s">
        <v>1034</v>
      </c>
      <c r="I18" s="346" t="s">
        <v>1433</v>
      </c>
      <c r="J18" s="24">
        <f ca="1">ROUND(J5*M18/(1+'数据-取费表'!C42),0)</f>
        <v>0</v>
      </c>
      <c r="K18" s="1797"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f ca="1">SUM(C14:C18)</f>
        <v>0</v>
      </c>
      <c r="D19" s="139" t="s">
        <v>1436</v>
      </c>
      <c r="E19" s="1817"/>
      <c r="F19" s="26"/>
      <c r="G19" s="1850"/>
      <c r="H19" s="1200" t="s">
        <v>1036</v>
      </c>
      <c r="I19" s="346" t="s">
        <v>1437</v>
      </c>
      <c r="J19" s="24">
        <f ca="1">IF(K19="按租金收入计税",ROUND(J5*M19,0),ROUND(C29*M19*0.7,0))</f>
        <v>0</v>
      </c>
      <c r="K19" s="1827" t="s">
        <v>1438</v>
      </c>
      <c r="L19" s="346" t="s">
        <v>1422</v>
      </c>
      <c r="M19" s="366">
        <f>IF(K19="按租金收入计税",'数据-取费表'!B51,'数据-取费表'!B50)</f>
        <v>1.2E-2</v>
      </c>
    </row>
    <row r="20" spans="1:37" s="1857" customFormat="1" ht="18" customHeight="1">
      <c r="A20" s="1200" t="s">
        <v>1039</v>
      </c>
      <c r="B20" s="346" t="s">
        <v>1439</v>
      </c>
      <c r="C20" s="24">
        <f ca="1">ROUND(C19*F20,0)</f>
        <v>0</v>
      </c>
      <c r="D20" s="368" t="s">
        <v>1440</v>
      </c>
      <c r="E20" s="346" t="s">
        <v>1422</v>
      </c>
      <c r="F20" s="366">
        <f>'数据-取费表'!B37</f>
        <v>0.02</v>
      </c>
      <c r="G20" s="1853"/>
      <c r="H20" s="1200" t="s">
        <v>1389</v>
      </c>
      <c r="I20" s="163" t="s">
        <v>1441</v>
      </c>
      <c r="J20" s="25">
        <f ca="1">ROUND(M20*M21,0)</f>
        <v>0</v>
      </c>
      <c r="K20" s="369" t="s">
        <v>1442</v>
      </c>
      <c r="L20" s="346" t="s">
        <v>1443</v>
      </c>
      <c r="M20" s="370">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v>
      </c>
      <c r="D21" s="368" t="s">
        <v>1445</v>
      </c>
      <c r="E21" s="346" t="s">
        <v>1446</v>
      </c>
      <c r="F21" s="366">
        <f>'数据-取费表'!B38</f>
        <v>0.03</v>
      </c>
      <c r="G21" s="1853"/>
      <c r="H21" s="371"/>
      <c r="I21" s="355"/>
      <c r="J21" s="29"/>
      <c r="K21" s="372"/>
      <c r="L21" s="346" t="s">
        <v>1447</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7"/>
      <c r="F22" s="26"/>
      <c r="G22" s="1850"/>
      <c r="H22" s="1200" t="s">
        <v>1039</v>
      </c>
      <c r="I22" s="346" t="s">
        <v>1449</v>
      </c>
      <c r="J22" s="24">
        <f ca="1">ROUND(J14*M22,0)</f>
        <v>0</v>
      </c>
      <c r="K22" s="1797" t="s">
        <v>1450</v>
      </c>
      <c r="L22" s="346" t="s">
        <v>1422</v>
      </c>
      <c r="M22" s="373">
        <f ca="1">INDIRECT("'数据-取费表'!Ak"&amp;$G$1)</f>
        <v>0</v>
      </c>
    </row>
    <row r="23" spans="1:37" s="1857" customFormat="1" ht="18" customHeight="1">
      <c r="A23" s="1200"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f ca="1">ROUND(J13*M23,0)</f>
        <v>0</v>
      </c>
      <c r="K23" s="1797" t="s">
        <v>1454</v>
      </c>
      <c r="L23" s="346" t="s">
        <v>1455</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6" t="s">
        <v>1461</v>
      </c>
      <c r="C25" s="24"/>
      <c r="D25" s="139" t="s">
        <v>1462</v>
      </c>
      <c r="E25" s="1817"/>
      <c r="F25" s="26"/>
      <c r="G25" s="1850"/>
      <c r="H25" s="1328" t="s">
        <v>1031</v>
      </c>
      <c r="I25" s="1343" t="s">
        <v>1463</v>
      </c>
      <c r="J25" s="354">
        <f ca="1">J5-J16</f>
        <v>0</v>
      </c>
      <c r="K25" s="1344" t="s">
        <v>1464</v>
      </c>
      <c r="L25" s="1345"/>
      <c r="M25" s="1346"/>
    </row>
    <row r="26" spans="1:37" ht="18" customHeight="1">
      <c r="A26" s="1200" t="s">
        <v>1034</v>
      </c>
      <c r="B26" s="346" t="s">
        <v>1465</v>
      </c>
      <c r="C26" s="24">
        <f ca="1">ROUND((C19+C20)*F26,0)</f>
        <v>0</v>
      </c>
      <c r="D26" s="368" t="s">
        <v>1466</v>
      </c>
      <c r="E26" s="357" t="s">
        <v>1467</v>
      </c>
      <c r="F26" s="356">
        <f ca="1">INDIRECT("'数据-取费表'!q"&amp;$G$1)</f>
        <v>0</v>
      </c>
      <c r="G26" s="1850"/>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0" t="s">
        <v>1036</v>
      </c>
      <c r="B27" s="346" t="s">
        <v>1471</v>
      </c>
      <c r="C27" s="24">
        <f ca="1">ROUND(F21*F26,4)</f>
        <v>0</v>
      </c>
      <c r="D27" s="368" t="s">
        <v>1472</v>
      </c>
      <c r="E27" s="364"/>
      <c r="F27" s="365"/>
      <c r="G27" s="1850"/>
      <c r="H27" s="348"/>
      <c r="I27" s="349"/>
      <c r="J27" s="350"/>
      <c r="K27" s="377" t="s">
        <v>1473</v>
      </c>
      <c r="L27" s="346" t="s">
        <v>1474</v>
      </c>
      <c r="M27" s="378">
        <f ca="1">INDIRECT("'数据-取费表'!ag"&amp;$G$1)</f>
        <v>0</v>
      </c>
    </row>
    <row r="28" spans="1:37" s="1857" customFormat="1" ht="18" customHeight="1">
      <c r="A28" s="1200" t="s">
        <v>1037</v>
      </c>
      <c r="B28" s="346" t="s">
        <v>1475</v>
      </c>
      <c r="C28" s="24">
        <f>ROUND(F28/(1+'数据-取费表'!C42),4)</f>
        <v>5.33E-2</v>
      </c>
      <c r="D28" s="368" t="s">
        <v>1476</v>
      </c>
      <c r="E28" s="346" t="s">
        <v>1422</v>
      </c>
      <c r="F28" s="366">
        <f>'数据-取费表'!B41</f>
        <v>5.6000000000000001E-2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9" t="s">
        <v>1033</v>
      </c>
      <c r="I29" s="380" t="s">
        <v>1479</v>
      </c>
      <c r="J29" s="381">
        <f ca="1">ROUND(J26/(1+F40)^F41,0)</f>
        <v>0</v>
      </c>
      <c r="K29" s="382" t="s">
        <v>1480</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f ca="1">ROUND(C31+C36+C37+C38,0)</f>
        <v>0</v>
      </c>
      <c r="D30" s="1336" t="s">
        <v>1425</v>
      </c>
      <c r="E30" s="1337"/>
      <c r="F30" s="1293"/>
      <c r="G30" s="1850"/>
      <c r="H30" s="743"/>
      <c r="I30" s="744"/>
      <c r="J30" s="745"/>
      <c r="K30" s="746"/>
      <c r="L30" s="747"/>
      <c r="M30" s="748"/>
    </row>
    <row r="31" spans="1:37" ht="18" customHeight="1">
      <c r="A31" s="1200" t="s">
        <v>1035</v>
      </c>
      <c r="B31" s="346" t="s">
        <v>1429</v>
      </c>
      <c r="C31" s="24">
        <f ca="1">ROUND(IF(项目基本情况!B11="自然人",C5*F31,C32+C33+C34),0)</f>
        <v>0</v>
      </c>
      <c r="D31" s="1799" t="s">
        <v>1430</v>
      </c>
      <c r="E31" s="1797" t="s">
        <v>1481</v>
      </c>
      <c r="F31" s="367" t="str">
        <f ca="1">IF(项目基本情况!B11="企业","",IF(INDIRECT("'数据-取费表'!c"&amp;$G$1)="住宅",5%,IF(F6*F7*F8/12/(1+'数据-取费表'!C42)&gt;20000,12%,7%)))</f>
        <v/>
      </c>
      <c r="G31" s="1850"/>
      <c r="H31" s="743"/>
      <c r="I31" s="744"/>
      <c r="J31" s="745"/>
      <c r="K31" s="746"/>
      <c r="L31" s="747"/>
      <c r="M31" s="748"/>
    </row>
    <row r="32" spans="1:37" ht="18" customHeight="1">
      <c r="A32" s="1200" t="s">
        <v>1034</v>
      </c>
      <c r="B32" s="346" t="s">
        <v>1433</v>
      </c>
      <c r="C32" s="24">
        <f ca="1">IF(项目基本情况!B11="自然人","——",ROUND(C5*F32/(1+'数据-取费表'!C42),0))</f>
        <v>0</v>
      </c>
      <c r="D32" s="1797" t="s">
        <v>1434</v>
      </c>
      <c r="E32" s="346" t="s">
        <v>1422</v>
      </c>
      <c r="F32" s="376">
        <f>'数据-取费表'!B41</f>
        <v>5.6000000000000001E-2</v>
      </c>
      <c r="G32" s="1850"/>
      <c r="H32" s="743"/>
      <c r="I32" s="744"/>
      <c r="J32" s="745"/>
      <c r="K32" s="746"/>
      <c r="L32" s="747"/>
      <c r="M32" s="748"/>
    </row>
    <row r="33" spans="1:18" ht="18" customHeight="1">
      <c r="A33" s="1200" t="s">
        <v>1036</v>
      </c>
      <c r="B33" s="346" t="s">
        <v>1437</v>
      </c>
      <c r="C33" s="24">
        <f ca="1">IF(项目基本情况!B11="自然人","——",IF(D33="按租金收入计税",ROUND(C5*F33,0),IF(D33="按房产原值计税",ROUND(C29*F33*0.7,0),INDIRECT("'数据-取费表'!Aj"&amp;$G$1))))</f>
        <v>0</v>
      </c>
      <c r="D33" s="1827" t="s">
        <v>1438</v>
      </c>
      <c r="E33" s="346" t="s">
        <v>1422</v>
      </c>
      <c r="F33" s="366">
        <f>IF(D33="按票据","——",IF(D33="按租金收入计税",'数据-取费表'!B51,'数据-取费表'!B50))</f>
        <v>1.2E-2</v>
      </c>
      <c r="G33" s="1850"/>
      <c r="H33" s="1858"/>
      <c r="I33" s="1859"/>
      <c r="J33" s="1860"/>
      <c r="K33" s="1861"/>
      <c r="L33" s="1858"/>
      <c r="M33" s="1858"/>
    </row>
    <row r="34" spans="1:18" ht="18" customHeight="1">
      <c r="A34" s="1290" t="s">
        <v>1389</v>
      </c>
      <c r="B34" s="163" t="s">
        <v>1441</v>
      </c>
      <c r="C34" s="25">
        <f ca="1">IF(项目基本情况!B11="自然人","——",ROUND(F34*F35,))</f>
        <v>0</v>
      </c>
      <c r="D34" s="369" t="s">
        <v>1442</v>
      </c>
      <c r="E34" s="346" t="s">
        <v>1443</v>
      </c>
      <c r="F34" s="370">
        <f>'数据-取费表'!B52</f>
        <v>9</v>
      </c>
      <c r="G34" s="1850"/>
      <c r="H34" s="743"/>
      <c r="I34" s="1859"/>
      <c r="J34" s="1860"/>
      <c r="K34" s="1862"/>
      <c r="L34" s="1863"/>
      <c r="M34" s="1863"/>
    </row>
    <row r="35" spans="1:18" ht="18" customHeight="1">
      <c r="A35" s="1352"/>
      <c r="B35" s="1350"/>
      <c r="C35" s="29"/>
      <c r="D35" s="372"/>
      <c r="E35" s="346" t="s">
        <v>1447</v>
      </c>
      <c r="F35" s="347">
        <f ca="1">INDIRECT("'数据-取费表'!r"&amp;$G$1)</f>
        <v>0</v>
      </c>
      <c r="G35" s="1850"/>
      <c r="H35" s="743"/>
      <c r="I35" s="1859"/>
      <c r="J35" s="1860"/>
      <c r="K35" s="1861"/>
      <c r="L35" s="1858"/>
      <c r="M35" s="1858"/>
    </row>
    <row r="36" spans="1:18" ht="18" customHeight="1">
      <c r="A36" s="1351" t="s">
        <v>1039</v>
      </c>
      <c r="B36" s="346" t="s">
        <v>1449</v>
      </c>
      <c r="C36" s="24">
        <f ca="1">ROUND(C29*F36,0)</f>
        <v>0</v>
      </c>
      <c r="D36" s="1797" t="s">
        <v>1482</v>
      </c>
      <c r="E36" s="346" t="s">
        <v>1422</v>
      </c>
      <c r="F36" s="373">
        <f ca="1">INDIRECT("'数据-取费表'!Ak"&amp;$G$1)</f>
        <v>0</v>
      </c>
      <c r="G36" s="1850"/>
      <c r="H36" s="1858"/>
      <c r="I36" s="1859"/>
      <c r="J36" s="1860"/>
      <c r="K36" s="749"/>
      <c r="L36" s="1858"/>
      <c r="M36" s="1858"/>
    </row>
    <row r="37" spans="1:18" ht="18" customHeight="1">
      <c r="A37" s="1200" t="s">
        <v>1075</v>
      </c>
      <c r="B37" s="346" t="s">
        <v>1453</v>
      </c>
      <c r="C37" s="24">
        <f ca="1">ROUND(C13*F37,0)</f>
        <v>0</v>
      </c>
      <c r="D37" s="1797" t="s">
        <v>1454</v>
      </c>
      <c r="E37" s="346" t="s">
        <v>1455</v>
      </c>
      <c r="F37" s="375">
        <f ca="1">INDIRECT("'数据-取费表'!Al"&amp;$G$1)</f>
        <v>0</v>
      </c>
      <c r="G37" s="1850"/>
      <c r="H37" s="1858"/>
      <c r="I37" s="1859"/>
      <c r="J37" s="1860"/>
      <c r="K37" s="749"/>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4">
        <f ca="1">C5-C30</f>
        <v>0</v>
      </c>
      <c r="D39" s="1344" t="s">
        <v>1484</v>
      </c>
      <c r="E39" s="1345"/>
      <c r="F39" s="1346"/>
      <c r="G39" s="1850"/>
      <c r="H39" s="1858"/>
      <c r="I39" s="1859"/>
      <c r="J39" s="1860"/>
      <c r="K39" s="1864"/>
      <c r="L39" s="1858"/>
      <c r="M39" s="1858"/>
    </row>
    <row r="40" spans="1:18" ht="18" customHeight="1">
      <c r="A40" s="343" t="s">
        <v>1032</v>
      </c>
      <c r="B40" s="344" t="s">
        <v>1485</v>
      </c>
      <c r="C40" s="345">
        <f ca="1">ROUND(C39*(1-((1+F42)/(1+F40))^F41)/(F40-F42),0)</f>
        <v>0</v>
      </c>
      <c r="D40" s="369" t="s">
        <v>1469</v>
      </c>
      <c r="E40" s="346" t="s">
        <v>1470</v>
      </c>
      <c r="F40" s="356">
        <f ca="1">INDIRECT("'数据-取费表'!I"&amp;$G$1)</f>
        <v>4.4999999999999998E-2</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0</v>
      </c>
      <c r="G41" s="1850"/>
      <c r="H41" s="730"/>
      <c r="I41" s="1859"/>
      <c r="J41" s="1860"/>
      <c r="K41" s="749"/>
      <c r="L41" s="730"/>
      <c r="M41" s="730"/>
    </row>
    <row r="42" spans="1:18" ht="18" customHeight="1">
      <c r="A42" s="352"/>
      <c r="B42" s="353"/>
      <c r="C42" s="354"/>
      <c r="D42" s="372"/>
      <c r="E42" s="346" t="s">
        <v>1477</v>
      </c>
      <c r="F42" s="356">
        <f ca="1">INDIRECT("'数据-取费表'!v"&amp;$G$1)</f>
        <v>0.03</v>
      </c>
      <c r="G42" s="1850"/>
      <c r="H42" s="730"/>
      <c r="I42" s="1859"/>
      <c r="J42" s="1860"/>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1604</v>
      </c>
      <c r="E45" s="1865"/>
      <c r="F45" s="1865"/>
      <c r="O45" s="1868" t="s">
        <v>1519</v>
      </c>
      <c r="P45" s="1838"/>
      <c r="Q45" s="1838"/>
      <c r="R45" s="1838"/>
    </row>
    <row r="46" spans="1:18" s="1841" customFormat="1" ht="13.5" thickBot="1">
      <c r="A46" s="1869" t="s">
        <v>1520</v>
      </c>
      <c r="C46" s="1870">
        <f ca="1">ROUND(C45/10000,0)</f>
        <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0"/>
      <c r="I47" s="1879" t="s">
        <v>1526</v>
      </c>
      <c r="J47" s="1880"/>
      <c r="K47" s="1881" t="s">
        <v>1527</v>
      </c>
      <c r="L47" s="1882">
        <f ca="1">INDIRECT("'数据-取费表'!d"&amp;$G$1)</f>
        <v>40</v>
      </c>
      <c r="M47" s="1837" t="str">
        <f>IF(ISNUMBER(FIND("住宅",C1)),"住宅","非住宅")</f>
        <v>非住宅</v>
      </c>
      <c r="O47" s="1883" t="s">
        <v>1040</v>
      </c>
      <c r="P47" s="1884" t="s">
        <v>1528</v>
      </c>
      <c r="Q47" s="1885">
        <f ca="1">C40+J29</f>
        <v>0</v>
      </c>
      <c r="R47" s="1885" t="s">
        <v>1529</v>
      </c>
    </row>
    <row r="48" spans="1:18" s="1841" customFormat="1" ht="28.5" thickBot="1">
      <c r="A48" s="1359" t="s">
        <v>1135</v>
      </c>
      <c r="B48" s="344" t="s">
        <v>1401</v>
      </c>
      <c r="C48" s="1816">
        <f ca="1">C49+C53+C55</f>
        <v>0</v>
      </c>
      <c r="D48" s="1361"/>
      <c r="E48" s="1362"/>
      <c r="F48" s="1180"/>
      <c r="G48" s="790"/>
      <c r="H48" s="791"/>
      <c r="I48" s="1886" t="s">
        <v>1530</v>
      </c>
      <c r="J48" s="1887"/>
      <c r="K48" s="1888" t="s">
        <v>1531</v>
      </c>
      <c r="L48" s="1889">
        <f ca="1">INDIRECT("'数据-取费表'!f"&amp;$G$1)</f>
        <v>36.99</v>
      </c>
      <c r="O48" s="1883" t="s">
        <v>1041</v>
      </c>
      <c r="P48" s="1884" t="s">
        <v>1532</v>
      </c>
      <c r="Q48" s="1885" t="str">
        <f ca="1">J60</f>
        <v>0</v>
      </c>
      <c r="R48" s="1885" t="s">
        <v>1533</v>
      </c>
    </row>
    <row r="49" spans="1:18" s="1841" customFormat="1" ht="13.5" thickBot="1">
      <c r="A49" s="1193" t="s">
        <v>1136</v>
      </c>
      <c r="B49" s="1828" t="s">
        <v>1490</v>
      </c>
      <c r="C49" s="1363">
        <f ca="1">ROUND(F49*F51*F50*(1-F52),0)</f>
        <v>0</v>
      </c>
      <c r="D49" s="1275" t="s">
        <v>1404</v>
      </c>
      <c r="E49" s="1829" t="s">
        <v>1491</v>
      </c>
      <c r="F49" s="1280"/>
      <c r="G49" s="1890"/>
      <c r="H49" s="791"/>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1"/>
      <c r="I50" s="1886" t="s">
        <v>1537</v>
      </c>
      <c r="J50" s="1894">
        <f>SUMPRODUCT((I63:I65=J47)*(J62:L62=J48)*(J63:L65))</f>
        <v>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7">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8" t="s">
        <v>1409</v>
      </c>
      <c r="C53" s="360">
        <f ca="1">ROUND(IF(F53="押一",C49/12*F11,IF(F53="押二",C49/12*2*F11,IF(F53="押三",C49/12*3*F11,C54*F11))),0)</f>
        <v>0</v>
      </c>
      <c r="D53" s="1823" t="s">
        <v>3036</v>
      </c>
      <c r="E53" s="357" t="s">
        <v>1410</v>
      </c>
      <c r="F53" s="1365"/>
      <c r="I53" s="1904" t="s">
        <v>1547</v>
      </c>
      <c r="J53" s="1905" t="b">
        <f>IF(M47="住宅",IF(D1="——",MAX(J51,L48),IF(D1="在建（套用方法）",MAX(J51,L48-'数据-取费表'!B24),MAX(J51,L48-'数据-取费表'!B20))),IF(D1="——",MIN(J51,L48),IF(D1="在建（套用方法）",MIN(J51,L48-'数据-取费表'!B24),IF(D1="土地（套用方法）",MIN(J51,L48-'数据-取费表'!B20)))))</f>
        <v>0</v>
      </c>
      <c r="K53" s="3303" t="s">
        <v>1548</v>
      </c>
      <c r="L53" s="3304"/>
      <c r="O53" s="1883" t="s">
        <v>1046</v>
      </c>
      <c r="P53" s="1884" t="s">
        <v>1549</v>
      </c>
      <c r="Q53" s="1885">
        <f ca="1">Q47+Q48</f>
        <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5">
        <v>2</v>
      </c>
      <c r="B56" s="1176" t="s">
        <v>1414</v>
      </c>
      <c r="C56" s="275">
        <f ca="1">C13</f>
        <v>0</v>
      </c>
      <c r="D56" s="1913"/>
      <c r="E56" s="1914"/>
      <c r="F56" s="1906"/>
      <c r="I56" s="1915" t="s">
        <v>1554</v>
      </c>
      <c r="J56" s="1916"/>
      <c r="K56" s="1886" t="s">
        <v>1555</v>
      </c>
      <c r="L56" s="1889">
        <f ca="1">IF(L48&lt;J51,"——",L48-J51)</f>
        <v>36.99</v>
      </c>
      <c r="O56" s="1883" t="s">
        <v>1040</v>
      </c>
      <c r="P56" s="1884" t="s">
        <v>1528</v>
      </c>
      <c r="Q56" s="1885">
        <f ca="1">C40+J29</f>
        <v>0</v>
      </c>
      <c r="R56" s="1885" t="s">
        <v>1529</v>
      </c>
    </row>
    <row r="57" spans="1:18" s="1841" customFormat="1" ht="24.75" thickBot="1">
      <c r="A57" s="1917"/>
      <c r="B57" s="1168" t="s">
        <v>1478</v>
      </c>
      <c r="C57" s="281">
        <f ca="1">C29</f>
        <v>0</v>
      </c>
      <c r="D57" s="1918"/>
      <c r="E57" s="1919"/>
      <c r="F57" s="1920"/>
      <c r="I57" s="1921" t="s">
        <v>1556</v>
      </c>
      <c r="J57" s="1922" t="str">
        <f ca="1">IF(OR(M47="住宅",J51&lt;L48,J56="是"),"——",J51-L48)</f>
        <v>——</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59" t="s">
        <v>1030</v>
      </c>
      <c r="B58" s="1176" t="s">
        <v>1424</v>
      </c>
      <c r="C58" s="360">
        <f ca="1">ROUND(C59+C64+C65+C66,0)</f>
        <v>0</v>
      </c>
      <c r="D58" s="1178" t="s">
        <v>1425</v>
      </c>
      <c r="E58" s="1179"/>
      <c r="F58" s="1180"/>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7"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6">
        <f t="shared" ref="F60:F66" si="0">F32</f>
        <v>5.6000000000000001E-2</v>
      </c>
      <c r="I60" s="1924" t="s">
        <v>1565</v>
      </c>
      <c r="J60" s="1925" t="str">
        <f ca="1">IF(OR(M47="住宅",J51&lt;L48,J56="是"),"0",ROUND(J59/(1+J52)^J53,0))</f>
        <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6">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0">
        <f t="shared" si="0"/>
        <v>9</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1"/>
      <c r="B63" s="1174"/>
      <c r="C63" s="29"/>
      <c r="D63" s="1184"/>
      <c r="E63" s="1168" t="s">
        <v>1499</v>
      </c>
      <c r="F63" s="347">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3">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5">
        <f t="shared" ca="1" si="0"/>
        <v>0</v>
      </c>
      <c r="I65" s="1928" t="s">
        <v>1579</v>
      </c>
      <c r="J65" s="1929">
        <v>40</v>
      </c>
      <c r="K65" s="1929">
        <v>30</v>
      </c>
      <c r="L65" s="1929">
        <v>50</v>
      </c>
      <c r="M65" s="1931">
        <v>0.02</v>
      </c>
      <c r="O65" s="1883" t="s">
        <v>1040</v>
      </c>
      <c r="P65" s="1884" t="s">
        <v>1580</v>
      </c>
      <c r="Q65" s="1885">
        <f ca="1">C40+J29</f>
        <v>0</v>
      </c>
      <c r="R65" s="1885" t="s">
        <v>1529</v>
      </c>
    </row>
    <row r="66" spans="1:18" s="1841" customFormat="1" ht="16.5" thickBot="1">
      <c r="A66" s="1200" t="s">
        <v>1504</v>
      </c>
      <c r="B66" s="1168" t="s">
        <v>1439</v>
      </c>
      <c r="C66" s="24">
        <f ca="1">ROUND(C48*F66,0)</f>
        <v>0</v>
      </c>
      <c r="D66" s="1182" t="s">
        <v>1505</v>
      </c>
      <c r="E66" s="1168" t="s">
        <v>1422</v>
      </c>
      <c r="F66" s="356">
        <f t="shared" ca="1" si="0"/>
        <v>0</v>
      </c>
      <c r="O66" s="1883" t="s">
        <v>1041</v>
      </c>
      <c r="P66" s="1884" t="s">
        <v>1558</v>
      </c>
      <c r="Q66" s="1885" t="e">
        <f ca="1">L60</f>
        <v>#DIV/0!</v>
      </c>
      <c r="R66" s="1885" t="s">
        <v>1581</v>
      </c>
    </row>
    <row r="67" spans="1:18" s="1841" customFormat="1" ht="16.5" thickBot="1">
      <c r="A67" s="1175" t="s">
        <v>1031</v>
      </c>
      <c r="B67" s="1185" t="s">
        <v>1463</v>
      </c>
      <c r="C67" s="360">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5">
        <f ca="1">ROUND(C67*(1-((1+F70)/(1+F68))^F69)/(F68-F70),0)</f>
        <v>0</v>
      </c>
      <c r="D68" s="1183" t="s">
        <v>1469</v>
      </c>
      <c r="E68" s="1168" t="s">
        <v>1470</v>
      </c>
      <c r="F68" s="356">
        <f ca="1">F40</f>
        <v>4.4999999999999998E-2</v>
      </c>
      <c r="O68" s="1893" t="s">
        <v>1043</v>
      </c>
      <c r="P68" s="1933" t="s">
        <v>1583</v>
      </c>
      <c r="Q68" s="1885">
        <f ca="1">ROUND(Q69-Q70*Q71,0)</f>
        <v>0</v>
      </c>
      <c r="R68" s="1885" t="s">
        <v>1051</v>
      </c>
    </row>
    <row r="69" spans="1:18" s="1841" customFormat="1" ht="13.5" thickBot="1">
      <c r="A69" s="1169"/>
      <c r="B69" s="1170"/>
      <c r="C69" s="350"/>
      <c r="D69" s="1188" t="s">
        <v>1473</v>
      </c>
      <c r="E69" s="1168" t="s">
        <v>1474</v>
      </c>
      <c r="F69" s="378">
        <f ca="1">F41</f>
        <v>0</v>
      </c>
      <c r="O69" s="1893" t="s">
        <v>1048</v>
      </c>
      <c r="P69" s="1933" t="s">
        <v>1584</v>
      </c>
      <c r="Q69" s="1885">
        <f ca="1">C39</f>
        <v>0</v>
      </c>
      <c r="R69" s="1885" t="s">
        <v>1529</v>
      </c>
    </row>
    <row r="70" spans="1:18" s="1841" customFormat="1" ht="13.5" thickBot="1">
      <c r="A70" s="1172"/>
      <c r="B70" s="1173"/>
      <c r="C70" s="354"/>
      <c r="D70" s="1184"/>
      <c r="E70" s="1168" t="s">
        <v>1477</v>
      </c>
      <c r="F70" s="1274">
        <f ca="1">F42</f>
        <v>0.03</v>
      </c>
      <c r="O70" s="1893" t="s">
        <v>1049</v>
      </c>
      <c r="P70" s="1933" t="s">
        <v>1585</v>
      </c>
      <c r="Q70" s="1885">
        <f ca="1">C13</f>
        <v>0</v>
      </c>
      <c r="R70" s="1885" t="s">
        <v>1529</v>
      </c>
    </row>
    <row r="71" spans="1:18" s="1841" customFormat="1" ht="13.5" thickBot="1">
      <c r="A71" s="1189" t="s">
        <v>1033</v>
      </c>
      <c r="B71" s="1190" t="s">
        <v>1487</v>
      </c>
      <c r="C71" s="381" t="e">
        <f ca="1">ROUND(C68/F71,0)</f>
        <v>#DIV/0!</v>
      </c>
      <c r="D71" s="1191" t="s">
        <v>1488</v>
      </c>
      <c r="E71" s="1192" t="s">
        <v>1489</v>
      </c>
      <c r="F71" s="384">
        <f ca="1">F43</f>
        <v>0</v>
      </c>
      <c r="O71" s="1893" t="s">
        <v>1050</v>
      </c>
      <c r="P71" s="1933" t="s">
        <v>1586</v>
      </c>
      <c r="Q71" s="1896">
        <f ca="1">C76</f>
        <v>8.5000000000000006E-2</v>
      </c>
      <c r="R71" s="1885"/>
    </row>
    <row r="72" spans="1:18" s="1841" customFormat="1" ht="13.5" thickBot="1">
      <c r="B72" s="794"/>
      <c r="C72" s="794"/>
      <c r="O72" s="1893" t="s">
        <v>1044</v>
      </c>
      <c r="P72" s="1884" t="s">
        <v>1564</v>
      </c>
      <c r="Q72" s="1896">
        <f>L52</f>
        <v>0</v>
      </c>
      <c r="R72" s="1885"/>
    </row>
    <row r="73" spans="1:18" ht="16.5" thickBot="1">
      <c r="A73" s="1841"/>
      <c r="B73" s="794"/>
      <c r="C73" s="794"/>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5" t="s">
        <v>1506</v>
      </c>
      <c r="C75" s="386">
        <f ca="1">ROUND(C13*C76,0)</f>
        <v>0</v>
      </c>
      <c r="D75" s="1841"/>
      <c r="E75" s="1841"/>
      <c r="F75" s="1841"/>
      <c r="K75" s="1867"/>
      <c r="L75" s="1841"/>
      <c r="O75" s="1883" t="s">
        <v>1046</v>
      </c>
      <c r="P75" s="1884" t="s">
        <v>1549</v>
      </c>
      <c r="Q75" s="1885" t="e">
        <f ca="1">Q65+Q66</f>
        <v>#DIV/0!</v>
      </c>
      <c r="R75" s="1885" t="s">
        <v>1047</v>
      </c>
    </row>
    <row r="76" spans="1:18">
      <c r="B76" s="387" t="s">
        <v>1507</v>
      </c>
      <c r="C76" s="388">
        <f ca="1">INDIRECT("'数据-取费表'!j"&amp;$G$1)</f>
        <v>8.5000000000000006E-2</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2518</v>
      </c>
      <c r="B1" s="2559"/>
      <c r="C1" s="2559"/>
      <c r="D1" s="2559"/>
      <c r="E1" s="2560"/>
    </row>
    <row r="2" spans="1:6" ht="15.75">
      <c r="A2" s="2561" t="s">
        <v>2322</v>
      </c>
      <c r="B2" s="2562">
        <f ca="1">SUMIF(B6:B13,"&lt;&gt;#ref!",B6:B13)</f>
        <v>96603</v>
      </c>
      <c r="C2" s="2563" t="s">
        <v>2511</v>
      </c>
      <c r="D2" s="2564" t="s">
        <v>2512</v>
      </c>
      <c r="E2" s="2565">
        <f>SUM(E6:E13)</f>
        <v>40503.600000000006</v>
      </c>
    </row>
    <row r="3" spans="1:6" ht="15.75">
      <c r="A3" s="2561" t="s">
        <v>1395</v>
      </c>
      <c r="B3" s="2562">
        <f ca="1">ROUND(B2*10000/E2,0)</f>
        <v>23850</v>
      </c>
      <c r="C3" s="2563" t="s">
        <v>2519</v>
      </c>
      <c r="D3" s="2566"/>
      <c r="E3" s="2567"/>
    </row>
    <row r="4" spans="1:6" ht="15.75">
      <c r="A4" s="2568"/>
      <c r="B4" s="2566"/>
      <c r="C4" s="2566"/>
      <c r="D4" s="2566"/>
      <c r="E4" s="2567"/>
    </row>
    <row r="5" spans="1:6" ht="15">
      <c r="A5" s="2569" t="s">
        <v>2513</v>
      </c>
      <c r="B5" s="3308" t="s">
        <v>2514</v>
      </c>
      <c r="C5" s="3308"/>
      <c r="D5" s="2570"/>
      <c r="E5" s="2571" t="s">
        <v>2515</v>
      </c>
      <c r="F5" s="2572" t="s">
        <v>2516</v>
      </c>
    </row>
    <row r="6" spans="1:6">
      <c r="A6" s="2573" t="str">
        <f>'数据-取费表'!AN6</f>
        <v>商业收益法</v>
      </c>
      <c r="B6" s="2572">
        <f ca="1">IF(F6="是",'数据-取费表'!AO6,0)</f>
        <v>30202</v>
      </c>
      <c r="C6" s="2563" t="s">
        <v>2511</v>
      </c>
      <c r="D6" s="2566"/>
      <c r="E6" s="2574">
        <f>IF(OR(A6=0,F6="否"),0,'数据-取费表'!K6+'数据-取费表'!S6)</f>
        <v>10500.04</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t="str">
        <f>'数据-取费表'!AN9</f>
        <v>办公收益法</v>
      </c>
      <c r="B9" s="2572">
        <f ca="1">IF(F9="是",'数据-取费表'!AO9,0)</f>
        <v>66401</v>
      </c>
      <c r="C9" s="2563" t="s">
        <v>2511</v>
      </c>
      <c r="D9" s="2566"/>
      <c r="E9" s="2574">
        <f>IF(OR(A9=0,F9="否"),0,'数据-取费表'!K9+'数据-取费表'!S9)</f>
        <v>30003.56</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9" t="s">
        <v>1076</v>
      </c>
      <c r="B1" s="3310"/>
      <c r="C1" s="3311"/>
      <c r="D1" s="3312">
        <f>SUM(I10,I15,I20,I21,I23)</f>
        <v>0</v>
      </c>
      <c r="E1" s="3312"/>
      <c r="F1" s="3312"/>
      <c r="G1" s="3312"/>
      <c r="H1" s="3312"/>
      <c r="I1" s="3313"/>
    </row>
    <row r="2" spans="1:9">
      <c r="A2" s="3314" t="s">
        <v>1077</v>
      </c>
      <c r="B2" s="3315" t="s">
        <v>1078</v>
      </c>
      <c r="C2" s="3315"/>
      <c r="D2" s="1300" t="s">
        <v>1079</v>
      </c>
      <c r="E2" s="1300" t="s">
        <v>1080</v>
      </c>
      <c r="F2" s="1300" t="s">
        <v>1081</v>
      </c>
      <c r="G2" s="1300" t="s">
        <v>1082</v>
      </c>
      <c r="H2" s="1300" t="s">
        <v>1083</v>
      </c>
      <c r="I2" s="1301" t="s">
        <v>1084</v>
      </c>
    </row>
    <row r="3" spans="1:9">
      <c r="A3" s="3314"/>
      <c r="B3" s="3315" t="s">
        <v>1085</v>
      </c>
      <c r="C3" s="3315"/>
      <c r="D3" s="1302"/>
      <c r="E3" s="1300"/>
      <c r="F3" s="1303"/>
      <c r="G3" s="1303"/>
      <c r="H3" s="1304"/>
      <c r="I3" s="1305">
        <f>ROUND(D3*E3*F3*G3*H3/10000,0)</f>
        <v>0</v>
      </c>
    </row>
    <row r="4" spans="1:9">
      <c r="A4" s="3314"/>
      <c r="B4" s="3315" t="s">
        <v>1086</v>
      </c>
      <c r="C4" s="3315"/>
      <c r="D4" s="1302"/>
      <c r="E4" s="1300"/>
      <c r="F4" s="1303"/>
      <c r="G4" s="1303"/>
      <c r="H4" s="1304"/>
      <c r="I4" s="1305">
        <f t="shared" ref="I4:I9" si="0">ROUND(D4*E4*F4*G4*H4/10000,0)</f>
        <v>0</v>
      </c>
    </row>
    <row r="5" spans="1:9">
      <c r="A5" s="3314"/>
      <c r="B5" s="3315" t="s">
        <v>1087</v>
      </c>
      <c r="C5" s="3315"/>
      <c r="D5" s="1302"/>
      <c r="E5" s="1300"/>
      <c r="F5" s="1303"/>
      <c r="G5" s="1303"/>
      <c r="H5" s="1304"/>
      <c r="I5" s="1305">
        <f t="shared" si="0"/>
        <v>0</v>
      </c>
    </row>
    <row r="6" spans="1:9">
      <c r="A6" s="3314"/>
      <c r="B6" s="3315" t="s">
        <v>1088</v>
      </c>
      <c r="C6" s="3315"/>
      <c r="D6" s="1302"/>
      <c r="E6" s="1300"/>
      <c r="F6" s="1303"/>
      <c r="G6" s="1303"/>
      <c r="H6" s="1304"/>
      <c r="I6" s="1305">
        <f t="shared" si="0"/>
        <v>0</v>
      </c>
    </row>
    <row r="7" spans="1:9">
      <c r="A7" s="3314"/>
      <c r="B7" s="3315" t="s">
        <v>1089</v>
      </c>
      <c r="C7" s="3315"/>
      <c r="D7" s="1302"/>
      <c r="E7" s="1300"/>
      <c r="F7" s="1303"/>
      <c r="G7" s="1303"/>
      <c r="H7" s="1304"/>
      <c r="I7" s="1305">
        <f t="shared" si="0"/>
        <v>0</v>
      </c>
    </row>
    <row r="8" spans="1:9">
      <c r="A8" s="3314"/>
      <c r="B8" s="3315" t="s">
        <v>1090</v>
      </c>
      <c r="C8" s="3315"/>
      <c r="D8" s="1302"/>
      <c r="E8" s="1300"/>
      <c r="F8" s="1303"/>
      <c r="G8" s="1303"/>
      <c r="H8" s="1304"/>
      <c r="I8" s="1305">
        <f t="shared" si="0"/>
        <v>0</v>
      </c>
    </row>
    <row r="9" spans="1:9">
      <c r="A9" s="3314"/>
      <c r="B9" s="3315" t="s">
        <v>1091</v>
      </c>
      <c r="C9" s="3315"/>
      <c r="D9" s="1302"/>
      <c r="E9" s="1300"/>
      <c r="F9" s="1303"/>
      <c r="G9" s="1303"/>
      <c r="H9" s="1304"/>
      <c r="I9" s="1305">
        <f t="shared" si="0"/>
        <v>0</v>
      </c>
    </row>
    <row r="10" spans="1:9">
      <c r="A10" s="3314"/>
      <c r="B10" s="3316" t="s">
        <v>1092</v>
      </c>
      <c r="C10" s="3316"/>
      <c r="D10" s="1306"/>
      <c r="E10" s="1306" t="e">
        <f>ROUND(D1*10000/D10/H9,0)</f>
        <v>#DIV/0!</v>
      </c>
      <c r="F10" s="1307"/>
      <c r="G10" s="1307"/>
      <c r="H10" s="1308"/>
      <c r="I10" s="1309">
        <f>SUM(I3:I9)</f>
        <v>0</v>
      </c>
    </row>
    <row r="11" spans="1:9" ht="14.25">
      <c r="A11" s="3314" t="s">
        <v>1093</v>
      </c>
      <c r="B11" s="3315" t="s">
        <v>1094</v>
      </c>
      <c r="C11" s="3315"/>
      <c r="D11" s="1302" t="s">
        <v>1095</v>
      </c>
      <c r="E11" s="1302" t="s">
        <v>1096</v>
      </c>
      <c r="F11" s="1303" t="s">
        <v>1097</v>
      </c>
      <c r="G11" s="1303" t="s">
        <v>1083</v>
      </c>
      <c r="H11" s="1310" t="s">
        <v>1098</v>
      </c>
      <c r="I11" s="1301" t="s">
        <v>1084</v>
      </c>
    </row>
    <row r="12" spans="1:9">
      <c r="A12" s="3314"/>
      <c r="B12" s="3315" t="s">
        <v>1099</v>
      </c>
      <c r="C12" s="3315"/>
      <c r="D12" s="1302"/>
      <c r="E12" s="1302"/>
      <c r="F12" s="1303"/>
      <c r="G12" s="1304"/>
      <c r="H12" s="1311"/>
      <c r="I12" s="1301">
        <f>ROUND(D12*E12*F12*G12/10000,0)</f>
        <v>0</v>
      </c>
    </row>
    <row r="13" spans="1:9">
      <c r="A13" s="3314"/>
      <c r="B13" s="3315" t="s">
        <v>1100</v>
      </c>
      <c r="C13" s="3315"/>
      <c r="D13" s="1302"/>
      <c r="E13" s="1302"/>
      <c r="F13" s="1303"/>
      <c r="G13" s="1304"/>
      <c r="H13" s="1311"/>
      <c r="I13" s="1301">
        <f>ROUND(D13*E13*F13*G13/10000,0)</f>
        <v>0</v>
      </c>
    </row>
    <row r="14" spans="1:9">
      <c r="A14" s="3314"/>
      <c r="B14" s="3315" t="s">
        <v>1101</v>
      </c>
      <c r="C14" s="3315"/>
      <c r="D14" s="1302"/>
      <c r="E14" s="1302"/>
      <c r="F14" s="1303"/>
      <c r="G14" s="1304"/>
      <c r="H14" s="1311"/>
      <c r="I14" s="1301">
        <f>ROUND(D14*E14*F14*G14/10000,0)</f>
        <v>0</v>
      </c>
    </row>
    <row r="15" spans="1:9">
      <c r="A15" s="3314"/>
      <c r="B15" s="3316" t="s">
        <v>1092</v>
      </c>
      <c r="C15" s="3316"/>
      <c r="D15" s="1306"/>
      <c r="E15" s="1306">
        <f>SUM(E12:E14)</f>
        <v>0</v>
      </c>
      <c r="F15" s="1307"/>
      <c r="G15" s="1304"/>
      <c r="H15" s="1311"/>
      <c r="I15" s="1312">
        <f>SUM(I12:I14)</f>
        <v>0</v>
      </c>
    </row>
    <row r="16" spans="1:9" ht="24">
      <c r="A16" s="3314" t="s">
        <v>1102</v>
      </c>
      <c r="B16" s="3315" t="s">
        <v>1103</v>
      </c>
      <c r="C16" s="3315"/>
      <c r="D16" s="1302" t="s">
        <v>1079</v>
      </c>
      <c r="E16" s="1313" t="s">
        <v>1104</v>
      </c>
      <c r="F16" s="1303" t="s">
        <v>1105</v>
      </c>
      <c r="G16" s="1304" t="s">
        <v>1083</v>
      </c>
      <c r="H16" s="1310" t="s">
        <v>1098</v>
      </c>
      <c r="I16" s="1301" t="s">
        <v>1084</v>
      </c>
    </row>
    <row r="17" spans="1:9" ht="14.25">
      <c r="A17" s="3314"/>
      <c r="B17" s="3315" t="s">
        <v>1106</v>
      </c>
      <c r="C17" s="3315"/>
      <c r="D17" s="1302"/>
      <c r="E17" s="1302"/>
      <c r="F17" s="1303"/>
      <c r="G17" s="1304"/>
      <c r="H17" s="1314"/>
      <c r="I17" s="1315">
        <f>ROUND(D17*E17*F17*G17/10000,0)</f>
        <v>0</v>
      </c>
    </row>
    <row r="18" spans="1:9" ht="14.25">
      <c r="A18" s="3314"/>
      <c r="B18" s="3315" t="s">
        <v>1107</v>
      </c>
      <c r="C18" s="3315"/>
      <c r="D18" s="1302"/>
      <c r="E18" s="1302"/>
      <c r="F18" s="1303"/>
      <c r="G18" s="1304"/>
      <c r="H18" s="1314"/>
      <c r="I18" s="1315">
        <f>ROUND(D18*E18*F18*G18/10000,0)</f>
        <v>0</v>
      </c>
    </row>
    <row r="19" spans="1:9" ht="14.25">
      <c r="A19" s="3314"/>
      <c r="B19" s="3315" t="s">
        <v>1108</v>
      </c>
      <c r="C19" s="3315"/>
      <c r="D19" s="1302"/>
      <c r="E19" s="1302"/>
      <c r="F19" s="1303"/>
      <c r="G19" s="1304"/>
      <c r="H19" s="1314"/>
      <c r="I19" s="1315">
        <f>ROUND(D19*E19*F19*G19/10000,0)</f>
        <v>0</v>
      </c>
    </row>
    <row r="20" spans="1:9">
      <c r="A20" s="3314"/>
      <c r="B20" s="3316" t="s">
        <v>1092</v>
      </c>
      <c r="C20" s="3316"/>
      <c r="D20" s="1306">
        <f>SUM(D17:D19)</f>
        <v>0</v>
      </c>
      <c r="E20" s="1306"/>
      <c r="F20" s="1307"/>
      <c r="G20" s="1304"/>
      <c r="H20" s="1311"/>
      <c r="I20" s="1312">
        <f>SUM(I17:I19)</f>
        <v>0</v>
      </c>
    </row>
    <row r="21" spans="1:9">
      <c r="A21" s="3314" t="s">
        <v>1109</v>
      </c>
      <c r="B21" s="3318"/>
      <c r="C21" s="3318"/>
      <c r="D21" s="3318"/>
      <c r="E21" s="3318"/>
      <c r="F21" s="3318"/>
      <c r="G21" s="3318"/>
      <c r="H21" s="1764">
        <v>0.1</v>
      </c>
      <c r="I21" s="1309">
        <f>ROUND(I10*H21,0)</f>
        <v>0</v>
      </c>
    </row>
    <row r="22" spans="1:9" ht="14.25">
      <c r="A22" s="3319" t="s">
        <v>1110</v>
      </c>
      <c r="B22" s="3320"/>
      <c r="C22" s="3321"/>
      <c r="D22" s="1316" t="s">
        <v>1111</v>
      </c>
      <c r="E22" s="1316" t="s">
        <v>1112</v>
      </c>
      <c r="F22" s="1317" t="s">
        <v>1113</v>
      </c>
      <c r="G22" s="1317" t="s">
        <v>1114</v>
      </c>
      <c r="H22" s="1310" t="s">
        <v>1115</v>
      </c>
      <c r="I22" s="1301" t="s">
        <v>1116</v>
      </c>
    </row>
    <row r="23" spans="1:9" ht="14.25" thickBot="1">
      <c r="A23" s="3322"/>
      <c r="B23" s="3323"/>
      <c r="C23" s="3324"/>
      <c r="D23" s="1318"/>
      <c r="E23" s="1318"/>
      <c r="F23" s="1318"/>
      <c r="G23" s="1319"/>
      <c r="H23" s="1320"/>
      <c r="I23" s="1321">
        <f>ROUND(E23*D23*F23*(1-G23)/10000,0)</f>
        <v>0</v>
      </c>
    </row>
    <row r="26" spans="1:9">
      <c r="A26" s="1322" t="s">
        <v>1117</v>
      </c>
      <c r="B26" s="1322"/>
      <c r="C26" s="1322"/>
      <c r="D26" s="1322"/>
      <c r="E26" s="3325">
        <f>C27-C30-C31-C32</f>
        <v>0</v>
      </c>
      <c r="F26" s="3325"/>
      <c r="G26" s="3325"/>
      <c r="H26" s="1736" t="s">
        <v>1340</v>
      </c>
    </row>
    <row r="27" spans="1:9">
      <c r="A27" s="1323">
        <v>1</v>
      </c>
      <c r="B27" s="1324" t="s">
        <v>1118</v>
      </c>
      <c r="C27" s="1324">
        <f>C28+C29</f>
        <v>0</v>
      </c>
      <c r="D27" s="1324"/>
      <c r="E27" s="3326"/>
      <c r="F27" s="3326"/>
      <c r="G27" s="3326"/>
    </row>
    <row r="28" spans="1:9">
      <c r="A28" s="1325" t="s">
        <v>1119</v>
      </c>
      <c r="B28" s="1324" t="s">
        <v>1120</v>
      </c>
      <c r="C28" s="1324"/>
      <c r="D28" s="1324"/>
      <c r="E28" s="3326"/>
      <c r="F28" s="3326"/>
      <c r="G28" s="3326"/>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317"/>
      <c r="F32" s="3317"/>
      <c r="G32" s="3317"/>
    </row>
    <row r="33" spans="1:7" hidden="1">
      <c r="A33" s="3327" t="s">
        <v>1129</v>
      </c>
      <c r="B33" s="3328"/>
      <c r="C33" s="3328"/>
      <c r="D33" s="3329"/>
      <c r="E33" s="3325"/>
      <c r="F33" s="3325"/>
      <c r="G33" s="3325"/>
    </row>
    <row r="34" spans="1:7" hidden="1">
      <c r="A34" s="1327">
        <v>1</v>
      </c>
      <c r="B34" s="1324" t="s">
        <v>1130</v>
      </c>
      <c r="C34" s="1324"/>
      <c r="D34" s="1324"/>
      <c r="E34" s="3326"/>
      <c r="F34" s="3326"/>
      <c r="G34" s="3326"/>
    </row>
    <row r="35" spans="1:7" hidden="1">
      <c r="A35" s="1327">
        <v>2</v>
      </c>
      <c r="B35" s="1324" t="s">
        <v>1131</v>
      </c>
      <c r="C35" s="1324"/>
      <c r="D35" s="1324"/>
      <c r="E35" s="3326"/>
      <c r="F35" s="3326"/>
      <c r="G35" s="3326"/>
    </row>
    <row r="36" spans="1:7" hidden="1">
      <c r="A36" s="1327">
        <v>3</v>
      </c>
      <c r="B36" s="1324" t="s">
        <v>1132</v>
      </c>
      <c r="C36" s="1324"/>
      <c r="D36" s="1324"/>
      <c r="E36" s="3326"/>
      <c r="F36" s="3326"/>
      <c r="G36" s="3326"/>
    </row>
    <row r="37" spans="1:7" hidden="1">
      <c r="A37" s="1327">
        <v>4</v>
      </c>
      <c r="B37" s="1324" t="s">
        <v>1133</v>
      </c>
      <c r="C37" s="1324"/>
      <c r="D37" s="1324"/>
      <c r="E37" s="3326"/>
      <c r="F37" s="3326"/>
      <c r="G37" s="3326"/>
    </row>
    <row r="38" spans="1:7" hidden="1">
      <c r="A38" s="3327" t="s">
        <v>1134</v>
      </c>
      <c r="B38" s="3328"/>
      <c r="C38" s="3328"/>
      <c r="D38" s="3329"/>
      <c r="E38" s="3325"/>
      <c r="F38" s="3325"/>
      <c r="G38" s="33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18" sqref="F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0"/>
      <c r="C1" s="1836" t="s">
        <v>4864</v>
      </c>
      <c r="D1" s="1819" t="s">
        <v>3114</v>
      </c>
      <c r="E1" s="1820" t="s">
        <v>1387</v>
      </c>
      <c r="F1" s="1282">
        <f ca="1">J53</f>
        <v>36.79</v>
      </c>
      <c r="G1" s="1835">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1515</v>
      </c>
      <c r="B2" s="1843">
        <f ca="1">C40+J29+L46</f>
        <v>66401</v>
      </c>
      <c r="C2" s="1844" t="s">
        <v>1516</v>
      </c>
      <c r="D2" s="1844"/>
      <c r="E2" s="1845"/>
      <c r="F2" s="1846"/>
      <c r="G2" s="1847"/>
      <c r="H2" s="1839"/>
      <c r="I2" s="1839"/>
      <c r="J2" s="1839"/>
      <c r="K2" s="1840"/>
      <c r="L2" s="1839"/>
      <c r="M2" s="1839"/>
    </row>
    <row r="3" spans="1:37" ht="18" customHeight="1" thickBot="1">
      <c r="A3" s="1848" t="s">
        <v>1517</v>
      </c>
      <c r="B3" s="1849">
        <f ca="1">IF(ISERROR(B2*10000/F43),0,ROUND(B2*10000/F43,0))</f>
        <v>22131</v>
      </c>
      <c r="C3" s="1844" t="s">
        <v>1518</v>
      </c>
      <c r="D3" s="1844"/>
      <c r="E3" s="1845"/>
      <c r="F3" s="1846"/>
      <c r="G3" s="1847"/>
      <c r="H3" s="742"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f ca="1">C6+C10+C12</f>
        <v>3732</v>
      </c>
      <c r="D5" s="1821" t="s">
        <v>1402</v>
      </c>
      <c r="E5" s="1292"/>
      <c r="F5" s="1293"/>
      <c r="G5" s="1850"/>
      <c r="H5" s="343">
        <v>1</v>
      </c>
      <c r="I5" s="344" t="s">
        <v>1401</v>
      </c>
      <c r="J5" s="1291">
        <f ca="1">J6+J10+J12</f>
        <v>0</v>
      </c>
      <c r="K5" s="1821" t="s">
        <v>1402</v>
      </c>
      <c r="L5" s="1292"/>
      <c r="M5" s="1293"/>
    </row>
    <row r="6" spans="1:37" ht="18" customHeight="1">
      <c r="A6" s="1290" t="s">
        <v>1035</v>
      </c>
      <c r="B6" s="3305" t="s">
        <v>1403</v>
      </c>
      <c r="C6" s="1295">
        <f ca="1">ROUND(F6*F8*F7*(1-F9)/10000,0)</f>
        <v>3723</v>
      </c>
      <c r="D6" s="163" t="s">
        <v>3025</v>
      </c>
      <c r="E6" s="346" t="s">
        <v>1405</v>
      </c>
      <c r="F6" s="347">
        <f ca="1">INDIRECT("'数据-取费表'!u"&amp;$G$1)</f>
        <v>4</v>
      </c>
      <c r="G6" s="1850"/>
      <c r="H6" s="1290" t="s">
        <v>1035</v>
      </c>
      <c r="I6" s="3305" t="s">
        <v>1403</v>
      </c>
      <c r="J6" s="345">
        <f ca="1">ROUND(M6*M8*M7*(1-M9)/10000,0)</f>
        <v>0</v>
      </c>
      <c r="K6" s="163" t="s">
        <v>3024</v>
      </c>
      <c r="L6" s="346" t="s">
        <v>1405</v>
      </c>
      <c r="M6" s="347">
        <f ca="1">INDIRECT("'数据-取费表'!z"&amp;$G$1)</f>
        <v>0</v>
      </c>
    </row>
    <row r="7" spans="1:37" ht="18" customHeight="1">
      <c r="A7" s="1294"/>
      <c r="B7" s="3306"/>
      <c r="C7" s="1296"/>
      <c r="D7" s="351"/>
      <c r="E7" s="2946" t="s">
        <v>1406</v>
      </c>
      <c r="F7" s="347">
        <f ca="1">IF(INDIRECT("'数据-取费表'!ah"&amp;$G$1)="",INDIRECT("'数据-取费表'!k"&amp;$G$1),INDIRECT("'数据-取费表'!ah"&amp;$G$1))</f>
        <v>30003.56</v>
      </c>
      <c r="G7" s="1850"/>
      <c r="H7" s="348"/>
      <c r="I7" s="3306"/>
      <c r="J7" s="350"/>
      <c r="K7" s="351"/>
      <c r="L7" s="346" t="s">
        <v>1406</v>
      </c>
      <c r="M7" s="347">
        <f ca="1">F7</f>
        <v>30003.56</v>
      </c>
    </row>
    <row r="8" spans="1:37" ht="18" customHeight="1">
      <c r="A8" s="348"/>
      <c r="B8" s="3306"/>
      <c r="C8" s="350"/>
      <c r="D8" s="351"/>
      <c r="E8" s="346" t="s">
        <v>1407</v>
      </c>
      <c r="F8" s="347">
        <f ca="1">INDIRECT("'数据-取费表'!ai"&amp;$G$1)</f>
        <v>365</v>
      </c>
      <c r="G8" s="1850"/>
      <c r="H8" s="348"/>
      <c r="I8" s="3306"/>
      <c r="J8" s="350"/>
      <c r="K8" s="351"/>
      <c r="L8" s="346" t="s">
        <v>1407</v>
      </c>
      <c r="M8" s="347">
        <f ca="1">INDIRECT("'数据-取费表'!ai"&amp;$G$1)</f>
        <v>365</v>
      </c>
    </row>
    <row r="9" spans="1:37" ht="18" customHeight="1">
      <c r="A9" s="348"/>
      <c r="B9" s="3307"/>
      <c r="C9" s="350"/>
      <c r="D9" s="351"/>
      <c r="E9" s="346" t="s">
        <v>1408</v>
      </c>
      <c r="F9" s="356">
        <f ca="1">INDIRECT("'数据-取费表'!w"&amp;$G$1)</f>
        <v>0.15</v>
      </c>
      <c r="G9" s="1850"/>
      <c r="H9" s="348"/>
      <c r="I9" s="3307"/>
      <c r="J9" s="350"/>
      <c r="K9" s="351"/>
      <c r="L9" s="357" t="s">
        <v>1408</v>
      </c>
      <c r="M9" s="358">
        <f ca="1">INDIRECT("'数据-取费表'!ab"&amp;$G$1)</f>
        <v>0</v>
      </c>
    </row>
    <row r="10" spans="1:37" ht="18" customHeight="1">
      <c r="A10" s="1290" t="s">
        <v>1039</v>
      </c>
      <c r="B10" s="1822" t="s">
        <v>1409</v>
      </c>
      <c r="C10" s="360">
        <f ca="1">ROUND(IF(F10="押一",C6/12*F11,IF(F10="押二",C6/12*2*F11,IF(F10="押三",C6/12*3*F11,C11*F11))),0)</f>
        <v>9</v>
      </c>
      <c r="D10" s="1823" t="s">
        <v>3033</v>
      </c>
      <c r="E10" s="357" t="s">
        <v>1410</v>
      </c>
      <c r="F10" s="3400" t="s">
        <v>4870</v>
      </c>
      <c r="G10" s="1850"/>
      <c r="H10" s="1290" t="s">
        <v>1039</v>
      </c>
      <c r="I10" s="1822" t="s">
        <v>1409</v>
      </c>
      <c r="J10" s="345">
        <f ca="1">ROUND(IF(M10="押一",J6/12*M11,IF(M10="押二",J6/12*2*M11,IF(M10="押三",J6/12*3*M11,J11*M11))),0)</f>
        <v>0</v>
      </c>
      <c r="K10" s="1823" t="s">
        <v>3033</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6"/>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f ca="1">ROUND(C29*F13,0)</f>
        <v>12838</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6" t="s">
        <v>1417</v>
      </c>
      <c r="C14" s="362">
        <f ca="1">INDIRECT("'数据-取费表'!m"&amp;$G$1)+INDIRECT("'数据-取费表'!t"&amp;$G$1)</f>
        <v>9001</v>
      </c>
      <c r="D14" s="2940" t="s">
        <v>1418</v>
      </c>
      <c r="E14" s="2938"/>
      <c r="F14" s="363"/>
      <c r="G14" s="1850"/>
      <c r="H14" s="1200" t="s">
        <v>1035</v>
      </c>
      <c r="I14" s="346" t="s">
        <v>1419</v>
      </c>
      <c r="J14" s="24">
        <f ca="1">C29</f>
        <v>12838</v>
      </c>
      <c r="K14" s="2945"/>
      <c r="L14" s="978"/>
      <c r="M14" s="979"/>
    </row>
    <row r="15" spans="1:37" s="1857" customFormat="1" ht="18" customHeight="1" thickBot="1">
      <c r="A15" s="1200" t="s">
        <v>1036</v>
      </c>
      <c r="B15" s="346" t="s">
        <v>1420</v>
      </c>
      <c r="C15" s="24">
        <f ca="1">ROUND(C14*F15,0)</f>
        <v>270</v>
      </c>
      <c r="D15" s="364" t="s">
        <v>1421</v>
      </c>
      <c r="E15" s="364" t="s">
        <v>1422</v>
      </c>
      <c r="F15" s="365">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50"/>
      <c r="H16" s="1328" t="s">
        <v>1030</v>
      </c>
      <c r="I16" s="1329" t="s">
        <v>1424</v>
      </c>
      <c r="J16" s="354">
        <f ca="1">ROUND(J17+J22+J23+J24,0)</f>
        <v>305</v>
      </c>
      <c r="K16" s="1336" t="s">
        <v>1425</v>
      </c>
      <c r="L16" s="2941"/>
      <c r="M16" s="1293"/>
    </row>
    <row r="17" spans="1:37" s="1857" customFormat="1" ht="18" customHeight="1">
      <c r="A17" s="1200" t="s">
        <v>1390</v>
      </c>
      <c r="B17" s="346" t="s">
        <v>1426</v>
      </c>
      <c r="C17" s="24">
        <f ca="1">ROUND(F17*(F43+INDIRECT("'数据-取费表'!S"&amp;$G$1))/10000,0)</f>
        <v>600</v>
      </c>
      <c r="D17" s="346" t="s">
        <v>1427</v>
      </c>
      <c r="E17" s="346" t="s">
        <v>1428</v>
      </c>
      <c r="F17" s="26">
        <f>'数据-取费表'!B35</f>
        <v>200</v>
      </c>
      <c r="G17" s="1853"/>
      <c r="H17" s="1200" t="s">
        <v>1035</v>
      </c>
      <c r="I17" s="346" t="s">
        <v>1429</v>
      </c>
      <c r="J17" s="24">
        <f ca="1">ROUND(IF(项目基本情况!B11="自然人",J5*M17,J18+J19+J20),1)</f>
        <v>111.9</v>
      </c>
      <c r="K17" s="2940" t="s">
        <v>1430</v>
      </c>
      <c r="L17" s="2939"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f ca="1">ROUND(C14*F18,0)</f>
        <v>135</v>
      </c>
      <c r="D18" s="346" t="s">
        <v>1421</v>
      </c>
      <c r="E18" s="346" t="s">
        <v>1422</v>
      </c>
      <c r="F18" s="366">
        <f>'数据-取费表'!B36</f>
        <v>1.4999999999999999E-2</v>
      </c>
      <c r="G18" s="1853"/>
      <c r="H18" s="1200" t="s">
        <v>1034</v>
      </c>
      <c r="I18" s="346" t="s">
        <v>1433</v>
      </c>
      <c r="J18" s="24">
        <f ca="1">ROUND(J5*M18/(1+'数据-取费表'!C42),2)</f>
        <v>0</v>
      </c>
      <c r="K18" s="2939"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f ca="1">SUM(C14:C18)</f>
        <v>10006</v>
      </c>
      <c r="D19" s="139" t="s">
        <v>1436</v>
      </c>
      <c r="E19" s="2944"/>
      <c r="F19" s="26"/>
      <c r="G19" s="1850"/>
      <c r="H19" s="1200" t="s">
        <v>1036</v>
      </c>
      <c r="I19" s="346" t="s">
        <v>1437</v>
      </c>
      <c r="J19" s="24">
        <f ca="1">IF(K19="按租金收入计税",ROUND(J5*M19,2),ROUND(C29*M19*0.7,2))</f>
        <v>107.84</v>
      </c>
      <c r="K19" s="1827" t="s">
        <v>1438</v>
      </c>
      <c r="L19" s="346" t="s">
        <v>1422</v>
      </c>
      <c r="M19" s="366">
        <f>IF(K19="按租金收入计税",'数据-取费表'!B51,'数据-取费表'!B50)</f>
        <v>1.2E-2</v>
      </c>
    </row>
    <row r="20" spans="1:37" s="1857" customFormat="1" ht="18" customHeight="1">
      <c r="A20" s="1200" t="s">
        <v>1039</v>
      </c>
      <c r="B20" s="346" t="s">
        <v>1439</v>
      </c>
      <c r="C20" s="24">
        <f ca="1">ROUND(C19*F20,0)</f>
        <v>200</v>
      </c>
      <c r="D20" s="368" t="s">
        <v>1440</v>
      </c>
      <c r="E20" s="346" t="s">
        <v>1422</v>
      </c>
      <c r="F20" s="366">
        <f>'数据-取费表'!B37</f>
        <v>0.02</v>
      </c>
      <c r="G20" s="1853"/>
      <c r="H20" s="1200" t="s">
        <v>1389</v>
      </c>
      <c r="I20" s="163" t="s">
        <v>1441</v>
      </c>
      <c r="J20" s="25">
        <f ca="1">ROUND(M20*M21/10000,2)</f>
        <v>4.05</v>
      </c>
      <c r="K20" s="369" t="s">
        <v>1442</v>
      </c>
      <c r="L20" s="346" t="s">
        <v>1443</v>
      </c>
      <c r="M20" s="370">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f ca="1">INDIRECT("'数据-取费表'!r"&amp;$G$1)</f>
        <v>4504.53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2944"/>
      <c r="F22" s="26"/>
      <c r="G22" s="1850"/>
      <c r="H22" s="1200" t="s">
        <v>1039</v>
      </c>
      <c r="I22" s="346" t="s">
        <v>1449</v>
      </c>
      <c r="J22" s="24">
        <f ca="1">ROUND(J14*M22,1)</f>
        <v>192.6</v>
      </c>
      <c r="K22" s="2939" t="s">
        <v>1450</v>
      </c>
      <c r="L22" s="346" t="s">
        <v>1422</v>
      </c>
      <c r="M22" s="373">
        <f ca="1">INDIRECT("'数据-取费表'!Ak"&amp;$G$1)</f>
        <v>1.4999999999999999E-2</v>
      </c>
    </row>
    <row r="23" spans="1:37" s="1857" customFormat="1" ht="18" customHeight="1">
      <c r="A23" s="1200" t="s">
        <v>1034</v>
      </c>
      <c r="B23" s="346" t="s">
        <v>1451</v>
      </c>
      <c r="C23" s="24">
        <f ca="1">IF('数据-取费表'!B22&lt;=1,ROUND(C19*F24*F23/2,0)+ROUND(C20*F24*F23/2,0),ROUND(C19*(POWER((1+F24),F23/2)-1),0)+ROUND(C20*(POWER((1+F24),F23/2)-1),0))</f>
        <v>485</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f ca="1">ROUND(J13*M23,1)</f>
        <v>0</v>
      </c>
      <c r="K23" s="2939" t="s">
        <v>1454</v>
      </c>
      <c r="L23" s="346" t="s">
        <v>1422</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2944"/>
      <c r="F25" s="26"/>
      <c r="G25" s="1850"/>
      <c r="H25" s="1328" t="s">
        <v>1031</v>
      </c>
      <c r="I25" s="1343" t="s">
        <v>1463</v>
      </c>
      <c r="J25" s="354">
        <f ca="1">J5-J16</f>
        <v>-305</v>
      </c>
      <c r="K25" s="1344" t="s">
        <v>1464</v>
      </c>
      <c r="L25" s="1345"/>
      <c r="M25" s="1346"/>
    </row>
    <row r="26" spans="1:37">
      <c r="A26" s="1200" t="s">
        <v>1034</v>
      </c>
      <c r="B26" s="346" t="s">
        <v>1465</v>
      </c>
      <c r="C26" s="24">
        <f ca="1">ROUND((C19+C20)*F26,0)</f>
        <v>1021</v>
      </c>
      <c r="D26" s="368" t="s">
        <v>1466</v>
      </c>
      <c r="E26" s="357" t="s">
        <v>1467</v>
      </c>
      <c r="F26" s="356">
        <f ca="1">INDIRECT("'数据-取费表'!q"&amp;$G$1)</f>
        <v>0.1</v>
      </c>
      <c r="G26" s="1850"/>
      <c r="H26" s="343" t="s">
        <v>1032</v>
      </c>
      <c r="I26" s="344" t="s">
        <v>1468</v>
      </c>
      <c r="J26" s="345">
        <f ca="1">IF(J5&lt;&gt;0,ROUND(J25*(1-((1+M28)/(1+M26))^M27)/(M26-M28),0),0)</f>
        <v>0</v>
      </c>
      <c r="K26" s="369" t="s">
        <v>1469</v>
      </c>
      <c r="L26" s="346" t="s">
        <v>1470</v>
      </c>
      <c r="M26" s="356">
        <f ca="1">INDIRECT("'数据-取费表'!I"&amp;$G$1)</f>
        <v>5.5E-2</v>
      </c>
    </row>
    <row r="27" spans="1:37" ht="18" customHeight="1">
      <c r="A27" s="1200" t="s">
        <v>1036</v>
      </c>
      <c r="B27" s="346" t="s">
        <v>1471</v>
      </c>
      <c r="C27" s="24">
        <f ca="1">ROUND(F21*F26,4)</f>
        <v>3.0000000000000001E-3</v>
      </c>
      <c r="D27" s="368" t="s">
        <v>1472</v>
      </c>
      <c r="E27" s="364"/>
      <c r="F27" s="365"/>
      <c r="G27" s="1850"/>
      <c r="H27" s="348"/>
      <c r="I27" s="349"/>
      <c r="J27" s="350"/>
      <c r="K27" s="377" t="s">
        <v>1473</v>
      </c>
      <c r="L27" s="346" t="s">
        <v>1474</v>
      </c>
      <c r="M27" s="378">
        <f ca="1">INDIRECT("'数据-取费表'!ag"&amp;$G$1)</f>
        <v>0</v>
      </c>
    </row>
    <row r="28" spans="1:37" s="1857" customFormat="1" ht="18" customHeight="1">
      <c r="A28" s="1200" t="s">
        <v>1037</v>
      </c>
      <c r="B28" s="346" t="s">
        <v>1475</v>
      </c>
      <c r="C28" s="24">
        <f>ROUND(F28/(1+'数据-取费表'!C42),4)</f>
        <v>5.33E-2</v>
      </c>
      <c r="D28" s="368" t="s">
        <v>1476</v>
      </c>
      <c r="E28" s="346" t="s">
        <v>1422</v>
      </c>
      <c r="F28" s="366">
        <f>'数据-取费表'!B41</f>
        <v>5.6000000000000001E-2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12838</v>
      </c>
      <c r="D29" s="1341"/>
      <c r="E29" s="1339"/>
      <c r="F29" s="1342"/>
      <c r="G29" s="1853"/>
      <c r="H29" s="379" t="s">
        <v>1033</v>
      </c>
      <c r="I29" s="380" t="s">
        <v>1479</v>
      </c>
      <c r="J29" s="381">
        <f ca="1">ROUND(J26/(1+F40)^F41,0)</f>
        <v>0</v>
      </c>
      <c r="K29" s="382" t="s">
        <v>1480</v>
      </c>
      <c r="L29" s="383"/>
      <c r="M29" s="384">
        <f ca="1">INDIRECT("'数据-取费表'!k"&amp;$G$1)</f>
        <v>30003.56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f ca="1">ROUND(C31+C36+C37+C38,0)</f>
        <v>900</v>
      </c>
      <c r="D30" s="1336" t="s">
        <v>1425</v>
      </c>
      <c r="E30" s="2941"/>
      <c r="F30" s="1293"/>
      <c r="G30" s="1850"/>
      <c r="H30" s="743"/>
      <c r="I30" s="744"/>
      <c r="J30" s="745"/>
      <c r="K30" s="746"/>
      <c r="L30" s="747"/>
      <c r="M30" s="748"/>
    </row>
    <row r="31" spans="1:37" ht="18" customHeight="1">
      <c r="A31" s="1200" t="s">
        <v>1035</v>
      </c>
      <c r="B31" s="346" t="s">
        <v>1429</v>
      </c>
      <c r="C31" s="24">
        <f ca="1">ROUND(IF(项目基本情况!B11="自然人",C5*F31,C32+C33+C34),1)</f>
        <v>650.9</v>
      </c>
      <c r="D31" s="2940" t="s">
        <v>1430</v>
      </c>
      <c r="E31" s="2939" t="s">
        <v>1481</v>
      </c>
      <c r="F31" s="367" t="str">
        <f ca="1">IF(项目基本情况!B11="企业","",IF(INDIRECT("'数据-取费表'!c"&amp;$G$1)="住宅",5%,IF(F6*F7*F8/12/(1+'数据-取费表'!C42)&gt;20000,12%,7%)))</f>
        <v/>
      </c>
      <c r="G31" s="1850"/>
      <c r="H31" s="743"/>
      <c r="I31" s="744"/>
      <c r="J31" s="745"/>
      <c r="K31" s="746"/>
      <c r="L31" s="747"/>
      <c r="M31" s="748"/>
    </row>
    <row r="32" spans="1:37" ht="18" customHeight="1">
      <c r="A32" s="1200" t="s">
        <v>1034</v>
      </c>
      <c r="B32" s="346" t="s">
        <v>1433</v>
      </c>
      <c r="C32" s="24">
        <f ca="1">IF(项目基本情况!B11="自然人","——",ROUND(C5*F32/(1+'数据-取费表'!C42),2))</f>
        <v>199.04</v>
      </c>
      <c r="D32" s="2939" t="s">
        <v>1434</v>
      </c>
      <c r="E32" s="346" t="s">
        <v>1422</v>
      </c>
      <c r="F32" s="376">
        <f>'数据-取费表'!B41</f>
        <v>5.6000000000000001E-2</v>
      </c>
      <c r="G32" s="1850"/>
      <c r="H32" s="743"/>
      <c r="I32" s="744"/>
      <c r="J32" s="745"/>
      <c r="K32" s="746"/>
      <c r="L32" s="747"/>
      <c r="M32" s="748"/>
    </row>
    <row r="33" spans="1:18" ht="18" customHeight="1">
      <c r="A33" s="1200" t="s">
        <v>1036</v>
      </c>
      <c r="B33" s="346" t="s">
        <v>1437</v>
      </c>
      <c r="C33" s="24">
        <f ca="1">IF(项目基本情况!B11="自然人","——",IF(D33="按租金收入计税",ROUND(C5*F33,2),IF(D33="按房产原值计税",ROUND(C29*F33*0.7,2),INDIRECT("'数据-取费表'!Aj"&amp;$G$1))))</f>
        <v>447.84</v>
      </c>
      <c r="D33" s="1827" t="s">
        <v>3113</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f ca="1">IF(项目基本情况!B11="自然人","——",ROUND(F34*F35/10000,2))</f>
        <v>4.05</v>
      </c>
      <c r="D34" s="369" t="s">
        <v>1442</v>
      </c>
      <c r="E34" s="346" t="s">
        <v>1443</v>
      </c>
      <c r="F34" s="370">
        <f>'数据-取费表'!B52</f>
        <v>9</v>
      </c>
      <c r="G34" s="1850"/>
      <c r="H34" s="743"/>
      <c r="I34" s="1859"/>
      <c r="J34" s="1860"/>
      <c r="K34" s="1862"/>
      <c r="L34" s="1863"/>
      <c r="M34" s="1863"/>
    </row>
    <row r="35" spans="1:18" ht="18" customHeight="1">
      <c r="A35" s="1352"/>
      <c r="B35" s="1350"/>
      <c r="C35" s="29"/>
      <c r="D35" s="372"/>
      <c r="E35" s="346" t="s">
        <v>1447</v>
      </c>
      <c r="F35" s="347">
        <f ca="1">INDIRECT("'数据-取费表'!r"&amp;$G$1)</f>
        <v>4504.53</v>
      </c>
      <c r="G35" s="1850"/>
      <c r="H35" s="743"/>
      <c r="I35" s="1859"/>
      <c r="J35" s="1860"/>
      <c r="K35" s="1861"/>
      <c r="L35" s="1858"/>
      <c r="M35" s="1858"/>
    </row>
    <row r="36" spans="1:18" ht="18" customHeight="1">
      <c r="A36" s="1351" t="s">
        <v>1039</v>
      </c>
      <c r="B36" s="346" t="s">
        <v>1449</v>
      </c>
      <c r="C36" s="24">
        <f ca="1">ROUND(C29*F36,1)</f>
        <v>192.6</v>
      </c>
      <c r="D36" s="2939" t="s">
        <v>1482</v>
      </c>
      <c r="E36" s="346" t="s">
        <v>1422</v>
      </c>
      <c r="F36" s="373">
        <f ca="1">INDIRECT("'数据-取费表'!Ak"&amp;$G$1)</f>
        <v>1.4999999999999999E-2</v>
      </c>
      <c r="G36" s="1850"/>
      <c r="H36" s="1858"/>
      <c r="I36" s="1859"/>
      <c r="J36" s="1860"/>
      <c r="K36" s="749"/>
      <c r="L36" s="1858"/>
      <c r="M36" s="1858"/>
    </row>
    <row r="37" spans="1:18" ht="18" customHeight="1">
      <c r="A37" s="1200" t="s">
        <v>1075</v>
      </c>
      <c r="B37" s="346" t="s">
        <v>1453</v>
      </c>
      <c r="C37" s="24">
        <f ca="1">ROUND(C13*F37,1)</f>
        <v>19.3</v>
      </c>
      <c r="D37" s="2939" t="s">
        <v>1454</v>
      </c>
      <c r="E37" s="346" t="s">
        <v>1422</v>
      </c>
      <c r="F37" s="375">
        <f ca="1">INDIRECT("'数据-取费表'!Al"&amp;$G$1)</f>
        <v>1.5E-3</v>
      </c>
      <c r="G37" s="1850"/>
      <c r="H37" s="1858"/>
      <c r="I37" s="1859"/>
      <c r="J37" s="1860"/>
      <c r="K37" s="749"/>
      <c r="L37" s="1858"/>
      <c r="M37" s="1858"/>
    </row>
    <row r="38" spans="1:18" ht="18" customHeight="1" thickBot="1">
      <c r="A38" s="1338" t="s">
        <v>1392</v>
      </c>
      <c r="B38" s="1339" t="s">
        <v>1439</v>
      </c>
      <c r="C38" s="1340">
        <f ca="1">ROUND(C5*F38,1)</f>
        <v>37.299999999999997</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4">
        <f ca="1">C5-C30</f>
        <v>2832</v>
      </c>
      <c r="D39" s="1344" t="s">
        <v>1464</v>
      </c>
      <c r="E39" s="1345"/>
      <c r="F39" s="1346"/>
      <c r="G39" s="1850"/>
      <c r="H39" s="1858"/>
      <c r="I39" s="1859"/>
      <c r="J39" s="1860"/>
      <c r="K39" s="1864"/>
      <c r="L39" s="1858"/>
      <c r="M39" s="1858"/>
    </row>
    <row r="40" spans="1:18" ht="18" customHeight="1">
      <c r="A40" s="343" t="s">
        <v>1032</v>
      </c>
      <c r="B40" s="344" t="s">
        <v>1485</v>
      </c>
      <c r="C40" s="345">
        <f ca="1">ROUND(C39*(1-((1+F42)/(1+F40))^F41)/(F40-F42),0)</f>
        <v>66401</v>
      </c>
      <c r="D40" s="369" t="s">
        <v>1469</v>
      </c>
      <c r="E40" s="346" t="s">
        <v>1470</v>
      </c>
      <c r="F40" s="356">
        <f ca="1">INDIRECT("'数据-取费表'!I"&amp;$G$1)</f>
        <v>5.5E-2</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36.79</v>
      </c>
      <c r="G41" s="1850"/>
      <c r="H41" s="730"/>
      <c r="I41" s="1859"/>
      <c r="J41" s="1860"/>
      <c r="K41" s="749"/>
      <c r="L41" s="730"/>
      <c r="M41" s="730"/>
    </row>
    <row r="42" spans="1:18" ht="18" customHeight="1">
      <c r="A42" s="352"/>
      <c r="B42" s="353"/>
      <c r="C42" s="354"/>
      <c r="D42" s="372"/>
      <c r="E42" s="346" t="s">
        <v>1477</v>
      </c>
      <c r="F42" s="356">
        <f ca="1">INDIRECT("'数据-取费表'!v"&amp;$G$1)</f>
        <v>0.03</v>
      </c>
      <c r="G42" s="1850"/>
      <c r="H42" s="730"/>
      <c r="I42" s="1859"/>
      <c r="J42" s="1860"/>
      <c r="K42" s="749"/>
      <c r="L42" s="730"/>
      <c r="M42" s="730"/>
    </row>
    <row r="43" spans="1:18" ht="18" customHeight="1" thickBot="1">
      <c r="A43" s="379" t="s">
        <v>1033</v>
      </c>
      <c r="B43" s="380" t="s">
        <v>1487</v>
      </c>
      <c r="C43" s="381">
        <f ca="1">ROUND(C40*10000/F43,0)</f>
        <v>22131</v>
      </c>
      <c r="D43" s="382" t="s">
        <v>1488</v>
      </c>
      <c r="E43" s="383" t="s">
        <v>1489</v>
      </c>
      <c r="F43" s="384">
        <f ca="1">INDIRECT("'数据-取费表'!k"&amp;$G$1)</f>
        <v>30003.56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1519</v>
      </c>
      <c r="P45" s="1838"/>
      <c r="Q45" s="1838"/>
      <c r="R45" s="1838"/>
    </row>
    <row r="46" spans="1:18" s="1841" customFormat="1" ht="13.5" thickBot="1">
      <c r="A46" s="1869" t="s">
        <v>1520</v>
      </c>
      <c r="C46" s="1870">
        <f ca="1">C68-C40</f>
        <v>-86646</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0"/>
      <c r="I47" s="1879" t="s">
        <v>1526</v>
      </c>
      <c r="J47" s="1880" t="s">
        <v>3110</v>
      </c>
      <c r="K47" s="1881" t="s">
        <v>1527</v>
      </c>
      <c r="L47" s="1882">
        <f ca="1">INDIRECT("'数据-取费表'!d"&amp;$G$1)</f>
        <v>40</v>
      </c>
      <c r="M47" s="1837" t="str">
        <f>IF(ISNUMBER(FIND("住宅",C1)),"住宅","非住宅")</f>
        <v>非住宅</v>
      </c>
      <c r="O47" s="1883" t="s">
        <v>1040</v>
      </c>
      <c r="P47" s="1884" t="s">
        <v>1528</v>
      </c>
      <c r="Q47" s="1885">
        <f ca="1">C40+J29</f>
        <v>66401</v>
      </c>
      <c r="R47" s="1885" t="s">
        <v>1529</v>
      </c>
    </row>
    <row r="48" spans="1:18" s="1841" customFormat="1" ht="28.5" thickBot="1">
      <c r="A48" s="1359" t="s">
        <v>1135</v>
      </c>
      <c r="B48" s="344" t="s">
        <v>1401</v>
      </c>
      <c r="C48" s="2943">
        <f ca="1">C49+C53+C55</f>
        <v>0</v>
      </c>
      <c r="D48" s="1361"/>
      <c r="E48" s="1362"/>
      <c r="F48" s="1180"/>
      <c r="G48" s="790"/>
      <c r="H48" s="791"/>
      <c r="I48" s="1886" t="s">
        <v>1530</v>
      </c>
      <c r="J48" s="1887" t="s">
        <v>3111</v>
      </c>
      <c r="K48" s="1888" t="s">
        <v>1531</v>
      </c>
      <c r="L48" s="1889">
        <f ca="1">INDIRECT("'数据-取费表'!f"&amp;$G$1)</f>
        <v>36.99</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3024</v>
      </c>
      <c r="E49" s="1829" t="s">
        <v>1491</v>
      </c>
      <c r="F49" s="1280"/>
      <c r="G49" s="1890"/>
      <c r="H49" s="791"/>
      <c r="I49" s="1886" t="s">
        <v>1534</v>
      </c>
      <c r="J49" s="1891"/>
      <c r="K49" s="1888" t="s">
        <v>1535</v>
      </c>
      <c r="L49" s="1892"/>
      <c r="O49" s="1893" t="s">
        <v>1042</v>
      </c>
      <c r="P49" s="1884" t="s">
        <v>1536</v>
      </c>
      <c r="Q49" s="1885">
        <f ca="1">C29</f>
        <v>12838</v>
      </c>
      <c r="R49" s="1885" t="s">
        <v>1529</v>
      </c>
    </row>
    <row r="50" spans="1:18" s="1841" customFormat="1" ht="13.5" thickBot="1">
      <c r="A50" s="1194"/>
      <c r="B50" s="1197"/>
      <c r="C50" s="1367"/>
      <c r="D50" s="1171"/>
      <c r="E50" s="1276" t="s">
        <v>1406</v>
      </c>
      <c r="F50" s="1277">
        <f ca="1">F7</f>
        <v>30003.56</v>
      </c>
      <c r="H50" s="791"/>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7">
        <f ca="1">F8</f>
        <v>365</v>
      </c>
      <c r="I51" s="1897" t="s">
        <v>1540</v>
      </c>
      <c r="J51" s="1898">
        <f>IF(J49="",J50,J49+J50-YEAR('数据-取费表'!B2))</f>
        <v>60</v>
      </c>
      <c r="K51" s="1899" t="s">
        <v>1541</v>
      </c>
      <c r="L51" s="1900">
        <f ca="1">ROUND(-PV(INDIRECT("'数据-取费表'!h"&amp;$G$1),L48,(C39-C13*C76),0),0)</f>
        <v>29088</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f ca="1">J53</f>
        <v>36.79</v>
      </c>
      <c r="R52" s="1885" t="s">
        <v>1546</v>
      </c>
    </row>
    <row r="53" spans="1:18" s="1841" customFormat="1" ht="24.75" thickBot="1">
      <c r="A53" s="1404" t="s">
        <v>1137</v>
      </c>
      <c r="B53" s="1830" t="s">
        <v>1409</v>
      </c>
      <c r="C53" s="360">
        <f ca="1">ROUND(IF(F53="押一",C49/12*F11,IF(F53="押二",C49/12*2*F11,IF(F53="押三",C49/12*3*F11,C54*F11))),0)</f>
        <v>0</v>
      </c>
      <c r="D53" s="1823" t="s">
        <v>3033</v>
      </c>
      <c r="E53" s="357"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36.79</v>
      </c>
      <c r="K53" s="3303" t="s">
        <v>1548</v>
      </c>
      <c r="L53" s="3304"/>
      <c r="O53" s="1883" t="s">
        <v>1046</v>
      </c>
      <c r="P53" s="1884" t="s">
        <v>1549</v>
      </c>
      <c r="Q53" s="1885">
        <f ca="1">Q47+Q48</f>
        <v>66401</v>
      </c>
      <c r="R53" s="1885" t="s">
        <v>1047</v>
      </c>
    </row>
    <row r="54" spans="1:18" s="1841" customFormat="1" ht="13.5" thickBot="1">
      <c r="A54" s="1405"/>
      <c r="B54" s="1824" t="s">
        <v>1388</v>
      </c>
      <c r="C54" s="1177"/>
      <c r="D54" s="1823"/>
      <c r="E54" s="294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42"/>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5">
        <f ca="1">C13</f>
        <v>12838</v>
      </c>
      <c r="D56" s="1913"/>
      <c r="E56" s="1914"/>
      <c r="F56" s="1906"/>
      <c r="I56" s="1915" t="s">
        <v>1554</v>
      </c>
      <c r="J56" s="3006" t="s">
        <v>3054</v>
      </c>
      <c r="K56" s="1886" t="s">
        <v>1555</v>
      </c>
      <c r="L56" s="1889" t="str">
        <f ca="1">IF(L48&lt;J51,"——",L48-J53)</f>
        <v>——</v>
      </c>
      <c r="O56" s="1883" t="s">
        <v>1040</v>
      </c>
      <c r="P56" s="1884" t="s">
        <v>1528</v>
      </c>
      <c r="Q56" s="1885">
        <f ca="1">C40+J29</f>
        <v>66401</v>
      </c>
      <c r="R56" s="1885" t="s">
        <v>1529</v>
      </c>
    </row>
    <row r="57" spans="1:18" s="1841" customFormat="1" ht="24.75" thickBot="1">
      <c r="A57" s="1917"/>
      <c r="B57" s="1168" t="s">
        <v>1478</v>
      </c>
      <c r="C57" s="281">
        <f ca="1">C29</f>
        <v>12838</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9" t="s">
        <v>1030</v>
      </c>
      <c r="B58" s="1176" t="s">
        <v>1424</v>
      </c>
      <c r="C58" s="360">
        <f ca="1">ROUND(C59+C64+C65+C66,0)</f>
        <v>1294</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1082.4000000000001</v>
      </c>
      <c r="D59" s="1181" t="s">
        <v>1430</v>
      </c>
      <c r="E59" s="1182" t="s">
        <v>1431</v>
      </c>
      <c r="F59" s="367"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6">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1078.3900000000001</v>
      </c>
      <c r="D61" s="1827" t="s">
        <v>1438</v>
      </c>
      <c r="E61" s="1168" t="s">
        <v>1422</v>
      </c>
      <c r="F61" s="366">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4.05</v>
      </c>
      <c r="D62" s="1183" t="s">
        <v>1442</v>
      </c>
      <c r="E62" s="1168" t="s">
        <v>1443</v>
      </c>
      <c r="F62" s="370">
        <f t="shared" si="0"/>
        <v>9</v>
      </c>
      <c r="I62" s="1928" t="s">
        <v>1570</v>
      </c>
      <c r="J62" s="1929" t="s">
        <v>1571</v>
      </c>
      <c r="K62" s="1929" t="s">
        <v>1572</v>
      </c>
      <c r="L62" s="1929" t="s">
        <v>1573</v>
      </c>
      <c r="M62" s="1930" t="s">
        <v>1574</v>
      </c>
      <c r="O62" s="1883" t="s">
        <v>1046</v>
      </c>
      <c r="P62" s="1884" t="s">
        <v>1549</v>
      </c>
      <c r="Q62" s="1885">
        <f ca="1">Q56+Q57</f>
        <v>66401</v>
      </c>
      <c r="R62" s="1885" t="s">
        <v>1047</v>
      </c>
    </row>
    <row r="63" spans="1:18" s="1841" customFormat="1" ht="13.5" thickBot="1">
      <c r="A63" s="371"/>
      <c r="B63" s="1174"/>
      <c r="C63" s="29"/>
      <c r="D63" s="1184"/>
      <c r="E63" s="1168" t="s">
        <v>1447</v>
      </c>
      <c r="F63" s="347">
        <f t="shared" ca="1" si="0"/>
        <v>4504.53</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192.6</v>
      </c>
      <c r="D64" s="1182" t="s">
        <v>1482</v>
      </c>
      <c r="E64" s="1168" t="s">
        <v>1422</v>
      </c>
      <c r="F64" s="373">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19.3</v>
      </c>
      <c r="D65" s="1182" t="s">
        <v>1454</v>
      </c>
      <c r="E65" s="1168" t="s">
        <v>1422</v>
      </c>
      <c r="F65" s="375">
        <f t="shared" ca="1" si="0"/>
        <v>1.5E-3</v>
      </c>
      <c r="I65" s="1928" t="s">
        <v>1579</v>
      </c>
      <c r="J65" s="1929">
        <v>40</v>
      </c>
      <c r="K65" s="1929">
        <v>30</v>
      </c>
      <c r="L65" s="1929">
        <v>50</v>
      </c>
      <c r="M65" s="1931">
        <v>0.02</v>
      </c>
      <c r="O65" s="1883" t="s">
        <v>1040</v>
      </c>
      <c r="P65" s="1884" t="s">
        <v>1528</v>
      </c>
      <c r="Q65" s="1885">
        <f ca="1">C40+J29</f>
        <v>66401</v>
      </c>
      <c r="R65" s="1885" t="s">
        <v>1529</v>
      </c>
    </row>
    <row r="66" spans="1:18" s="1841" customFormat="1" ht="16.5" thickBot="1">
      <c r="A66" s="1200" t="s">
        <v>1504</v>
      </c>
      <c r="B66" s="1168" t="s">
        <v>1439</v>
      </c>
      <c r="C66" s="24">
        <f ca="1">ROUND(C48*F66,1)</f>
        <v>0</v>
      </c>
      <c r="D66" s="1182" t="s">
        <v>1459</v>
      </c>
      <c r="E66" s="1168" t="s">
        <v>1422</v>
      </c>
      <c r="F66" s="356">
        <f t="shared" ca="1" si="0"/>
        <v>0.01</v>
      </c>
      <c r="O66" s="1883" t="s">
        <v>1041</v>
      </c>
      <c r="P66" s="1884" t="s">
        <v>1558</v>
      </c>
      <c r="Q66" s="1885">
        <f ca="1">L60</f>
        <v>0</v>
      </c>
      <c r="R66" s="1885" t="s">
        <v>1581</v>
      </c>
    </row>
    <row r="67" spans="1:18" s="1841" customFormat="1" ht="16.5" thickBot="1">
      <c r="A67" s="1175" t="s">
        <v>1031</v>
      </c>
      <c r="B67" s="1185" t="s">
        <v>1463</v>
      </c>
      <c r="C67" s="360">
        <f ca="1">C48-C58</f>
        <v>-1294</v>
      </c>
      <c r="D67" s="1181" t="s">
        <v>1464</v>
      </c>
      <c r="E67" s="1186"/>
      <c r="F67" s="1187"/>
      <c r="O67" s="1893" t="s">
        <v>1042</v>
      </c>
      <c r="P67" s="1884" t="s">
        <v>1562</v>
      </c>
      <c r="Q67" s="1932">
        <f ca="1">L51</f>
        <v>29088</v>
      </c>
      <c r="R67" s="1885" t="s">
        <v>1582</v>
      </c>
    </row>
    <row r="68" spans="1:18" s="1841" customFormat="1" ht="16.5" thickBot="1">
      <c r="A68" s="1165" t="s">
        <v>1032</v>
      </c>
      <c r="B68" s="1166" t="s">
        <v>1485</v>
      </c>
      <c r="C68" s="345">
        <f ca="1">ROUND(C67*(1-((1+F70)/(1+F68))^F69)/(F68-F70),0)</f>
        <v>-20245</v>
      </c>
      <c r="D68" s="1183" t="s">
        <v>1469</v>
      </c>
      <c r="E68" s="1168" t="s">
        <v>1470</v>
      </c>
      <c r="F68" s="356">
        <f ca="1">F40</f>
        <v>5.5E-2</v>
      </c>
      <c r="O68" s="1893" t="s">
        <v>1043</v>
      </c>
      <c r="P68" s="1933" t="s">
        <v>1583</v>
      </c>
      <c r="Q68" s="1885">
        <f ca="1">ROUND(Q69-Q70*Q71,0)</f>
        <v>1741</v>
      </c>
      <c r="R68" s="1885" t="s">
        <v>1051</v>
      </c>
    </row>
    <row r="69" spans="1:18" s="1841" customFormat="1" ht="13.5" thickBot="1">
      <c r="A69" s="1169"/>
      <c r="B69" s="1170"/>
      <c r="C69" s="350"/>
      <c r="D69" s="1188" t="s">
        <v>1473</v>
      </c>
      <c r="E69" s="1168" t="s">
        <v>1474</v>
      </c>
      <c r="F69" s="378">
        <f ca="1">F41</f>
        <v>36.79</v>
      </c>
      <c r="O69" s="1893" t="s">
        <v>1048</v>
      </c>
      <c r="P69" s="1933" t="s">
        <v>1584</v>
      </c>
      <c r="Q69" s="1885">
        <f ca="1">C39</f>
        <v>2832</v>
      </c>
      <c r="R69" s="1885" t="s">
        <v>1529</v>
      </c>
    </row>
    <row r="70" spans="1:18" s="1841" customFormat="1" ht="13.5" thickBot="1">
      <c r="A70" s="1172"/>
      <c r="B70" s="1173"/>
      <c r="C70" s="354"/>
      <c r="D70" s="1184"/>
      <c r="E70" s="1168" t="s">
        <v>1477</v>
      </c>
      <c r="F70" s="1274"/>
      <c r="O70" s="1893" t="s">
        <v>1049</v>
      </c>
      <c r="P70" s="1933" t="s">
        <v>1585</v>
      </c>
      <c r="Q70" s="1885">
        <f ca="1">C13</f>
        <v>12838</v>
      </c>
      <c r="R70" s="1885" t="s">
        <v>1529</v>
      </c>
    </row>
    <row r="71" spans="1:18" s="1841" customFormat="1" ht="13.5" thickBot="1">
      <c r="A71" s="1189" t="s">
        <v>1033</v>
      </c>
      <c r="B71" s="1190" t="s">
        <v>1487</v>
      </c>
      <c r="C71" s="381">
        <f ca="1">ROUND(C68*10000/F71,0)</f>
        <v>-6748</v>
      </c>
      <c r="D71" s="1191" t="s">
        <v>1488</v>
      </c>
      <c r="E71" s="1192" t="s">
        <v>1489</v>
      </c>
      <c r="F71" s="384">
        <f ca="1">F43</f>
        <v>30003.56</v>
      </c>
      <c r="O71" s="1893" t="s">
        <v>1050</v>
      </c>
      <c r="P71" s="1933" t="s">
        <v>1586</v>
      </c>
      <c r="Q71" s="1896">
        <f ca="1">C76</f>
        <v>8.5000000000000006E-2</v>
      </c>
      <c r="R71" s="1885"/>
    </row>
    <row r="72" spans="1:18" s="1841" customFormat="1" ht="13.5" thickBot="1">
      <c r="B72" s="794"/>
      <c r="C72" s="794"/>
      <c r="O72" s="1893" t="s">
        <v>1044</v>
      </c>
      <c r="P72" s="1884" t="s">
        <v>1564</v>
      </c>
      <c r="Q72" s="1896">
        <f>L52</f>
        <v>0</v>
      </c>
      <c r="R72" s="1885"/>
    </row>
    <row r="73" spans="1:18" ht="16.5" thickBot="1">
      <c r="A73" s="1841"/>
      <c r="B73" s="794"/>
      <c r="C73" s="794"/>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5" t="s">
        <v>1506</v>
      </c>
      <c r="C75" s="386">
        <f ca="1">ROUND(C13*C76,0)</f>
        <v>1091</v>
      </c>
      <c r="D75" s="1841"/>
      <c r="E75" s="1841"/>
      <c r="F75" s="1841"/>
      <c r="K75" s="1867"/>
      <c r="L75" s="1841"/>
      <c r="O75" s="1883" t="s">
        <v>1046</v>
      </c>
      <c r="P75" s="1884" t="s">
        <v>1549</v>
      </c>
      <c r="Q75" s="1885">
        <f ca="1">Q65+Q66</f>
        <v>66401</v>
      </c>
      <c r="R75" s="1885" t="s">
        <v>1047</v>
      </c>
    </row>
    <row r="76" spans="1:18">
      <c r="B76" s="387" t="s">
        <v>1507</v>
      </c>
      <c r="C76" s="388">
        <f ca="1">INDIRECT("'数据-取费表'!j"&amp;$G$1)</f>
        <v>8.5000000000000006E-2</v>
      </c>
      <c r="I76" s="1841"/>
      <c r="J76" s="1841"/>
      <c r="K76" s="1867"/>
      <c r="L76" s="1841"/>
    </row>
    <row r="77" spans="1:18">
      <c r="B77" s="389" t="s">
        <v>1508</v>
      </c>
      <c r="C77" s="390"/>
      <c r="I77" s="1841"/>
      <c r="J77" s="1841"/>
      <c r="K77" s="1867"/>
      <c r="L77" s="1841"/>
    </row>
    <row r="78" spans="1:18">
      <c r="B78" s="313" t="s">
        <v>1509</v>
      </c>
      <c r="C78" s="391"/>
    </row>
    <row r="79" spans="1:18">
      <c r="B79" s="385" t="s">
        <v>1510</v>
      </c>
      <c r="C79" s="317">
        <f ca="1">1-C80</f>
        <v>0.61499999999999999</v>
      </c>
    </row>
    <row r="80" spans="1:18">
      <c r="B80" s="385" t="s">
        <v>1511</v>
      </c>
      <c r="C80" s="317">
        <f ca="1">ROUND(C75/C39,3)</f>
        <v>0.38500000000000001</v>
      </c>
    </row>
    <row r="81" spans="2:3">
      <c r="B81" s="313" t="s">
        <v>1512</v>
      </c>
      <c r="C81" s="281"/>
    </row>
    <row r="82" spans="2:3">
      <c r="B82" s="316" t="s">
        <v>1513</v>
      </c>
      <c r="C82" s="318">
        <f ca="1">1-C83</f>
        <v>0.80699999999999994</v>
      </c>
    </row>
    <row r="83" spans="2:3">
      <c r="B83" s="316" t="s">
        <v>1514</v>
      </c>
      <c r="C83" s="317">
        <f ca="1">ROUND(C13/C40,3)</f>
        <v>0.193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6" sqref="F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0"/>
      <c r="C1" s="1836" t="s">
        <v>48</v>
      </c>
      <c r="D1" s="1819" t="s">
        <v>3114</v>
      </c>
      <c r="E1" s="1820" t="s">
        <v>1387</v>
      </c>
      <c r="F1" s="1282" t="e">
        <f ca="1">J53</f>
        <v>#N/A</v>
      </c>
      <c r="G1" s="1835"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2"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1" t="e">
        <f ca="1">C6+C10+C12</f>
        <v>#N/A</v>
      </c>
      <c r="D5" s="1821" t="s">
        <v>1402</v>
      </c>
      <c r="E5" s="1292"/>
      <c r="F5" s="1293"/>
      <c r="G5" s="1850"/>
      <c r="H5" s="343">
        <v>1</v>
      </c>
      <c r="I5" s="344" t="s">
        <v>1401</v>
      </c>
      <c r="J5" s="1291" t="e">
        <f ca="1">J6+J10+J12</f>
        <v>#N/A</v>
      </c>
      <c r="K5" s="1821" t="s">
        <v>1402</v>
      </c>
      <c r="L5" s="1292"/>
      <c r="M5" s="1293"/>
    </row>
    <row r="6" spans="1:37" ht="18" customHeight="1">
      <c r="A6" s="1290" t="s">
        <v>1035</v>
      </c>
      <c r="B6" s="3305" t="s">
        <v>1403</v>
      </c>
      <c r="C6" s="1295" t="e">
        <f ca="1">ROUND(F6*F8*F7*(1-F9)/10000,0)</f>
        <v>#N/A</v>
      </c>
      <c r="D6" s="163" t="s">
        <v>3025</v>
      </c>
      <c r="E6" s="346" t="s">
        <v>1405</v>
      </c>
      <c r="F6" s="347" t="e">
        <f ca="1">INDIRECT("'数据-取费表'!u"&amp;$G$1)</f>
        <v>#N/A</v>
      </c>
      <c r="G6" s="1850"/>
      <c r="H6" s="1290" t="s">
        <v>1035</v>
      </c>
      <c r="I6" s="3305" t="s">
        <v>1403</v>
      </c>
      <c r="J6" s="345" t="e">
        <f ca="1">ROUND(M6*M8*M7*(1-M9)/10000,0)</f>
        <v>#N/A</v>
      </c>
      <c r="K6" s="163" t="s">
        <v>3024</v>
      </c>
      <c r="L6" s="346" t="s">
        <v>1405</v>
      </c>
      <c r="M6" s="347" t="e">
        <f ca="1">INDIRECT("'数据-取费表'!z"&amp;$G$1)</f>
        <v>#N/A</v>
      </c>
    </row>
    <row r="7" spans="1:37" ht="18" customHeight="1">
      <c r="A7" s="1294"/>
      <c r="B7" s="3306"/>
      <c r="C7" s="1296"/>
      <c r="D7" s="351"/>
      <c r="E7" s="2946" t="s">
        <v>1406</v>
      </c>
      <c r="F7" s="347" t="e">
        <f ca="1">IF(INDIRECT("'数据-取费表'!ah"&amp;$G$1)="",INDIRECT("'数据-取费表'!k"&amp;$G$1),INDIRECT("'数据-取费表'!ah"&amp;$G$1))</f>
        <v>#N/A</v>
      </c>
      <c r="G7" s="1850"/>
      <c r="H7" s="348"/>
      <c r="I7" s="3306"/>
      <c r="J7" s="350"/>
      <c r="K7" s="351"/>
      <c r="L7" s="346" t="s">
        <v>1406</v>
      </c>
      <c r="M7" s="347" t="e">
        <f ca="1">F7</f>
        <v>#N/A</v>
      </c>
    </row>
    <row r="8" spans="1:37" ht="18" customHeight="1">
      <c r="A8" s="348"/>
      <c r="B8" s="3306"/>
      <c r="C8" s="350"/>
      <c r="D8" s="351"/>
      <c r="E8" s="346" t="s">
        <v>1407</v>
      </c>
      <c r="F8" s="347" t="e">
        <f ca="1">INDIRECT("'数据-取费表'!ai"&amp;$G$1)</f>
        <v>#N/A</v>
      </c>
      <c r="G8" s="1850"/>
      <c r="H8" s="348"/>
      <c r="I8" s="3306"/>
      <c r="J8" s="350"/>
      <c r="K8" s="351"/>
      <c r="L8" s="346" t="s">
        <v>1407</v>
      </c>
      <c r="M8" s="347" t="e">
        <f ca="1">INDIRECT("'数据-取费表'!ai"&amp;$G$1)</f>
        <v>#N/A</v>
      </c>
    </row>
    <row r="9" spans="1:37" ht="18" customHeight="1">
      <c r="A9" s="348"/>
      <c r="B9" s="3307"/>
      <c r="C9" s="350"/>
      <c r="D9" s="351"/>
      <c r="E9" s="346" t="s">
        <v>1408</v>
      </c>
      <c r="F9" s="356" t="e">
        <f ca="1">INDIRECT("'数据-取费表'!w"&amp;$G$1)</f>
        <v>#N/A</v>
      </c>
      <c r="G9" s="1850"/>
      <c r="H9" s="348"/>
      <c r="I9" s="3307"/>
      <c r="J9" s="350"/>
      <c r="K9" s="351"/>
      <c r="L9" s="357" t="s">
        <v>1408</v>
      </c>
      <c r="M9" s="358" t="e">
        <f ca="1">INDIRECT("'数据-取费表'!ab"&amp;$G$1)</f>
        <v>#N/A</v>
      </c>
    </row>
    <row r="10" spans="1:37" ht="18" customHeight="1">
      <c r="A10" s="1290" t="s">
        <v>1039</v>
      </c>
      <c r="B10" s="1822" t="s">
        <v>1409</v>
      </c>
      <c r="C10" s="360">
        <f ca="1">ROUND(IF(F10="押一",C6/12*F11,IF(F10="押二",C6/12*2*F11,IF(F10="押三",C6/12*3*F11,C11*F11))),0)</f>
        <v>0</v>
      </c>
      <c r="D10" s="1823" t="s">
        <v>3033</v>
      </c>
      <c r="E10" s="357" t="s">
        <v>1410</v>
      </c>
      <c r="F10" s="1365"/>
      <c r="G10" s="1850"/>
      <c r="H10" s="1290" t="s">
        <v>1039</v>
      </c>
      <c r="I10" s="1822" t="s">
        <v>1409</v>
      </c>
      <c r="J10" s="345" t="e">
        <f ca="1">ROUND(IF(M10="押一",J6/12*M11,IF(M10="押二",J6/12*2*M11,IF(M10="押三",J6/12*3*M11,J11*M11))),0)</f>
        <v>#N/A</v>
      </c>
      <c r="K10" s="1823" t="s">
        <v>3033</v>
      </c>
      <c r="L10" s="357" t="s">
        <v>1410</v>
      </c>
      <c r="M10" s="1365" t="s">
        <v>1411</v>
      </c>
    </row>
    <row r="11" spans="1:37" ht="18" customHeight="1">
      <c r="A11" s="352"/>
      <c r="B11" s="1824" t="s">
        <v>1388</v>
      </c>
      <c r="C11" s="1177"/>
      <c r="D11" s="1825"/>
      <c r="E11" s="357" t="s">
        <v>1412</v>
      </c>
      <c r="F11" s="358">
        <f ca="1">'数据-取费表'!B39</f>
        <v>1.4999999999999999E-2</v>
      </c>
      <c r="G11" s="1850"/>
      <c r="H11" s="1298"/>
      <c r="I11" s="1824" t="s">
        <v>1388</v>
      </c>
      <c r="J11" s="1177"/>
      <c r="K11" s="746"/>
      <c r="L11" s="357"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4" t="e">
        <f ca="1">ROUND(C29*F13,0)</f>
        <v>#N/A</v>
      </c>
      <c r="D13" s="1330" t="s">
        <v>1415</v>
      </c>
      <c r="E13" s="1330" t="s">
        <v>1416</v>
      </c>
      <c r="F13" s="1331" t="e">
        <f ca="1">INDIRECT("'数据-取费表'!y"&amp;$G$1)</f>
        <v>#N/A</v>
      </c>
      <c r="G13" s="1850"/>
      <c r="H13" s="1328">
        <v>2</v>
      </c>
      <c r="I13" s="1329" t="s">
        <v>1414</v>
      </c>
      <c r="J13" s="1289" t="e">
        <f ca="1">ROUND(J14*J15,0)</f>
        <v>#N/A</v>
      </c>
      <c r="K13" s="1336" t="s">
        <v>1415</v>
      </c>
      <c r="L13" s="1851"/>
      <c r="M13" s="1852"/>
    </row>
    <row r="14" spans="1:37" ht="18" customHeight="1">
      <c r="A14" s="1200" t="s">
        <v>1034</v>
      </c>
      <c r="B14" s="346" t="s">
        <v>1417</v>
      </c>
      <c r="C14" s="362" t="e">
        <f ca="1">INDIRECT("'数据-取费表'!m"&amp;$G$1)+INDIRECT("'数据-取费表'!t"&amp;$G$1)</f>
        <v>#N/A</v>
      </c>
      <c r="D14" s="2940" t="s">
        <v>1418</v>
      </c>
      <c r="E14" s="2938"/>
      <c r="F14" s="363"/>
      <c r="G14" s="1850"/>
      <c r="H14" s="1200" t="s">
        <v>1035</v>
      </c>
      <c r="I14" s="346" t="s">
        <v>1419</v>
      </c>
      <c r="J14" s="24" t="e">
        <f ca="1">C29</f>
        <v>#N/A</v>
      </c>
      <c r="K14" s="2945"/>
      <c r="L14" s="978"/>
      <c r="M14" s="979"/>
    </row>
    <row r="15" spans="1:37" s="1857" customFormat="1" ht="18" customHeight="1" thickBot="1">
      <c r="A15" s="1200" t="s">
        <v>1036</v>
      </c>
      <c r="B15" s="346" t="s">
        <v>1420</v>
      </c>
      <c r="C15" s="24" t="e">
        <f ca="1">ROUND(C14*F15,0)</f>
        <v>#N/A</v>
      </c>
      <c r="D15" s="364" t="s">
        <v>1421</v>
      </c>
      <c r="E15" s="364" t="s">
        <v>1422</v>
      </c>
      <c r="F15" s="365">
        <f>'数据-取费表'!B33</f>
        <v>0.03</v>
      </c>
      <c r="G15" s="1853"/>
      <c r="H15" s="1338" t="s">
        <v>1039</v>
      </c>
      <c r="I15" s="1339" t="s">
        <v>1416</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6" t="s">
        <v>1423</v>
      </c>
      <c r="C16" s="24" t="e">
        <f ca="1">ROUND(INDIRECT("'数据-取费表'!m"&amp;$G$1)*F16,0)</f>
        <v>#N/A</v>
      </c>
      <c r="D16" s="346" t="s">
        <v>1421</v>
      </c>
      <c r="E16" s="346" t="s">
        <v>1422</v>
      </c>
      <c r="F16" s="366" t="e">
        <f ca="1">IF(INDIRECT("'数据-取费表'!c"&amp;$G$1)="住宅",'数据-取费表'!B34,0)</f>
        <v>#N/A</v>
      </c>
      <c r="G16" s="1850"/>
      <c r="H16" s="1328" t="s">
        <v>1030</v>
      </c>
      <c r="I16" s="1329" t="s">
        <v>1424</v>
      </c>
      <c r="J16" s="354" t="e">
        <f ca="1">ROUND(J17+J22+J23+J24,0)</f>
        <v>#N/A</v>
      </c>
      <c r="K16" s="1336" t="s">
        <v>1425</v>
      </c>
      <c r="L16" s="2941"/>
      <c r="M16" s="1293"/>
    </row>
    <row r="17" spans="1:37" s="1857" customFormat="1" ht="18" customHeight="1">
      <c r="A17" s="1200" t="s">
        <v>1390</v>
      </c>
      <c r="B17" s="346" t="s">
        <v>1426</v>
      </c>
      <c r="C17" s="24" t="e">
        <f ca="1">ROUND(F17*(F43+INDIRECT("'数据-取费表'!S"&amp;$G$1))/10000,0)</f>
        <v>#N/A</v>
      </c>
      <c r="D17" s="346" t="s">
        <v>1427</v>
      </c>
      <c r="E17" s="346" t="s">
        <v>1428</v>
      </c>
      <c r="F17" s="26">
        <f>'数据-取费表'!B35</f>
        <v>200</v>
      </c>
      <c r="G17" s="1853"/>
      <c r="H17" s="1200" t="s">
        <v>1035</v>
      </c>
      <c r="I17" s="346" t="s">
        <v>1429</v>
      </c>
      <c r="J17" s="24" t="e">
        <f ca="1">ROUND(IF(项目基本情况!B11="自然人",J5*M17,J18+J19+J20),1)</f>
        <v>#N/A</v>
      </c>
      <c r="K17" s="2940" t="s">
        <v>1430</v>
      </c>
      <c r="L17" s="2939"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6" t="s">
        <v>1432</v>
      </c>
      <c r="C18" s="24" t="e">
        <f ca="1">ROUND(C14*F18,0)</f>
        <v>#N/A</v>
      </c>
      <c r="D18" s="346" t="s">
        <v>1421</v>
      </c>
      <c r="E18" s="346" t="s">
        <v>1422</v>
      </c>
      <c r="F18" s="366">
        <f>'数据-取费表'!B36</f>
        <v>1.4999999999999999E-2</v>
      </c>
      <c r="G18" s="1853"/>
      <c r="H18" s="1200" t="s">
        <v>1034</v>
      </c>
      <c r="I18" s="346" t="s">
        <v>1433</v>
      </c>
      <c r="J18" s="24" t="e">
        <f ca="1">ROUND(J5*M18/(1+'数据-取费表'!C42),2)</f>
        <v>#N/A</v>
      </c>
      <c r="K18" s="2939"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1435</v>
      </c>
      <c r="C19" s="24" t="e">
        <f ca="1">SUM(C14:C18)</f>
        <v>#N/A</v>
      </c>
      <c r="D19" s="139" t="s">
        <v>1436</v>
      </c>
      <c r="E19" s="2944"/>
      <c r="F19" s="26"/>
      <c r="G19" s="1850"/>
      <c r="H19" s="1200" t="s">
        <v>1036</v>
      </c>
      <c r="I19" s="346" t="s">
        <v>1437</v>
      </c>
      <c r="J19" s="24" t="e">
        <f ca="1">IF(K19="按租金收入计税",ROUND(J5*M19,2),ROUND(C29*M19*0.7,2))</f>
        <v>#N/A</v>
      </c>
      <c r="K19" s="1827" t="s">
        <v>1438</v>
      </c>
      <c r="L19" s="346" t="s">
        <v>1422</v>
      </c>
      <c r="M19" s="366">
        <f>IF(K19="按租金收入计税",'数据-取费表'!B51,'数据-取费表'!B50)</f>
        <v>1.2E-2</v>
      </c>
    </row>
    <row r="20" spans="1:37" s="1857" customFormat="1" ht="18" customHeight="1">
      <c r="A20" s="1200" t="s">
        <v>1039</v>
      </c>
      <c r="B20" s="346" t="s">
        <v>1439</v>
      </c>
      <c r="C20" s="24" t="e">
        <f ca="1">ROUND(C19*F20,0)</f>
        <v>#N/A</v>
      </c>
      <c r="D20" s="368" t="s">
        <v>1440</v>
      </c>
      <c r="E20" s="346" t="s">
        <v>1422</v>
      </c>
      <c r="F20" s="366">
        <f>'数据-取费表'!B37</f>
        <v>0.02</v>
      </c>
      <c r="G20" s="1853"/>
      <c r="H20" s="1200" t="s">
        <v>1389</v>
      </c>
      <c r="I20" s="163" t="s">
        <v>1441</v>
      </c>
      <c r="J20" s="25" t="e">
        <f ca="1">ROUND(M20*M21/10000,2)</f>
        <v>#N/A</v>
      </c>
      <c r="K20" s="369" t="s">
        <v>1442</v>
      </c>
      <c r="L20" s="346" t="s">
        <v>1443</v>
      </c>
      <c r="M20" s="370">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1444</v>
      </c>
      <c r="C21" s="24" t="s">
        <v>18</v>
      </c>
      <c r="D21" s="368" t="s">
        <v>1445</v>
      </c>
      <c r="E21" s="346" t="s">
        <v>1446</v>
      </c>
      <c r="F21" s="366">
        <f>'数据-取费表'!B38</f>
        <v>0.03</v>
      </c>
      <c r="G21" s="1853"/>
      <c r="H21" s="371"/>
      <c r="I21" s="355"/>
      <c r="J21" s="29"/>
      <c r="K21" s="372"/>
      <c r="L21" s="346" t="s">
        <v>1447</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2944"/>
      <c r="F22" s="26"/>
      <c r="G22" s="1850"/>
      <c r="H22" s="1200" t="s">
        <v>1039</v>
      </c>
      <c r="I22" s="346" t="s">
        <v>1449</v>
      </c>
      <c r="J22" s="24" t="e">
        <f ca="1">ROUND(J14*M22,1)</f>
        <v>#N/A</v>
      </c>
      <c r="K22" s="2939" t="s">
        <v>1450</v>
      </c>
      <c r="L22" s="346" t="s">
        <v>1422</v>
      </c>
      <c r="M22" s="373" t="e">
        <f ca="1">INDIRECT("'数据-取费表'!Ak"&amp;$G$1)</f>
        <v>#N/A</v>
      </c>
    </row>
    <row r="23" spans="1:37" s="1857" customFormat="1" ht="18" customHeight="1">
      <c r="A23" s="1200"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3"/>
      <c r="H23" s="1200" t="s">
        <v>1075</v>
      </c>
      <c r="I23" s="346" t="s">
        <v>1453</v>
      </c>
      <c r="J23" s="24" t="e">
        <f ca="1">ROUND(J13*M23,1)</f>
        <v>#N/A</v>
      </c>
      <c r="K23" s="2939" t="s">
        <v>1454</v>
      </c>
      <c r="L23" s="346" t="s">
        <v>1422</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3"/>
      <c r="H24" s="1338" t="s">
        <v>1392</v>
      </c>
      <c r="I24" s="1339" t="s">
        <v>1439</v>
      </c>
      <c r="J24" s="1340" t="e">
        <f ca="1">ROUND(J5*M24,1)</f>
        <v>#N/A</v>
      </c>
      <c r="K24" s="1341" t="s">
        <v>1459</v>
      </c>
      <c r="L24" s="1339" t="s">
        <v>1422</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6" t="s">
        <v>1461</v>
      </c>
      <c r="C25" s="24"/>
      <c r="D25" s="139" t="s">
        <v>1462</v>
      </c>
      <c r="E25" s="2944"/>
      <c r="F25" s="26"/>
      <c r="G25" s="1850"/>
      <c r="H25" s="1328" t="s">
        <v>1031</v>
      </c>
      <c r="I25" s="1343" t="s">
        <v>1463</v>
      </c>
      <c r="J25" s="354" t="e">
        <f ca="1">J5-J16</f>
        <v>#N/A</v>
      </c>
      <c r="K25" s="1344" t="s">
        <v>1464</v>
      </c>
      <c r="L25" s="1345"/>
      <c r="M25" s="1346"/>
    </row>
    <row r="26" spans="1:37">
      <c r="A26" s="1200" t="s">
        <v>1034</v>
      </c>
      <c r="B26" s="346" t="s">
        <v>1465</v>
      </c>
      <c r="C26" s="24" t="e">
        <f ca="1">ROUND((C19+C20)*F26,0)</f>
        <v>#N/A</v>
      </c>
      <c r="D26" s="368" t="s">
        <v>1466</v>
      </c>
      <c r="E26" s="357" t="s">
        <v>1467</v>
      </c>
      <c r="F26" s="356" t="e">
        <f ca="1">INDIRECT("'数据-取费表'!q"&amp;$G$1)</f>
        <v>#N/A</v>
      </c>
      <c r="G26" s="1850"/>
      <c r="H26" s="343" t="s">
        <v>1032</v>
      </c>
      <c r="I26" s="344" t="s">
        <v>1468</v>
      </c>
      <c r="J26" s="345" t="e">
        <f ca="1">IF(J5&lt;&gt;0,ROUND(J25*(1-((1+M28)/(1+M26))^M27)/(M26-M28),0),0)</f>
        <v>#N/A</v>
      </c>
      <c r="K26" s="369" t="s">
        <v>1469</v>
      </c>
      <c r="L26" s="346" t="s">
        <v>1470</v>
      </c>
      <c r="M26" s="356" t="e">
        <f ca="1">INDIRECT("'数据-取费表'!I"&amp;$G$1)</f>
        <v>#N/A</v>
      </c>
    </row>
    <row r="27" spans="1:37" ht="18" customHeight="1">
      <c r="A27" s="1200" t="s">
        <v>1036</v>
      </c>
      <c r="B27" s="346" t="s">
        <v>1471</v>
      </c>
      <c r="C27" s="24" t="e">
        <f ca="1">ROUND(F21*F26,4)</f>
        <v>#N/A</v>
      </c>
      <c r="D27" s="368" t="s">
        <v>1472</v>
      </c>
      <c r="E27" s="364"/>
      <c r="F27" s="365"/>
      <c r="G27" s="1850"/>
      <c r="H27" s="348"/>
      <c r="I27" s="349"/>
      <c r="J27" s="350"/>
      <c r="K27" s="377" t="s">
        <v>1473</v>
      </c>
      <c r="L27" s="346" t="s">
        <v>1474</v>
      </c>
      <c r="M27" s="378" t="e">
        <f ca="1">INDIRECT("'数据-取费表'!ag"&amp;$G$1)</f>
        <v>#N/A</v>
      </c>
    </row>
    <row r="28" spans="1:37" s="1857" customFormat="1" ht="18" customHeight="1">
      <c r="A28" s="1200" t="s">
        <v>1037</v>
      </c>
      <c r="B28" s="346" t="s">
        <v>1475</v>
      </c>
      <c r="C28" s="24">
        <f>ROUND(F28/(1+'数据-取费表'!C42),4)</f>
        <v>5.33E-2</v>
      </c>
      <c r="D28" s="368" t="s">
        <v>1476</v>
      </c>
      <c r="E28" s="346" t="s">
        <v>1422</v>
      </c>
      <c r="F28" s="366">
        <f>'数据-取费表'!B41</f>
        <v>5.6000000000000001E-2</v>
      </c>
      <c r="G28" s="1853"/>
      <c r="H28" s="352"/>
      <c r="I28" s="353"/>
      <c r="J28" s="354"/>
      <c r="K28" s="372"/>
      <c r="L28" s="346" t="s">
        <v>1477</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t="e">
        <f ca="1">ROUND((C19+C20+C23+C26)/(1-F21-C24-C27-C28),0)</f>
        <v>#N/A</v>
      </c>
      <c r="D29" s="1341"/>
      <c r="E29" s="1339"/>
      <c r="F29" s="1342"/>
      <c r="G29" s="1853"/>
      <c r="H29" s="379" t="s">
        <v>1033</v>
      </c>
      <c r="I29" s="380" t="s">
        <v>1479</v>
      </c>
      <c r="J29" s="381" t="e">
        <f ca="1">ROUND(J26/(1+F40)^F41,0)</f>
        <v>#N/A</v>
      </c>
      <c r="K29" s="382" t="s">
        <v>1480</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4" t="e">
        <f ca="1">ROUND(C31+C36+C37+C38,0)</f>
        <v>#N/A</v>
      </c>
      <c r="D30" s="1336" t="s">
        <v>1425</v>
      </c>
      <c r="E30" s="2941"/>
      <c r="F30" s="1293"/>
      <c r="G30" s="1850"/>
      <c r="H30" s="743"/>
      <c r="I30" s="744"/>
      <c r="J30" s="745"/>
      <c r="K30" s="746"/>
      <c r="L30" s="747"/>
      <c r="M30" s="748"/>
    </row>
    <row r="31" spans="1:37" ht="18" customHeight="1">
      <c r="A31" s="1200" t="s">
        <v>1035</v>
      </c>
      <c r="B31" s="346" t="s">
        <v>1429</v>
      </c>
      <c r="C31" s="24" t="e">
        <f ca="1">ROUND(IF(项目基本情况!B11="自然人",C5*F31,C32+C33+C34),1)</f>
        <v>#N/A</v>
      </c>
      <c r="D31" s="2940" t="s">
        <v>1430</v>
      </c>
      <c r="E31" s="2939" t="s">
        <v>1481</v>
      </c>
      <c r="F31" s="367" t="str">
        <f ca="1">IF(项目基本情况!B11="企业","",IF(INDIRECT("'数据-取费表'!c"&amp;$G$1)="住宅",5%,IF(F6*F7*F8/12/(1+'数据-取费表'!C42)&gt;20000,12%,7%)))</f>
        <v/>
      </c>
      <c r="G31" s="1850"/>
      <c r="H31" s="743"/>
      <c r="I31" s="744"/>
      <c r="J31" s="745"/>
      <c r="K31" s="746"/>
      <c r="L31" s="747"/>
      <c r="M31" s="748"/>
    </row>
    <row r="32" spans="1:37" ht="18" customHeight="1">
      <c r="A32" s="1200" t="s">
        <v>1034</v>
      </c>
      <c r="B32" s="346" t="s">
        <v>1433</v>
      </c>
      <c r="C32" s="24" t="e">
        <f ca="1">IF(项目基本情况!B11="自然人","——",ROUND(C5*F32/(1+'数据-取费表'!C42),2))</f>
        <v>#N/A</v>
      </c>
      <c r="D32" s="2939" t="s">
        <v>1434</v>
      </c>
      <c r="E32" s="346" t="s">
        <v>1422</v>
      </c>
      <c r="F32" s="376">
        <f>'数据-取费表'!B41</f>
        <v>5.6000000000000001E-2</v>
      </c>
      <c r="G32" s="1850"/>
      <c r="H32" s="743"/>
      <c r="I32" s="744"/>
      <c r="J32" s="745"/>
      <c r="K32" s="746"/>
      <c r="L32" s="747"/>
      <c r="M32" s="748"/>
    </row>
    <row r="33" spans="1:18" ht="18" customHeight="1">
      <c r="A33" s="1200" t="s">
        <v>1036</v>
      </c>
      <c r="B33" s="346" t="s">
        <v>1437</v>
      </c>
      <c r="C33" s="24" t="e">
        <f ca="1">IF(项目基本情况!B11="自然人","——",IF(D33="按租金收入计税",ROUND(C5*F33,2),IF(D33="按房产原值计税",ROUND(C29*F33*0.7,2),INDIRECT("'数据-取费表'!Aj"&amp;$G$1))))</f>
        <v>#N/A</v>
      </c>
      <c r="D33" s="1827" t="s">
        <v>3113</v>
      </c>
      <c r="E33" s="346" t="s">
        <v>1422</v>
      </c>
      <c r="F33" s="366">
        <f>IF(D33="按票据","——",IF(D33="按租金收入计税",'数据-取费表'!B51,'数据-取费表'!B50))</f>
        <v>0.12</v>
      </c>
      <c r="G33" s="1850"/>
      <c r="H33" s="1858"/>
      <c r="I33" s="1859"/>
      <c r="J33" s="1860"/>
      <c r="K33" s="1861"/>
      <c r="L33" s="1858"/>
      <c r="M33" s="1858"/>
    </row>
    <row r="34" spans="1:18" ht="18" customHeight="1">
      <c r="A34" s="1290" t="s">
        <v>1389</v>
      </c>
      <c r="B34" s="163" t="s">
        <v>1441</v>
      </c>
      <c r="C34" s="25" t="e">
        <f ca="1">IF(项目基本情况!B11="自然人","——",ROUND(F34*F35/10000,2))</f>
        <v>#N/A</v>
      </c>
      <c r="D34" s="369" t="s">
        <v>1442</v>
      </c>
      <c r="E34" s="346" t="s">
        <v>1443</v>
      </c>
      <c r="F34" s="370">
        <f>'数据-取费表'!B52</f>
        <v>9</v>
      </c>
      <c r="G34" s="1850"/>
      <c r="H34" s="743"/>
      <c r="I34" s="1859"/>
      <c r="J34" s="1860"/>
      <c r="K34" s="1862"/>
      <c r="L34" s="1863"/>
      <c r="M34" s="1863"/>
    </row>
    <row r="35" spans="1:18" ht="18" customHeight="1">
      <c r="A35" s="1352"/>
      <c r="B35" s="1350"/>
      <c r="C35" s="29"/>
      <c r="D35" s="372"/>
      <c r="E35" s="346" t="s">
        <v>1447</v>
      </c>
      <c r="F35" s="347" t="e">
        <f ca="1">INDIRECT("'数据-取费表'!r"&amp;$G$1)</f>
        <v>#N/A</v>
      </c>
      <c r="G35" s="1850"/>
      <c r="H35" s="743"/>
      <c r="I35" s="1859"/>
      <c r="J35" s="1860"/>
      <c r="K35" s="1861"/>
      <c r="L35" s="1858"/>
      <c r="M35" s="1858"/>
    </row>
    <row r="36" spans="1:18" ht="18" customHeight="1">
      <c r="A36" s="1351" t="s">
        <v>1039</v>
      </c>
      <c r="B36" s="346" t="s">
        <v>1449</v>
      </c>
      <c r="C36" s="24" t="e">
        <f ca="1">ROUND(C29*F36,1)</f>
        <v>#N/A</v>
      </c>
      <c r="D36" s="2939" t="s">
        <v>1482</v>
      </c>
      <c r="E36" s="346" t="s">
        <v>1422</v>
      </c>
      <c r="F36" s="373" t="e">
        <f ca="1">INDIRECT("'数据-取费表'!Ak"&amp;$G$1)</f>
        <v>#N/A</v>
      </c>
      <c r="G36" s="1850"/>
      <c r="H36" s="1858"/>
      <c r="I36" s="1859"/>
      <c r="J36" s="1860"/>
      <c r="K36" s="749"/>
      <c r="L36" s="1858"/>
      <c r="M36" s="1858"/>
    </row>
    <row r="37" spans="1:18" ht="18" customHeight="1">
      <c r="A37" s="1200" t="s">
        <v>1075</v>
      </c>
      <c r="B37" s="346" t="s">
        <v>1453</v>
      </c>
      <c r="C37" s="24" t="e">
        <f ca="1">ROUND(C13*F37,1)</f>
        <v>#N/A</v>
      </c>
      <c r="D37" s="2939" t="s">
        <v>1454</v>
      </c>
      <c r="E37" s="346" t="s">
        <v>1422</v>
      </c>
      <c r="F37" s="375" t="e">
        <f ca="1">INDIRECT("'数据-取费表'!Al"&amp;$G$1)</f>
        <v>#N/A</v>
      </c>
      <c r="G37" s="1850"/>
      <c r="H37" s="1858"/>
      <c r="I37" s="1859"/>
      <c r="J37" s="1860"/>
      <c r="K37" s="749"/>
      <c r="L37" s="1858"/>
      <c r="M37" s="1858"/>
    </row>
    <row r="38" spans="1:18" ht="18" customHeight="1" thickBot="1">
      <c r="A38" s="1338" t="s">
        <v>1392</v>
      </c>
      <c r="B38" s="1339" t="s">
        <v>1439</v>
      </c>
      <c r="C38" s="1340" t="e">
        <f ca="1">ROUND(C5*F38,1)</f>
        <v>#N/A</v>
      </c>
      <c r="D38" s="1341" t="s">
        <v>1459</v>
      </c>
      <c r="E38" s="1339" t="s">
        <v>1422</v>
      </c>
      <c r="F38" s="1335" t="e">
        <f ca="1">INDIRECT("'数据-取费表'!Am"&amp;$G$1)</f>
        <v>#N/A</v>
      </c>
      <c r="G38" s="1850"/>
      <c r="H38" s="1858"/>
      <c r="I38" s="1859"/>
      <c r="J38" s="1860"/>
      <c r="K38" s="1864"/>
      <c r="L38" s="1858"/>
      <c r="M38" s="1858"/>
    </row>
    <row r="39" spans="1:18" ht="24.6" customHeight="1" thickTop="1">
      <c r="A39" s="1328" t="s">
        <v>1031</v>
      </c>
      <c r="B39" s="1343" t="s">
        <v>1463</v>
      </c>
      <c r="C39" s="354" t="e">
        <f ca="1">C5-C30</f>
        <v>#N/A</v>
      </c>
      <c r="D39" s="1344" t="s">
        <v>1464</v>
      </c>
      <c r="E39" s="1345"/>
      <c r="F39" s="1346"/>
      <c r="G39" s="1850"/>
      <c r="H39" s="1858"/>
      <c r="I39" s="1859"/>
      <c r="J39" s="1860"/>
      <c r="K39" s="1864"/>
      <c r="L39" s="1858"/>
      <c r="M39" s="1858"/>
    </row>
    <row r="40" spans="1:18" ht="18" customHeight="1">
      <c r="A40" s="343" t="s">
        <v>1032</v>
      </c>
      <c r="B40" s="344" t="s">
        <v>1485</v>
      </c>
      <c r="C40" s="345" t="e">
        <f ca="1">ROUND(C39*(1-((1+F42)/(1+F40))^F41)/(F40-F42),0)</f>
        <v>#N/A</v>
      </c>
      <c r="D40" s="369" t="s">
        <v>1469</v>
      </c>
      <c r="E40" s="346" t="s">
        <v>1470</v>
      </c>
      <c r="F40" s="356" t="e">
        <f ca="1">INDIRECT("'数据-取费表'!I"&amp;$G$1)</f>
        <v>#N/A</v>
      </c>
      <c r="G40" s="1850"/>
      <c r="H40" s="1838"/>
      <c r="I40" s="1859"/>
      <c r="J40" s="1860"/>
      <c r="K40" s="1864"/>
      <c r="L40" s="1838"/>
      <c r="M40" s="1838"/>
    </row>
    <row r="41" spans="1:18" ht="18" customHeight="1">
      <c r="A41" s="348"/>
      <c r="B41" s="349"/>
      <c r="C41" s="350"/>
      <c r="D41" s="377" t="s">
        <v>1486</v>
      </c>
      <c r="E41" s="346" t="s">
        <v>1474</v>
      </c>
      <c r="F41" s="378" t="e">
        <f ca="1">IF(INDIRECT("'数据-取费表'!af"&amp;$G$1)=0,INDIRECT("'数据-取费表'!ae"&amp;$G$1),INDIRECT("'数据-取费表'!af"&amp;$G$1))</f>
        <v>#N/A</v>
      </c>
      <c r="G41" s="1850"/>
      <c r="H41" s="730"/>
      <c r="I41" s="1859"/>
      <c r="J41" s="1860"/>
      <c r="K41" s="749"/>
      <c r="L41" s="730"/>
      <c r="M41" s="730"/>
    </row>
    <row r="42" spans="1:18" ht="18" customHeight="1">
      <c r="A42" s="352"/>
      <c r="B42" s="353"/>
      <c r="C42" s="354"/>
      <c r="D42" s="372"/>
      <c r="E42" s="346" t="s">
        <v>1477</v>
      </c>
      <c r="F42" s="356" t="e">
        <f ca="1">INDIRECT("'数据-取费表'!v"&amp;$G$1)</f>
        <v>#N/A</v>
      </c>
      <c r="G42" s="1850"/>
      <c r="H42" s="730"/>
      <c r="I42" s="1859"/>
      <c r="J42" s="1860"/>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0"/>
      <c r="I47" s="1879" t="s">
        <v>1526</v>
      </c>
      <c r="J47" s="1880" t="s">
        <v>3110</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59" t="s">
        <v>1135</v>
      </c>
      <c r="B48" s="344" t="s">
        <v>1401</v>
      </c>
      <c r="C48" s="2943" t="e">
        <f ca="1">C49+C53+C55</f>
        <v>#N/A</v>
      </c>
      <c r="D48" s="1361"/>
      <c r="E48" s="1362"/>
      <c r="F48" s="1180"/>
      <c r="G48" s="790"/>
      <c r="H48" s="791"/>
      <c r="I48" s="1886" t="s">
        <v>1530</v>
      </c>
      <c r="J48" s="1887" t="s">
        <v>3111</v>
      </c>
      <c r="K48" s="1888" t="s">
        <v>1531</v>
      </c>
      <c r="L48" s="1889" t="e">
        <f ca="1">INDIRECT("'数据-取费表'!f"&amp;$G$1)</f>
        <v>#N/A</v>
      </c>
      <c r="O48" s="1883" t="s">
        <v>1041</v>
      </c>
      <c r="P48" s="1884" t="s">
        <v>1532</v>
      </c>
      <c r="Q48" s="1885" t="e">
        <f ca="1">J60</f>
        <v>#N/A</v>
      </c>
      <c r="R48" s="1885" t="s">
        <v>1533</v>
      </c>
    </row>
    <row r="49" spans="1:18" s="1841" customFormat="1" ht="13.5" thickBot="1">
      <c r="A49" s="1193" t="s">
        <v>1136</v>
      </c>
      <c r="B49" s="1828" t="s">
        <v>1490</v>
      </c>
      <c r="C49" s="1363" t="e">
        <f ca="1">ROUND(F49*F51*F50*(1-F52)/10000,0)</f>
        <v>#N/A</v>
      </c>
      <c r="D49" s="1275" t="s">
        <v>3024</v>
      </c>
      <c r="E49" s="1829" t="s">
        <v>1491</v>
      </c>
      <c r="F49" s="1280"/>
      <c r="G49" s="1890"/>
      <c r="H49" s="791"/>
      <c r="I49" s="1886" t="s">
        <v>1534</v>
      </c>
      <c r="J49" s="1891"/>
      <c r="K49" s="1888" t="s">
        <v>1535</v>
      </c>
      <c r="L49" s="1892"/>
      <c r="O49" s="1893" t="s">
        <v>1042</v>
      </c>
      <c r="P49" s="1884" t="s">
        <v>1536</v>
      </c>
      <c r="Q49" s="1885" t="e">
        <f ca="1">C29</f>
        <v>#N/A</v>
      </c>
      <c r="R49" s="1885" t="s">
        <v>1529</v>
      </c>
    </row>
    <row r="50" spans="1:18" s="1841" customFormat="1" ht="13.5" thickBot="1">
      <c r="A50" s="1194"/>
      <c r="B50" s="1197"/>
      <c r="C50" s="1367"/>
      <c r="D50" s="1171"/>
      <c r="E50" s="1276" t="s">
        <v>1406</v>
      </c>
      <c r="F50" s="1277" t="e">
        <f ca="1">F7</f>
        <v>#N/A</v>
      </c>
      <c r="H50" s="791"/>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5"/>
      <c r="B51" s="1197"/>
      <c r="C51" s="1198"/>
      <c r="D51" s="1171"/>
      <c r="E51" s="1199" t="s">
        <v>1407</v>
      </c>
      <c r="F51" s="347"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e">
        <f ca="1">J53</f>
        <v>#N/A</v>
      </c>
      <c r="R52" s="1885" t="s">
        <v>1546</v>
      </c>
    </row>
    <row r="53" spans="1:18" s="1841" customFormat="1" ht="24.75" thickBot="1">
      <c r="A53" s="1404" t="s">
        <v>1137</v>
      </c>
      <c r="B53" s="1830" t="s">
        <v>1409</v>
      </c>
      <c r="C53" s="360">
        <f ca="1">ROUND(IF(F53="押一",C49/12*F11,IF(F53="押二",C49/12*2*F11,IF(F53="押三",C49/12*3*F11,C54*F11))),0)</f>
        <v>0</v>
      </c>
      <c r="D53" s="1823" t="s">
        <v>3033</v>
      </c>
      <c r="E53" s="357" t="s">
        <v>1410</v>
      </c>
      <c r="F53" s="1365"/>
      <c r="I53" s="1904" t="s">
        <v>1547</v>
      </c>
      <c r="J53" s="1905" t="e">
        <f ca="1">IF(M47="住宅",IF(D1="——",MAX(J51,L48),IF(D1="在建（套用方法）",MAX(J51,L48-'数据-取费表'!B24),MAX(J51,L48-'数据-取费表'!B20))),IF(D1="——",MIN(J51,L48),IF(D1="在建（套用方法）",MIN(J51,L48-'数据-取费表'!B24),IF(D1="土地（套用方法）",MIN(J51,L48-'数据-取费表'!B20)))))</f>
        <v>#N/A</v>
      </c>
      <c r="K53" s="3303" t="s">
        <v>1548</v>
      </c>
      <c r="L53" s="3304"/>
      <c r="O53" s="1883" t="s">
        <v>1046</v>
      </c>
      <c r="P53" s="1884" t="s">
        <v>1549</v>
      </c>
      <c r="Q53" s="1885" t="e">
        <f ca="1">Q47+Q48</f>
        <v>#N/A</v>
      </c>
      <c r="R53" s="1885" t="s">
        <v>1047</v>
      </c>
    </row>
    <row r="54" spans="1:18" s="1841" customFormat="1" ht="13.5" thickBot="1">
      <c r="A54" s="1405"/>
      <c r="B54" s="1824" t="s">
        <v>1388</v>
      </c>
      <c r="C54" s="1177"/>
      <c r="D54" s="1823"/>
      <c r="E54" s="294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2" t="s">
        <v>1075</v>
      </c>
      <c r="B55" s="1826" t="s">
        <v>1413</v>
      </c>
      <c r="C55" s="1333"/>
      <c r="D55" s="1823"/>
      <c r="E55" s="2942"/>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5">
        <v>2</v>
      </c>
      <c r="B56" s="1176" t="s">
        <v>1414</v>
      </c>
      <c r="C56" s="275" t="e">
        <f ca="1">C13</f>
        <v>#N/A</v>
      </c>
      <c r="D56" s="1913"/>
      <c r="E56" s="1914"/>
      <c r="F56" s="1906"/>
      <c r="I56" s="1915" t="s">
        <v>1554</v>
      </c>
      <c r="J56" s="3006" t="s">
        <v>3054</v>
      </c>
      <c r="K56" s="1886" t="s">
        <v>1555</v>
      </c>
      <c r="L56" s="1889" t="e">
        <f ca="1">IF(L48&lt;J51,"——",L48-J53)</f>
        <v>#N/A</v>
      </c>
      <c r="O56" s="1883" t="s">
        <v>1040</v>
      </c>
      <c r="P56" s="1884" t="s">
        <v>1528</v>
      </c>
      <c r="Q56" s="1885" t="e">
        <f ca="1">C40+J29</f>
        <v>#N/A</v>
      </c>
      <c r="R56" s="1885" t="s">
        <v>1529</v>
      </c>
    </row>
    <row r="57" spans="1:18" s="1841" customFormat="1" ht="24.75" thickBot="1">
      <c r="A57" s="1917"/>
      <c r="B57" s="1168" t="s">
        <v>1478</v>
      </c>
      <c r="C57" s="281"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59" t="s">
        <v>1030</v>
      </c>
      <c r="B58" s="1176" t="s">
        <v>1424</v>
      </c>
      <c r="C58" s="360" t="e">
        <f ca="1">ROUND(C59+C64+C65+C66,0)</f>
        <v>#N/A</v>
      </c>
      <c r="D58" s="1178" t="s">
        <v>1425</v>
      </c>
      <c r="E58" s="1179"/>
      <c r="F58" s="1180"/>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0" t="s">
        <v>1035</v>
      </c>
      <c r="B59" s="1168" t="s">
        <v>1429</v>
      </c>
      <c r="C59" s="24" t="e">
        <f ca="1">ROUND(IF(项目基本情况!B11="自然人",C48*F59,C60+C61+C62),1)</f>
        <v>#N/A</v>
      </c>
      <c r="D59" s="1181" t="s">
        <v>1430</v>
      </c>
      <c r="E59" s="1182" t="s">
        <v>1431</v>
      </c>
      <c r="F59" s="367" t="str">
        <f ca="1">IF(项目基本情况!B11="企业","",IF(INDIRECT("'数据-取费表'!c"&amp;$G$1)="住宅",5%,IF(F49*F50*F51/12/(1+'数据-取费表'!C42)&gt;20000,12%,7%)))</f>
        <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0" t="s">
        <v>1034</v>
      </c>
      <c r="B60" s="1168" t="s">
        <v>1433</v>
      </c>
      <c r="C60" s="24" t="e">
        <f ca="1">IF(项目基本情况!B11="自然人","——",ROUND(C48*F60/(1+'数据-取费表'!C42),2))</f>
        <v>#N/A</v>
      </c>
      <c r="D60" s="1182" t="s">
        <v>1434</v>
      </c>
      <c r="E60" s="1168" t="s">
        <v>1422</v>
      </c>
      <c r="F60" s="376">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0" t="s">
        <v>1492</v>
      </c>
      <c r="B61" s="1168" t="s">
        <v>1437</v>
      </c>
      <c r="C61" s="24" t="e">
        <f ca="1">IF(项目基本情况!B11="自然人","——",IF(D61="按租金收入计税",ROUND(C48*F61,2),IF(D61="按房产原值计税",ROUND(C57*F61*0.7,2),INDIRECT("'数据-取费表'!Aj"&amp;$G$1))))</f>
        <v>#N/A</v>
      </c>
      <c r="D61" s="1827" t="s">
        <v>1438</v>
      </c>
      <c r="E61" s="1168" t="s">
        <v>1422</v>
      </c>
      <c r="F61" s="366">
        <f t="shared" si="0"/>
        <v>0.12</v>
      </c>
      <c r="I61" s="1927"/>
      <c r="J61" s="1927"/>
      <c r="K61" s="1927"/>
      <c r="L61" s="1927"/>
      <c r="O61" s="1893" t="s">
        <v>1045</v>
      </c>
      <c r="P61" s="1884" t="str">
        <f>K59</f>
        <v>续建工期及建筑物耐用年限下的土地年期修正系数Kn</v>
      </c>
      <c r="Q61" s="1885" t="e">
        <f ca="1">L59</f>
        <v>#N/A</v>
      </c>
      <c r="R61" s="1885" t="s">
        <v>1569</v>
      </c>
    </row>
    <row r="62" spans="1:18" s="1841" customFormat="1" ht="13.5" thickBot="1">
      <c r="A62" s="1200" t="s">
        <v>1495</v>
      </c>
      <c r="B62" s="1167" t="s">
        <v>1441</v>
      </c>
      <c r="C62" s="25" t="e">
        <f ca="1">IF(项目基本情况!B11="自然人","——",ROUND(F62*F63/10000,2))</f>
        <v>#N/A</v>
      </c>
      <c r="D62" s="1183" t="s">
        <v>1442</v>
      </c>
      <c r="E62" s="1168" t="s">
        <v>1443</v>
      </c>
      <c r="F62" s="370">
        <f t="shared" si="0"/>
        <v>9</v>
      </c>
      <c r="I62" s="1928" t="s">
        <v>1570</v>
      </c>
      <c r="J62" s="1929" t="s">
        <v>1571</v>
      </c>
      <c r="K62" s="1929" t="s">
        <v>1572</v>
      </c>
      <c r="L62" s="1929" t="s">
        <v>1573</v>
      </c>
      <c r="M62" s="1930" t="s">
        <v>1574</v>
      </c>
      <c r="O62" s="1883" t="s">
        <v>1046</v>
      </c>
      <c r="P62" s="1884" t="s">
        <v>1549</v>
      </c>
      <c r="Q62" s="1885" t="e">
        <f ca="1">Q56+Q57</f>
        <v>#N/A</v>
      </c>
      <c r="R62" s="1885" t="s">
        <v>1047</v>
      </c>
    </row>
    <row r="63" spans="1:18" s="1841" customFormat="1" ht="13.5" thickBot="1">
      <c r="A63" s="371"/>
      <c r="B63" s="1174"/>
      <c r="C63" s="29"/>
      <c r="D63" s="1184"/>
      <c r="E63" s="1168" t="s">
        <v>1447</v>
      </c>
      <c r="F63" s="347" t="e">
        <f t="shared" ca="1" si="0"/>
        <v>#N/A</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t="e">
        <f ca="1">ROUND(C57*F64,1)</f>
        <v>#N/A</v>
      </c>
      <c r="D64" s="1182" t="s">
        <v>1482</v>
      </c>
      <c r="E64" s="1168" t="s">
        <v>1422</v>
      </c>
      <c r="F64" s="373"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t="e">
        <f ca="1">ROUND(C56*F65,1)</f>
        <v>#N/A</v>
      </c>
      <c r="D65" s="1182" t="s">
        <v>1454</v>
      </c>
      <c r="E65" s="1168" t="s">
        <v>1422</v>
      </c>
      <c r="F65" s="375" t="e">
        <f t="shared" ca="1" si="0"/>
        <v>#N/A</v>
      </c>
      <c r="I65" s="1928" t="s">
        <v>1579</v>
      </c>
      <c r="J65" s="1929">
        <v>40</v>
      </c>
      <c r="K65" s="1929">
        <v>30</v>
      </c>
      <c r="L65" s="1929">
        <v>50</v>
      </c>
      <c r="M65" s="1931">
        <v>0.02</v>
      </c>
      <c r="O65" s="1883" t="s">
        <v>1040</v>
      </c>
      <c r="P65" s="1884" t="s">
        <v>1528</v>
      </c>
      <c r="Q65" s="1885" t="e">
        <f ca="1">C40+J29</f>
        <v>#N/A</v>
      </c>
      <c r="R65" s="1885" t="s">
        <v>1529</v>
      </c>
    </row>
    <row r="66" spans="1:18" s="1841" customFormat="1" ht="16.5" thickBot="1">
      <c r="A66" s="1200" t="s">
        <v>1504</v>
      </c>
      <c r="B66" s="1168" t="s">
        <v>1439</v>
      </c>
      <c r="C66" s="24" t="e">
        <f ca="1">ROUND(C48*F66,1)</f>
        <v>#N/A</v>
      </c>
      <c r="D66" s="1182" t="s">
        <v>1459</v>
      </c>
      <c r="E66" s="1168" t="s">
        <v>1422</v>
      </c>
      <c r="F66" s="356" t="e">
        <f t="shared" ca="1" si="0"/>
        <v>#N/A</v>
      </c>
      <c r="O66" s="1883" t="s">
        <v>1041</v>
      </c>
      <c r="P66" s="1884" t="s">
        <v>1558</v>
      </c>
      <c r="Q66" s="1885" t="e">
        <f ca="1">L60</f>
        <v>#N/A</v>
      </c>
      <c r="R66" s="1885" t="s">
        <v>1581</v>
      </c>
    </row>
    <row r="67" spans="1:18" s="1841" customFormat="1" ht="16.5" thickBot="1">
      <c r="A67" s="1175" t="s">
        <v>1031</v>
      </c>
      <c r="B67" s="1185" t="s">
        <v>1463</v>
      </c>
      <c r="C67" s="360" t="e">
        <f ca="1">C48-C58</f>
        <v>#N/A</v>
      </c>
      <c r="D67" s="1181" t="s">
        <v>1464</v>
      </c>
      <c r="E67" s="1186"/>
      <c r="F67" s="1187"/>
      <c r="O67" s="1893" t="s">
        <v>1042</v>
      </c>
      <c r="P67" s="1884" t="s">
        <v>1562</v>
      </c>
      <c r="Q67" s="1932" t="e">
        <f ca="1">L51</f>
        <v>#N/A</v>
      </c>
      <c r="R67" s="1885" t="s">
        <v>1582</v>
      </c>
    </row>
    <row r="68" spans="1:18" s="1841" customFormat="1" ht="16.5" thickBot="1">
      <c r="A68" s="1165" t="s">
        <v>1032</v>
      </c>
      <c r="B68" s="1166" t="s">
        <v>1485</v>
      </c>
      <c r="C68" s="345" t="e">
        <f ca="1">ROUND(C67*(1-((1+F70)/(1+F68))^F69)/(F68-F70),0)</f>
        <v>#N/A</v>
      </c>
      <c r="D68" s="1183" t="s">
        <v>1469</v>
      </c>
      <c r="E68" s="1168" t="s">
        <v>1470</v>
      </c>
      <c r="F68" s="356" t="e">
        <f ca="1">F40</f>
        <v>#N/A</v>
      </c>
      <c r="O68" s="1893" t="s">
        <v>1043</v>
      </c>
      <c r="P68" s="1933" t="s">
        <v>1583</v>
      </c>
      <c r="Q68" s="1885" t="e">
        <f ca="1">ROUND(Q69-Q70*Q71,0)</f>
        <v>#N/A</v>
      </c>
      <c r="R68" s="1885" t="s">
        <v>1051</v>
      </c>
    </row>
    <row r="69" spans="1:18" s="1841" customFormat="1" ht="13.5" thickBot="1">
      <c r="A69" s="1169"/>
      <c r="B69" s="1170"/>
      <c r="C69" s="350"/>
      <c r="D69" s="1188" t="s">
        <v>1473</v>
      </c>
      <c r="E69" s="1168" t="s">
        <v>1474</v>
      </c>
      <c r="F69" s="378" t="e">
        <f ca="1">F41</f>
        <v>#N/A</v>
      </c>
      <c r="O69" s="1893" t="s">
        <v>1048</v>
      </c>
      <c r="P69" s="1933" t="s">
        <v>1584</v>
      </c>
      <c r="Q69" s="1885" t="e">
        <f ca="1">C39</f>
        <v>#N/A</v>
      </c>
      <c r="R69" s="1885" t="s">
        <v>1529</v>
      </c>
    </row>
    <row r="70" spans="1:18" s="1841" customFormat="1" ht="13.5" thickBot="1">
      <c r="A70" s="1172"/>
      <c r="B70" s="1173"/>
      <c r="C70" s="354"/>
      <c r="D70" s="1184"/>
      <c r="E70" s="1168" t="s">
        <v>1477</v>
      </c>
      <c r="F70" s="1274"/>
      <c r="O70" s="1893" t="s">
        <v>1049</v>
      </c>
      <c r="P70" s="1933" t="s">
        <v>1585</v>
      </c>
      <c r="Q70" s="1885" t="e">
        <f ca="1">C13</f>
        <v>#N/A</v>
      </c>
      <c r="R70" s="1885" t="s">
        <v>1529</v>
      </c>
    </row>
    <row r="71" spans="1:18" s="1841" customFormat="1" ht="13.5" thickBot="1">
      <c r="A71" s="1189" t="s">
        <v>1033</v>
      </c>
      <c r="B71" s="1190" t="s">
        <v>1487</v>
      </c>
      <c r="C71" s="381" t="e">
        <f ca="1">ROUND(C68*10000/F71,0)</f>
        <v>#N/A</v>
      </c>
      <c r="D71" s="1191" t="s">
        <v>1488</v>
      </c>
      <c r="E71" s="1192" t="s">
        <v>1489</v>
      </c>
      <c r="F71" s="384" t="e">
        <f ca="1">F43</f>
        <v>#N/A</v>
      </c>
      <c r="O71" s="1893" t="s">
        <v>1050</v>
      </c>
      <c r="P71" s="1933" t="s">
        <v>1586</v>
      </c>
      <c r="Q71" s="1896" t="e">
        <f ca="1">C76</f>
        <v>#N/A</v>
      </c>
      <c r="R71" s="1885"/>
    </row>
    <row r="72" spans="1:18" s="1841" customFormat="1" ht="13.5" thickBot="1">
      <c r="B72" s="794"/>
      <c r="C72" s="794"/>
      <c r="O72" s="1893" t="s">
        <v>1044</v>
      </c>
      <c r="P72" s="1884" t="s">
        <v>1564</v>
      </c>
      <c r="Q72" s="1896">
        <f>L52</f>
        <v>0</v>
      </c>
      <c r="R72" s="1885"/>
    </row>
    <row r="73" spans="1:18" ht="16.5" thickBot="1">
      <c r="A73" s="1841"/>
      <c r="B73" s="794"/>
      <c r="C73" s="794"/>
      <c r="D73" s="1841"/>
      <c r="E73" s="1841"/>
      <c r="F73" s="1841"/>
      <c r="O73" s="1893" t="s">
        <v>1045</v>
      </c>
      <c r="P73" s="1884" t="s">
        <v>1567</v>
      </c>
      <c r="Q73" s="1885" t="e">
        <f ca="1">L58</f>
        <v>#N/A</v>
      </c>
      <c r="R73" s="1885" t="s">
        <v>1568</v>
      </c>
    </row>
    <row r="74" spans="1:18" ht="13.5" thickBot="1">
      <c r="A74" s="1841"/>
      <c r="B74" s="316" t="s">
        <v>1587</v>
      </c>
      <c r="C74" s="1935"/>
      <c r="D74" s="1841"/>
      <c r="E74" s="1841"/>
      <c r="F74" s="1841"/>
      <c r="O74" s="1893" t="s">
        <v>1052</v>
      </c>
      <c r="P74" s="1884" t="str">
        <f>K59</f>
        <v>续建工期及建筑物耐用年限下的土地年期修正系数Kn</v>
      </c>
      <c r="Q74" s="1885" t="e">
        <f ca="1">L59</f>
        <v>#N/A</v>
      </c>
      <c r="R74" s="1885" t="s">
        <v>1569</v>
      </c>
    </row>
    <row r="75" spans="1:18" ht="13.5" thickBot="1">
      <c r="A75" s="1841"/>
      <c r="B75" s="385" t="s">
        <v>1506</v>
      </c>
      <c r="C75" s="386" t="e">
        <f ca="1">ROUND(C13*C76,0)</f>
        <v>#N/A</v>
      </c>
      <c r="D75" s="1841"/>
      <c r="E75" s="1841"/>
      <c r="F75" s="1841"/>
      <c r="K75" s="1867"/>
      <c r="L75" s="1841"/>
      <c r="O75" s="1883" t="s">
        <v>1046</v>
      </c>
      <c r="P75" s="1884" t="s">
        <v>1549</v>
      </c>
      <c r="Q75" s="1885" t="e">
        <f ca="1">Q65+Q66</f>
        <v>#N/A</v>
      </c>
      <c r="R75" s="1885" t="s">
        <v>1047</v>
      </c>
    </row>
    <row r="76" spans="1:18">
      <c r="B76" s="387" t="s">
        <v>1507</v>
      </c>
      <c r="C76" s="388" t="e">
        <f ca="1">INDIRECT("'数据-取费表'!j"&amp;$G$1)</f>
        <v>#N/A</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579" t="s">
        <v>2634</v>
      </c>
      <c r="C1" s="1633" t="s">
        <v>2522</v>
      </c>
      <c r="D1" s="1620"/>
      <c r="E1" s="2653"/>
      <c r="F1" s="2581"/>
      <c r="G1" s="1630" t="s">
        <v>2635</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2322</v>
      </c>
      <c r="B2" s="1417" t="e">
        <f ca="1">IF(C2="——",ROUND(C49*D3/10000,0),ROUND(C49*D3/10000,0)-D2)</f>
        <v>#DIV/0!</v>
      </c>
      <c r="C2" s="2583"/>
      <c r="D2" s="1364" t="e">
        <f ca="1">SUMIF(INDIRECT("'"&amp;F2&amp;"'"&amp;"!A:A"),"承租人权益价值",INDIRECT("'"&amp;F2&amp;"'"&amp;"!c:c"))</f>
        <v>#REF!</v>
      </c>
      <c r="E2" s="2584" t="s">
        <v>2323</v>
      </c>
      <c r="F2" s="2585"/>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2324</v>
      </c>
      <c r="B3" s="608" t="e">
        <f ca="1">IF(C2="——",C49,ROUND(B2*10000/D3,0))</f>
        <v>#DIV/0!</v>
      </c>
      <c r="C3" s="399" t="s">
        <v>2636</v>
      </c>
      <c r="D3" s="398">
        <f>IF(D1="",'数据-汇总表'!E3,SUMIF('数据-汇总表'!$C19:$C33,D1,'数据-汇总表'!$E19:$E33))</f>
        <v>73865.87</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81" t="s">
        <v>2640</v>
      </c>
      <c r="AC4" s="3249" t="s">
        <v>2641</v>
      </c>
    </row>
    <row r="5" spans="1:29" ht="15">
      <c r="A5" s="403"/>
      <c r="B5" s="404"/>
      <c r="C5" s="3260" t="s">
        <v>2534</v>
      </c>
      <c r="D5" s="3261"/>
      <c r="E5" s="3330" t="s">
        <v>2535</v>
      </c>
      <c r="F5" s="3259"/>
      <c r="G5" s="3260" t="s">
        <v>2536</v>
      </c>
      <c r="H5" s="3261"/>
      <c r="I5" s="3260" t="s">
        <v>2537</v>
      </c>
      <c r="J5" s="3261"/>
      <c r="K5" s="609"/>
      <c r="L5" s="1129"/>
      <c r="M5" s="1130"/>
      <c r="N5" s="1130"/>
      <c r="O5" s="1130"/>
      <c r="P5" s="3275"/>
      <c r="Q5" s="3276"/>
      <c r="R5" s="3256"/>
      <c r="S5" s="3257"/>
      <c r="T5" s="3256"/>
      <c r="U5" s="3257"/>
      <c r="V5" s="3281"/>
      <c r="W5" s="3281"/>
      <c r="X5" s="1812"/>
      <c r="Y5" s="3256"/>
      <c r="Z5" s="3257"/>
      <c r="AA5" s="3250"/>
      <c r="AB5" s="3281"/>
      <c r="AC5" s="3250"/>
    </row>
    <row r="6" spans="1:29" ht="15.75" thickBot="1">
      <c r="A6" s="405"/>
      <c r="B6" s="406"/>
      <c r="C6" s="3262" t="s">
        <v>2538</v>
      </c>
      <c r="D6" s="3263"/>
      <c r="E6" s="3294" t="s">
        <v>2538</v>
      </c>
      <c r="F6" s="3266"/>
      <c r="G6" s="3262" t="s">
        <v>2538</v>
      </c>
      <c r="H6" s="3263"/>
      <c r="I6" s="3262" t="s">
        <v>2538</v>
      </c>
      <c r="J6" s="3263"/>
      <c r="K6" s="609" t="s">
        <v>2539</v>
      </c>
      <c r="L6" s="1129"/>
      <c r="M6" s="1130"/>
      <c r="N6" s="1130"/>
      <c r="O6" s="1130"/>
      <c r="P6" s="3277"/>
      <c r="Q6" s="3278"/>
      <c r="R6" s="3256"/>
      <c r="S6" s="3257"/>
      <c r="T6" s="3279"/>
      <c r="U6" s="3280"/>
      <c r="V6" s="3281"/>
      <c r="W6" s="3281"/>
      <c r="X6" s="1812"/>
      <c r="Y6" s="3279"/>
      <c r="Z6" s="3280"/>
      <c r="AA6" s="3251"/>
      <c r="AB6" s="3281"/>
      <c r="AC6" s="3251"/>
    </row>
    <row r="7" spans="1:29" s="117" customFormat="1" ht="15.75" thickBot="1">
      <c r="A7" s="407" t="s">
        <v>2540</v>
      </c>
      <c r="B7" s="408"/>
      <c r="C7" s="409">
        <f>'数据-取费表'!B2</f>
        <v>43321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52" t="s">
        <v>2541</v>
      </c>
      <c r="Q7" s="3282"/>
      <c r="R7" s="768" t="s">
        <v>17</v>
      </c>
      <c r="S7" s="769">
        <f t="shared" ref="S7:S15" si="0">F7</f>
        <v>0</v>
      </c>
      <c r="T7" s="768" t="s">
        <v>17</v>
      </c>
      <c r="U7" s="769">
        <f t="shared" ref="U7:U15" si="1">H7</f>
        <v>0</v>
      </c>
      <c r="V7" s="768" t="s">
        <v>17</v>
      </c>
      <c r="W7" s="769">
        <f t="shared" ref="W7:W15" si="2">J7</f>
        <v>0</v>
      </c>
      <c r="X7" s="770"/>
      <c r="Y7" s="3252" t="s">
        <v>2541</v>
      </c>
      <c r="Z7" s="3253"/>
      <c r="AA7" s="771" t="e">
        <f>D7/F7</f>
        <v>#DIV/0!</v>
      </c>
      <c r="AB7" s="771" t="e">
        <f>D7/H7</f>
        <v>#DIV/0!</v>
      </c>
      <c r="AC7" s="771" t="e">
        <f>D7/J7</f>
        <v>#DIV/0!</v>
      </c>
    </row>
    <row r="8" spans="1:29" s="117"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52" t="s">
        <v>2544</v>
      </c>
      <c r="Q8" s="3253"/>
      <c r="R8" s="768" t="s">
        <v>17</v>
      </c>
      <c r="S8" s="769">
        <f t="shared" si="0"/>
        <v>0</v>
      </c>
      <c r="T8" s="768" t="s">
        <v>17</v>
      </c>
      <c r="U8" s="769">
        <f t="shared" si="1"/>
        <v>0</v>
      </c>
      <c r="V8" s="768" t="s">
        <v>17</v>
      </c>
      <c r="W8" s="769">
        <f t="shared" si="2"/>
        <v>0</v>
      </c>
      <c r="X8" s="770"/>
      <c r="Y8" s="3252" t="s">
        <v>2544</v>
      </c>
      <c r="Z8" s="3253"/>
      <c r="AA8" s="771" t="e">
        <f t="shared" ref="AA8:AA46" si="3">D8/F8</f>
        <v>#DIV/0!</v>
      </c>
      <c r="AB8" s="771" t="e">
        <f t="shared" ref="AB8:AB46" si="4">D8/H8</f>
        <v>#DIV/0!</v>
      </c>
      <c r="AC8" s="771" t="e">
        <f t="shared" ref="AC8:AC46" si="5">D8/J8</f>
        <v>#DIV/0!</v>
      </c>
    </row>
    <row r="9" spans="1:29" s="117"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92" t="s">
        <v>2547</v>
      </c>
      <c r="Q9" s="1794" t="str">
        <f t="shared" ref="Q9:Q15" si="6">B9</f>
        <v>用途</v>
      </c>
      <c r="R9" s="768" t="s">
        <v>17</v>
      </c>
      <c r="S9" s="769">
        <f t="shared" si="0"/>
        <v>100</v>
      </c>
      <c r="T9" s="768" t="s">
        <v>17</v>
      </c>
      <c r="U9" s="769">
        <f t="shared" si="1"/>
        <v>100</v>
      </c>
      <c r="V9" s="768" t="s">
        <v>17</v>
      </c>
      <c r="W9" s="769">
        <f t="shared" si="2"/>
        <v>100</v>
      </c>
      <c r="X9" s="770"/>
      <c r="Y9" s="3123"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92"/>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92"/>
      <c r="Q11" s="1794"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92"/>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92"/>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92"/>
      <c r="Q14" s="1794">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15">
      <c r="A15" s="439" t="s">
        <v>2551</v>
      </c>
      <c r="B15" s="69" t="s">
        <v>2645</v>
      </c>
      <c r="C15" s="2600">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95" t="s">
        <v>2552</v>
      </c>
      <c r="Q15" s="1809" t="str">
        <f t="shared" si="6"/>
        <v>商业繁华度</v>
      </c>
      <c r="R15" s="772" t="s">
        <v>17</v>
      </c>
      <c r="S15" s="773">
        <f t="shared" si="0"/>
        <v>100</v>
      </c>
      <c r="T15" s="772" t="s">
        <v>17</v>
      </c>
      <c r="U15" s="773">
        <f t="shared" si="1"/>
        <v>100</v>
      </c>
      <c r="V15" s="772" t="s">
        <v>17</v>
      </c>
      <c r="W15" s="773">
        <f t="shared" si="2"/>
        <v>100</v>
      </c>
      <c r="X15" s="1812"/>
      <c r="Y15" s="3283" t="s">
        <v>2552</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96"/>
      <c r="Q16" s="1809"/>
      <c r="R16" s="772"/>
      <c r="S16" s="773"/>
      <c r="T16" s="772"/>
      <c r="U16" s="773"/>
      <c r="V16" s="772"/>
      <c r="W16" s="773"/>
      <c r="X16" s="1812"/>
      <c r="Y16" s="3284"/>
      <c r="Z16" s="1813"/>
      <c r="AA16" s="1810">
        <v>1</v>
      </c>
      <c r="AB16" s="1810">
        <v>1</v>
      </c>
      <c r="AC16" s="1810">
        <v>1</v>
      </c>
    </row>
    <row r="17" spans="1:29" ht="15">
      <c r="A17" s="427"/>
      <c r="B17" s="450" t="s">
        <v>2093</v>
      </c>
      <c r="C17" s="2604">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6"/>
      <c r="Q17" s="1809" t="str">
        <f>B17</f>
        <v>交通便捷度</v>
      </c>
      <c r="R17" s="772" t="s">
        <v>17</v>
      </c>
      <c r="S17" s="773">
        <f>F17</f>
        <v>100</v>
      </c>
      <c r="T17" s="772" t="s">
        <v>17</v>
      </c>
      <c r="U17" s="773">
        <f>H17</f>
        <v>100</v>
      </c>
      <c r="V17" s="772" t="s">
        <v>17</v>
      </c>
      <c r="W17" s="773">
        <f>J17</f>
        <v>100</v>
      </c>
      <c r="X17" s="1812"/>
      <c r="Y17" s="3284"/>
      <c r="Z17" s="1813" t="str">
        <f>Q17</f>
        <v>交通便捷度</v>
      </c>
      <c r="AA17" s="1810">
        <f t="shared" si="3"/>
        <v>1</v>
      </c>
      <c r="AB17" s="1810">
        <f t="shared" si="4"/>
        <v>1</v>
      </c>
      <c r="AC17" s="1810">
        <f t="shared" si="5"/>
        <v>1</v>
      </c>
    </row>
    <row r="18" spans="1:29" ht="15">
      <c r="A18" s="427"/>
      <c r="B18" s="455"/>
      <c r="C18" s="2605"/>
      <c r="D18" s="449"/>
      <c r="E18" s="2607"/>
      <c r="F18" s="452"/>
      <c r="G18" s="2606"/>
      <c r="H18" s="447"/>
      <c r="I18" s="2607"/>
      <c r="J18" s="447"/>
      <c r="K18" s="614"/>
      <c r="L18" s="1139"/>
      <c r="M18" s="1130"/>
      <c r="N18" s="1130"/>
      <c r="O18" s="1130"/>
      <c r="P18" s="3296"/>
      <c r="Q18" s="1809"/>
      <c r="R18" s="772"/>
      <c r="S18" s="773"/>
      <c r="T18" s="772"/>
      <c r="U18" s="773"/>
      <c r="V18" s="772"/>
      <c r="W18" s="773"/>
      <c r="X18" s="1812"/>
      <c r="Y18" s="3284"/>
      <c r="Z18" s="1813"/>
      <c r="AA18" s="1810">
        <v>1</v>
      </c>
      <c r="AB18" s="1810">
        <v>1</v>
      </c>
      <c r="AC18" s="1810">
        <v>1</v>
      </c>
    </row>
    <row r="19" spans="1:29" ht="15">
      <c r="A19" s="427"/>
      <c r="B19" s="450" t="s">
        <v>2646</v>
      </c>
      <c r="C19" s="2604">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6"/>
      <c r="Q19" s="1809" t="str">
        <f>B19</f>
        <v>公共配套设施</v>
      </c>
      <c r="R19" s="772" t="s">
        <v>17</v>
      </c>
      <c r="S19" s="773">
        <f>F19</f>
        <v>100</v>
      </c>
      <c r="T19" s="772" t="s">
        <v>17</v>
      </c>
      <c r="U19" s="773">
        <f>H19</f>
        <v>100</v>
      </c>
      <c r="V19" s="772" t="s">
        <v>17</v>
      </c>
      <c r="W19" s="773">
        <f>J19</f>
        <v>100</v>
      </c>
      <c r="X19" s="1812"/>
      <c r="Y19" s="3284"/>
      <c r="Z19" s="1813" t="str">
        <f>Q19</f>
        <v>公共配套设施</v>
      </c>
      <c r="AA19" s="1810">
        <f t="shared" si="3"/>
        <v>1</v>
      </c>
      <c r="AB19" s="1810">
        <f t="shared" si="4"/>
        <v>1</v>
      </c>
      <c r="AC19" s="1810">
        <f t="shared" si="5"/>
        <v>1</v>
      </c>
    </row>
    <row r="20" spans="1:29" ht="15">
      <c r="A20" s="427"/>
      <c r="B20" s="455"/>
      <c r="C20" s="446"/>
      <c r="D20" s="447"/>
      <c r="E20" s="2602"/>
      <c r="F20" s="448"/>
      <c r="G20" s="2601"/>
      <c r="H20" s="447"/>
      <c r="I20" s="2602"/>
      <c r="J20" s="447"/>
      <c r="K20" s="614"/>
      <c r="L20" s="1139"/>
      <c r="M20" s="1130"/>
      <c r="N20" s="1130"/>
      <c r="O20" s="1130"/>
      <c r="P20" s="3296"/>
      <c r="Q20" s="1809"/>
      <c r="R20" s="772"/>
      <c r="S20" s="773"/>
      <c r="T20" s="772"/>
      <c r="U20" s="773"/>
      <c r="V20" s="772"/>
      <c r="W20" s="773"/>
      <c r="X20" s="1812"/>
      <c r="Y20" s="3284"/>
      <c r="Z20" s="1813"/>
      <c r="AA20" s="1810">
        <v>1</v>
      </c>
      <c r="AB20" s="1810">
        <v>1</v>
      </c>
      <c r="AC20" s="1810">
        <v>1</v>
      </c>
    </row>
    <row r="21" spans="1:29" ht="15">
      <c r="A21" s="427"/>
      <c r="B21" s="1383" t="s">
        <v>2647</v>
      </c>
      <c r="C21" s="2604">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6"/>
      <c r="Q21" s="1809" t="str">
        <f>B21</f>
        <v>基础设施水平</v>
      </c>
      <c r="R21" s="772" t="s">
        <v>17</v>
      </c>
      <c r="S21" s="773">
        <f>F21</f>
        <v>100</v>
      </c>
      <c r="T21" s="772" t="s">
        <v>17</v>
      </c>
      <c r="U21" s="773">
        <f>H21</f>
        <v>100</v>
      </c>
      <c r="V21" s="772" t="s">
        <v>17</v>
      </c>
      <c r="W21" s="773">
        <f>J21</f>
        <v>100</v>
      </c>
      <c r="X21" s="1812"/>
      <c r="Y21" s="3284"/>
      <c r="Z21" s="1813" t="str">
        <f>Q21</f>
        <v>基础设施水平</v>
      </c>
      <c r="AA21" s="1810">
        <f>D21/F21</f>
        <v>1</v>
      </c>
      <c r="AB21" s="1810">
        <f>D21/H21</f>
        <v>1</v>
      </c>
      <c r="AC21" s="1810">
        <f>D21/J21</f>
        <v>1</v>
      </c>
    </row>
    <row r="22" spans="1:29" ht="15">
      <c r="A22" s="427"/>
      <c r="B22" s="1383"/>
      <c r="C22" s="2605"/>
      <c r="D22" s="447"/>
      <c r="E22" s="446"/>
      <c r="F22" s="448"/>
      <c r="G22" s="446"/>
      <c r="H22" s="447"/>
      <c r="I22" s="446"/>
      <c r="J22" s="447"/>
      <c r="K22" s="1382"/>
      <c r="L22" s="1139"/>
      <c r="M22" s="1130"/>
      <c r="N22" s="1130"/>
      <c r="O22" s="1130"/>
      <c r="P22" s="3296"/>
      <c r="Q22" s="1809"/>
      <c r="R22" s="772"/>
      <c r="S22" s="773"/>
      <c r="T22" s="772"/>
      <c r="U22" s="773"/>
      <c r="V22" s="772"/>
      <c r="W22" s="773"/>
      <c r="X22" s="1812"/>
      <c r="Y22" s="3284"/>
      <c r="Z22" s="1813"/>
      <c r="AA22" s="1810">
        <v>1</v>
      </c>
      <c r="AB22" s="1810">
        <v>1</v>
      </c>
      <c r="AC22" s="1810">
        <v>1</v>
      </c>
    </row>
    <row r="23" spans="1:29" ht="15">
      <c r="A23" s="427"/>
      <c r="B23" s="450" t="s">
        <v>2096</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6"/>
      <c r="Q23" s="1809" t="str">
        <f>B23</f>
        <v>自然及人文环境</v>
      </c>
      <c r="R23" s="772" t="s">
        <v>17</v>
      </c>
      <c r="S23" s="773">
        <f>F23</f>
        <v>100</v>
      </c>
      <c r="T23" s="772" t="s">
        <v>17</v>
      </c>
      <c r="U23" s="773">
        <f>H23</f>
        <v>100</v>
      </c>
      <c r="V23" s="772" t="s">
        <v>17</v>
      </c>
      <c r="W23" s="773">
        <f>J23</f>
        <v>100</v>
      </c>
      <c r="X23" s="1812"/>
      <c r="Y23" s="3284"/>
      <c r="Z23" s="1813" t="str">
        <f>Q23</f>
        <v>自然及人文环境</v>
      </c>
      <c r="AA23" s="1810">
        <f t="shared" si="3"/>
        <v>1</v>
      </c>
      <c r="AB23" s="1810">
        <f t="shared" si="4"/>
        <v>1</v>
      </c>
      <c r="AC23" s="1810">
        <f t="shared" si="5"/>
        <v>1</v>
      </c>
    </row>
    <row r="24" spans="1:29" ht="15">
      <c r="A24" s="427"/>
      <c r="B24" s="455"/>
      <c r="C24" s="446"/>
      <c r="D24" s="447"/>
      <c r="E24" s="2602"/>
      <c r="F24" s="448"/>
      <c r="G24" s="2601"/>
      <c r="H24" s="447"/>
      <c r="I24" s="2602"/>
      <c r="J24" s="447"/>
      <c r="K24" s="614"/>
      <c r="L24" s="1139"/>
      <c r="M24" s="1130"/>
      <c r="N24" s="1130"/>
      <c r="O24" s="1130"/>
      <c r="P24" s="3296"/>
      <c r="Q24" s="1809"/>
      <c r="R24" s="772"/>
      <c r="S24" s="773"/>
      <c r="T24" s="772"/>
      <c r="U24" s="773"/>
      <c r="V24" s="772"/>
      <c r="W24" s="773"/>
      <c r="X24" s="1812"/>
      <c r="Y24" s="3284"/>
      <c r="Z24" s="1813"/>
      <c r="AA24" s="1810">
        <v>1</v>
      </c>
      <c r="AB24" s="1810">
        <v>1</v>
      </c>
      <c r="AC24" s="1810">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96"/>
      <c r="Q25" s="1809" t="str">
        <f t="shared" ref="Q25:Q46" si="8">B25</f>
        <v>临街状况</v>
      </c>
      <c r="R25" s="772" t="s">
        <v>17</v>
      </c>
      <c r="S25" s="773">
        <f>F25</f>
        <v>100</v>
      </c>
      <c r="T25" s="772" t="s">
        <v>17</v>
      </c>
      <c r="U25" s="773">
        <f>H25</f>
        <v>100</v>
      </c>
      <c r="V25" s="772" t="s">
        <v>17</v>
      </c>
      <c r="W25" s="773">
        <f>J25</f>
        <v>100</v>
      </c>
      <c r="X25" s="1812"/>
      <c r="Y25" s="3284"/>
      <c r="Z25" s="1813" t="str">
        <f>Q25</f>
        <v>临街状况</v>
      </c>
      <c r="AA25" s="1810">
        <f t="shared" si="3"/>
        <v>1</v>
      </c>
      <c r="AB25" s="1810">
        <f t="shared" si="4"/>
        <v>1</v>
      </c>
      <c r="AC25" s="1810">
        <f t="shared" si="5"/>
        <v>1</v>
      </c>
    </row>
    <row r="26" spans="1:29" ht="15">
      <c r="A26" s="427"/>
      <c r="B26" s="1385" t="s">
        <v>2649</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6"/>
      <c r="Q26" s="1809" t="str">
        <f t="shared" si="8"/>
        <v>平面位置/可视性</v>
      </c>
      <c r="R26" s="772" t="s">
        <v>17</v>
      </c>
      <c r="S26" s="773">
        <f>F26</f>
        <v>100</v>
      </c>
      <c r="T26" s="772" t="s">
        <v>17</v>
      </c>
      <c r="U26" s="773">
        <f>H26</f>
        <v>100</v>
      </c>
      <c r="V26" s="772" t="s">
        <v>17</v>
      </c>
      <c r="W26" s="773">
        <f>J26</f>
        <v>100</v>
      </c>
      <c r="X26" s="1812"/>
      <c r="Y26" s="3284"/>
      <c r="Z26" s="1813" t="str">
        <f>Q26</f>
        <v>平面位置/可视性</v>
      </c>
      <c r="AA26" s="1810">
        <f t="shared" si="3"/>
        <v>1</v>
      </c>
      <c r="AB26" s="1810">
        <f t="shared" si="4"/>
        <v>1</v>
      </c>
      <c r="AC26" s="1810">
        <f t="shared" si="5"/>
        <v>1</v>
      </c>
    </row>
    <row r="27" spans="1:29" s="117" customFormat="1" ht="15">
      <c r="A27" s="430"/>
      <c r="B27" s="450" t="s">
        <v>2650</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96"/>
      <c r="Q27" s="1794" t="str">
        <f t="shared" si="8"/>
        <v>人流量</v>
      </c>
      <c r="R27" s="768" t="s">
        <v>17</v>
      </c>
      <c r="S27" s="769">
        <f>F27</f>
        <v>100</v>
      </c>
      <c r="T27" s="768" t="s">
        <v>17</v>
      </c>
      <c r="U27" s="769">
        <f>H27</f>
        <v>100</v>
      </c>
      <c r="V27" s="768" t="s">
        <v>17</v>
      </c>
      <c r="W27" s="769">
        <f>J27</f>
        <v>100</v>
      </c>
      <c r="X27" s="770"/>
      <c r="Y27" s="3284"/>
      <c r="Z27" s="55" t="str">
        <f>Q27</f>
        <v>人流量</v>
      </c>
      <c r="AA27" s="1810">
        <f>D27/F27</f>
        <v>1</v>
      </c>
      <c r="AB27" s="1810">
        <f>D27/H27</f>
        <v>1</v>
      </c>
      <c r="AC27" s="1810">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96"/>
      <c r="Q28" s="1809" t="str">
        <f t="shared" si="8"/>
        <v>楼层</v>
      </c>
      <c r="R28" s="772" t="s">
        <v>17</v>
      </c>
      <c r="S28" s="773">
        <f t="shared" ref="S28:S46" si="9">F28</f>
        <v>100</v>
      </c>
      <c r="T28" s="772" t="s">
        <v>17</v>
      </c>
      <c r="U28" s="773">
        <f t="shared" ref="U28:U46" si="10">H28</f>
        <v>100</v>
      </c>
      <c r="V28" s="772" t="s">
        <v>17</v>
      </c>
      <c r="W28" s="773">
        <f t="shared" ref="W28:W46" si="11">J28</f>
        <v>100</v>
      </c>
      <c r="X28" s="1812"/>
      <c r="Y28" s="3284"/>
      <c r="Z28" s="1813" t="str">
        <f t="shared" ref="Z28:Z46" si="12">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6"/>
      <c r="Q29" s="1809">
        <f t="shared" si="8"/>
        <v>111</v>
      </c>
      <c r="R29" s="772" t="s">
        <v>17</v>
      </c>
      <c r="S29" s="773">
        <f t="shared" si="9"/>
        <v>100</v>
      </c>
      <c r="T29" s="772" t="s">
        <v>17</v>
      </c>
      <c r="U29" s="773">
        <f t="shared" si="10"/>
        <v>100</v>
      </c>
      <c r="V29" s="772" t="s">
        <v>17</v>
      </c>
      <c r="W29" s="773">
        <f t="shared" si="11"/>
        <v>100</v>
      </c>
      <c r="X29" s="1812"/>
      <c r="Y29" s="3284"/>
      <c r="Z29" s="1813">
        <f t="shared" si="12"/>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6"/>
      <c r="Q30" s="1809">
        <f t="shared" si="8"/>
        <v>111</v>
      </c>
      <c r="R30" s="772" t="s">
        <v>17</v>
      </c>
      <c r="S30" s="773">
        <f t="shared" si="9"/>
        <v>100</v>
      </c>
      <c r="T30" s="772" t="s">
        <v>17</v>
      </c>
      <c r="U30" s="773">
        <f t="shared" si="10"/>
        <v>100</v>
      </c>
      <c r="V30" s="772" t="s">
        <v>17</v>
      </c>
      <c r="W30" s="773">
        <f t="shared" si="11"/>
        <v>100</v>
      </c>
      <c r="X30" s="1812"/>
      <c r="Y30" s="3284"/>
      <c r="Z30" s="1813">
        <f t="shared" si="12"/>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6"/>
      <c r="Q31" s="1809">
        <f t="shared" si="8"/>
        <v>111</v>
      </c>
      <c r="R31" s="772" t="s">
        <v>17</v>
      </c>
      <c r="S31" s="773">
        <f t="shared" si="9"/>
        <v>100</v>
      </c>
      <c r="T31" s="772" t="s">
        <v>17</v>
      </c>
      <c r="U31" s="773">
        <f t="shared" si="10"/>
        <v>100</v>
      </c>
      <c r="V31" s="772" t="s">
        <v>17</v>
      </c>
      <c r="W31" s="773">
        <f t="shared" si="11"/>
        <v>100</v>
      </c>
      <c r="X31" s="1812"/>
      <c r="Y31" s="3284"/>
      <c r="Z31" s="1813">
        <f t="shared" si="12"/>
        <v>111</v>
      </c>
      <c r="AA31" s="1810">
        <f t="shared" si="3"/>
        <v>1</v>
      </c>
      <c r="AB31" s="1810">
        <f t="shared" si="4"/>
        <v>1</v>
      </c>
      <c r="AC31" s="1810">
        <f t="shared" si="5"/>
        <v>1</v>
      </c>
    </row>
    <row r="32" spans="1:29" ht="15">
      <c r="A32" s="439" t="s">
        <v>2555</v>
      </c>
      <c r="B32" s="71" t="s">
        <v>2652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9"/>
      <c r="M32" s="1130"/>
      <c r="N32" s="1130"/>
      <c r="O32" s="1130"/>
      <c r="P32" s="3297" t="s">
        <v>2557</v>
      </c>
      <c r="Q32" s="1809" t="str">
        <f t="shared" si="8"/>
        <v>商业类型</v>
      </c>
      <c r="R32" s="772" t="s">
        <v>17</v>
      </c>
      <c r="S32" s="773">
        <f t="shared" si="9"/>
        <v>100</v>
      </c>
      <c r="T32" s="772" t="s">
        <v>17</v>
      </c>
      <c r="U32" s="773">
        <f t="shared" si="10"/>
        <v>100</v>
      </c>
      <c r="V32" s="772" t="s">
        <v>17</v>
      </c>
      <c r="W32" s="773">
        <f t="shared" si="11"/>
        <v>100</v>
      </c>
      <c r="X32" s="1812"/>
      <c r="Y32" s="3286" t="s">
        <v>2557</v>
      </c>
      <c r="Z32" s="1813" t="str">
        <f t="shared" si="12"/>
        <v>商业类型</v>
      </c>
      <c r="AA32" s="1810">
        <f t="shared" si="3"/>
        <v>1</v>
      </c>
      <c r="AB32" s="1810">
        <f t="shared" si="4"/>
        <v>1</v>
      </c>
      <c r="AC32" s="1810">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98"/>
      <c r="Q33" s="774" t="str">
        <f t="shared" si="8"/>
        <v>项目建筑规模</v>
      </c>
      <c r="R33" s="775" t="s">
        <v>17</v>
      </c>
      <c r="S33" s="776" t="e">
        <f t="shared" si="9"/>
        <v>#N/A</v>
      </c>
      <c r="T33" s="775" t="s">
        <v>17</v>
      </c>
      <c r="U33" s="776" t="e">
        <f t="shared" si="10"/>
        <v>#N/A</v>
      </c>
      <c r="V33" s="775" t="s">
        <v>17</v>
      </c>
      <c r="W33" s="776" t="e">
        <f t="shared" si="11"/>
        <v>#N/A</v>
      </c>
      <c r="X33" s="777"/>
      <c r="Y33" s="3286"/>
      <c r="Z33" s="778" t="str">
        <f t="shared" si="12"/>
        <v>项目建筑规模</v>
      </c>
      <c r="AA33" s="1810" t="e">
        <f t="shared" si="3"/>
        <v>#N/A</v>
      </c>
      <c r="AB33" s="1810" t="e">
        <f t="shared" si="4"/>
        <v>#N/A</v>
      </c>
      <c r="AC33" s="1810" t="e">
        <f t="shared" si="5"/>
        <v>#N/A</v>
      </c>
    </row>
    <row r="34" spans="1:29" ht="15">
      <c r="A34" s="471"/>
      <c r="B34" s="421" t="s">
        <v>2559</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9"/>
      <c r="M34" s="1130"/>
      <c r="N34" s="1130"/>
      <c r="O34" s="1130"/>
      <c r="P34" s="3298"/>
      <c r="Q34" s="1809" t="str">
        <f t="shared" si="8"/>
        <v>建筑结构</v>
      </c>
      <c r="R34" s="772" t="s">
        <v>17</v>
      </c>
      <c r="S34" s="773">
        <f t="shared" si="9"/>
        <v>100</v>
      </c>
      <c r="T34" s="772" t="s">
        <v>17</v>
      </c>
      <c r="U34" s="773">
        <f t="shared" si="10"/>
        <v>100</v>
      </c>
      <c r="V34" s="772" t="s">
        <v>17</v>
      </c>
      <c r="W34" s="773">
        <f t="shared" si="11"/>
        <v>100</v>
      </c>
      <c r="X34" s="1812"/>
      <c r="Y34" s="3286"/>
      <c r="Z34" s="1813" t="str">
        <f t="shared" si="12"/>
        <v>建筑结构</v>
      </c>
      <c r="AA34" s="1810">
        <f t="shared" si="3"/>
        <v>1</v>
      </c>
      <c r="AB34" s="1810">
        <f t="shared" si="4"/>
        <v>1</v>
      </c>
      <c r="AC34" s="1810">
        <f t="shared" si="5"/>
        <v>1</v>
      </c>
    </row>
    <row r="35" spans="1:29" ht="15">
      <c r="A35" s="471"/>
      <c r="B35" s="421" t="s">
        <v>2653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9"/>
      <c r="M35" s="1130"/>
      <c r="N35" s="1130"/>
      <c r="O35" s="1130"/>
      <c r="P35" s="3298"/>
      <c r="Q35" s="1809" t="str">
        <f t="shared" si="8"/>
        <v>公共部分装修</v>
      </c>
      <c r="R35" s="772" t="s">
        <v>17</v>
      </c>
      <c r="S35" s="773">
        <f t="shared" si="9"/>
        <v>100</v>
      </c>
      <c r="T35" s="772" t="s">
        <v>17</v>
      </c>
      <c r="U35" s="773">
        <f t="shared" si="10"/>
        <v>100</v>
      </c>
      <c r="V35" s="772" t="s">
        <v>17</v>
      </c>
      <c r="W35" s="773">
        <f t="shared" si="11"/>
        <v>100</v>
      </c>
      <c r="X35" s="1812"/>
      <c r="Y35" s="3286"/>
      <c r="Z35" s="1813" t="str">
        <f t="shared" si="12"/>
        <v>公共部分装修</v>
      </c>
      <c r="AA35" s="1810">
        <f t="shared" si="3"/>
        <v>1</v>
      </c>
      <c r="AB35" s="1810">
        <f t="shared" si="4"/>
        <v>1</v>
      </c>
      <c r="AC35" s="1810">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98"/>
      <c r="Q36" s="1809" t="str">
        <f t="shared" si="8"/>
        <v>成新度</v>
      </c>
      <c r="R36" s="772" t="s">
        <v>17</v>
      </c>
      <c r="S36" s="773" t="e">
        <f t="shared" si="9"/>
        <v>#N/A</v>
      </c>
      <c r="T36" s="772" t="s">
        <v>17</v>
      </c>
      <c r="U36" s="773" t="e">
        <f t="shared" si="10"/>
        <v>#N/A</v>
      </c>
      <c r="V36" s="772" t="s">
        <v>17</v>
      </c>
      <c r="W36" s="773" t="e">
        <f t="shared" si="11"/>
        <v>#N/A</v>
      </c>
      <c r="X36" s="1812"/>
      <c r="Y36" s="3286"/>
      <c r="Z36" s="1813" t="str">
        <f t="shared" si="12"/>
        <v>成新度</v>
      </c>
      <c r="AA36" s="1810" t="e">
        <f t="shared" si="3"/>
        <v>#N/A</v>
      </c>
      <c r="AB36" s="1810" t="e">
        <f t="shared" si="4"/>
        <v>#N/A</v>
      </c>
      <c r="AC36" s="1810" t="e">
        <f t="shared" si="5"/>
        <v>#N/A</v>
      </c>
    </row>
    <row r="37" spans="1:29" s="117" customFormat="1" ht="15">
      <c r="A37" s="472"/>
      <c r="B37" s="421" t="s">
        <v>2655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1"/>
      <c r="M37" s="1132"/>
      <c r="N37" s="1132"/>
      <c r="O37" s="1132"/>
      <c r="P37" s="3298"/>
      <c r="Q37" s="1794" t="str">
        <f t="shared" si="8"/>
        <v>市政基础设施</v>
      </c>
      <c r="R37" s="768" t="s">
        <v>17</v>
      </c>
      <c r="S37" s="769">
        <f t="shared" si="9"/>
        <v>100</v>
      </c>
      <c r="T37" s="768" t="s">
        <v>17</v>
      </c>
      <c r="U37" s="769">
        <f t="shared" si="10"/>
        <v>100</v>
      </c>
      <c r="V37" s="768" t="s">
        <v>17</v>
      </c>
      <c r="W37" s="769">
        <f t="shared" si="11"/>
        <v>100</v>
      </c>
      <c r="X37" s="770"/>
      <c r="Y37" s="3286"/>
      <c r="Z37" s="55" t="str">
        <f t="shared" si="12"/>
        <v>市政基础设施</v>
      </c>
      <c r="AA37" s="771">
        <f t="shared" si="3"/>
        <v>1</v>
      </c>
      <c r="AB37" s="771">
        <f t="shared" si="4"/>
        <v>1</v>
      </c>
      <c r="AC37" s="771">
        <f t="shared" si="5"/>
        <v>1</v>
      </c>
    </row>
    <row r="38" spans="1:29" ht="15">
      <c r="A38" s="471"/>
      <c r="B38" s="421" t="s">
        <v>2656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9"/>
      <c r="M38" s="1130"/>
      <c r="N38" s="1130"/>
      <c r="O38" s="1130"/>
      <c r="P38" s="3298" t="s">
        <v>2557</v>
      </c>
      <c r="Q38" s="1809" t="str">
        <f t="shared" si="8"/>
        <v>业态</v>
      </c>
      <c r="R38" s="772" t="s">
        <v>17</v>
      </c>
      <c r="S38" s="773">
        <f t="shared" si="9"/>
        <v>100</v>
      </c>
      <c r="T38" s="772" t="s">
        <v>17</v>
      </c>
      <c r="U38" s="773">
        <f t="shared" si="10"/>
        <v>100</v>
      </c>
      <c r="V38" s="772" t="s">
        <v>17</v>
      </c>
      <c r="W38" s="773">
        <f t="shared" si="11"/>
        <v>100</v>
      </c>
      <c r="X38" s="1812"/>
      <c r="Y38" s="3286" t="s">
        <v>2557</v>
      </c>
      <c r="Z38" s="1813" t="str">
        <f t="shared" si="12"/>
        <v>业态</v>
      </c>
      <c r="AA38" s="1810">
        <f t="shared" si="3"/>
        <v>1</v>
      </c>
      <c r="AB38" s="1810">
        <f t="shared" si="4"/>
        <v>1</v>
      </c>
      <c r="AC38" s="1810">
        <f t="shared" si="5"/>
        <v>1</v>
      </c>
    </row>
    <row r="39" spans="1:29" ht="15">
      <c r="A39" s="471"/>
      <c r="B39" s="421" t="s">
        <v>2657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9"/>
      <c r="M39" s="1130"/>
      <c r="N39" s="1130"/>
      <c r="O39" s="1130"/>
      <c r="P39" s="3298"/>
      <c r="Q39" s="1809" t="str">
        <f t="shared" si="8"/>
        <v>层高</v>
      </c>
      <c r="R39" s="772" t="s">
        <v>17</v>
      </c>
      <c r="S39" s="773">
        <f t="shared" si="9"/>
        <v>100</v>
      </c>
      <c r="T39" s="772" t="s">
        <v>17</v>
      </c>
      <c r="U39" s="773">
        <f t="shared" si="10"/>
        <v>100</v>
      </c>
      <c r="V39" s="772" t="s">
        <v>17</v>
      </c>
      <c r="W39" s="773">
        <f t="shared" si="11"/>
        <v>100</v>
      </c>
      <c r="X39" s="1812"/>
      <c r="Y39" s="3286"/>
      <c r="Z39" s="1813" t="str">
        <f t="shared" si="12"/>
        <v>层高</v>
      </c>
      <c r="AA39" s="1810">
        <f t="shared" si="3"/>
        <v>1</v>
      </c>
      <c r="AB39" s="1810">
        <f t="shared" si="4"/>
        <v>1</v>
      </c>
      <c r="AC39" s="1810">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98"/>
      <c r="Q40" s="1809" t="str">
        <f t="shared" si="8"/>
        <v>单套建筑面积</v>
      </c>
      <c r="R40" s="772" t="s">
        <v>17</v>
      </c>
      <c r="S40" s="773">
        <f t="shared" si="9"/>
        <v>100</v>
      </c>
      <c r="T40" s="772" t="s">
        <v>17</v>
      </c>
      <c r="U40" s="773">
        <f t="shared" si="10"/>
        <v>100</v>
      </c>
      <c r="V40" s="772" t="s">
        <v>17</v>
      </c>
      <c r="W40" s="773">
        <f t="shared" si="11"/>
        <v>100</v>
      </c>
      <c r="X40" s="1812"/>
      <c r="Y40" s="3286"/>
      <c r="Z40" s="1813" t="str">
        <f t="shared" si="12"/>
        <v>单套建筑面积</v>
      </c>
      <c r="AA40" s="1810">
        <f t="shared" si="3"/>
        <v>1</v>
      </c>
      <c r="AB40" s="1810">
        <f t="shared" si="4"/>
        <v>1</v>
      </c>
      <c r="AC40" s="1810">
        <f t="shared" si="5"/>
        <v>1</v>
      </c>
    </row>
    <row r="41" spans="1:29" s="470" customFormat="1" ht="15">
      <c r="A41" s="467"/>
      <c r="B41" s="1811"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98"/>
      <c r="Q41" s="774" t="str">
        <f t="shared" si="8"/>
        <v>进深比</v>
      </c>
      <c r="R41" s="775" t="s">
        <v>17</v>
      </c>
      <c r="S41" s="776">
        <f t="shared" si="9"/>
        <v>100</v>
      </c>
      <c r="T41" s="775" t="s">
        <v>17</v>
      </c>
      <c r="U41" s="776">
        <f t="shared" si="10"/>
        <v>100</v>
      </c>
      <c r="V41" s="775" t="s">
        <v>17</v>
      </c>
      <c r="W41" s="776">
        <f t="shared" si="11"/>
        <v>100</v>
      </c>
      <c r="X41" s="777"/>
      <c r="Y41" s="3286"/>
      <c r="Z41" s="778" t="str">
        <f t="shared" si="12"/>
        <v>进深比</v>
      </c>
      <c r="AA41" s="1810">
        <f t="shared" si="3"/>
        <v>1</v>
      </c>
      <c r="AB41" s="1810">
        <f t="shared" si="4"/>
        <v>1</v>
      </c>
      <c r="AC41" s="1810">
        <f t="shared" si="5"/>
        <v>1</v>
      </c>
    </row>
    <row r="42" spans="1:29" ht="15">
      <c r="A42" s="471"/>
      <c r="B42" s="421" t="s">
        <v>2660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9"/>
      <c r="M42" s="1130"/>
      <c r="N42" s="1130"/>
      <c r="O42" s="1130"/>
      <c r="P42" s="3298"/>
      <c r="Q42" s="1809" t="str">
        <f t="shared" si="8"/>
        <v>内部装修</v>
      </c>
      <c r="R42" s="772" t="s">
        <v>17</v>
      </c>
      <c r="S42" s="773">
        <f t="shared" si="9"/>
        <v>100</v>
      </c>
      <c r="T42" s="772" t="s">
        <v>17</v>
      </c>
      <c r="U42" s="773">
        <f t="shared" si="10"/>
        <v>100</v>
      </c>
      <c r="V42" s="772" t="s">
        <v>17</v>
      </c>
      <c r="W42" s="773">
        <f t="shared" si="11"/>
        <v>100</v>
      </c>
      <c r="X42" s="1812"/>
      <c r="Y42" s="3286"/>
      <c r="Z42" s="1813" t="str">
        <f t="shared" si="12"/>
        <v>内部装修</v>
      </c>
      <c r="AA42" s="1810">
        <f t="shared" si="3"/>
        <v>1</v>
      </c>
      <c r="AB42" s="1810">
        <f t="shared" si="4"/>
        <v>1</v>
      </c>
      <c r="AC42" s="1810">
        <f t="shared" si="5"/>
        <v>1</v>
      </c>
    </row>
    <row r="43" spans="1:29" ht="15">
      <c r="A43" s="471"/>
      <c r="B43" s="421" t="s">
        <v>2568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9"/>
      <c r="M43" s="1130"/>
      <c r="N43" s="1130"/>
      <c r="O43" s="1130"/>
      <c r="P43" s="3298"/>
      <c r="Q43" s="1809" t="str">
        <f t="shared" si="8"/>
        <v>内部装修维护情况</v>
      </c>
      <c r="R43" s="772" t="s">
        <v>17</v>
      </c>
      <c r="S43" s="773">
        <f t="shared" si="9"/>
        <v>100</v>
      </c>
      <c r="T43" s="772" t="s">
        <v>17</v>
      </c>
      <c r="U43" s="773">
        <f t="shared" si="10"/>
        <v>100</v>
      </c>
      <c r="V43" s="772" t="s">
        <v>17</v>
      </c>
      <c r="W43" s="773">
        <f t="shared" si="11"/>
        <v>100</v>
      </c>
      <c r="X43" s="1812"/>
      <c r="Y43" s="3286"/>
      <c r="Z43" s="1813" t="str">
        <f t="shared" si="12"/>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98"/>
      <c r="Q44" s="1794">
        <f t="shared" si="8"/>
        <v>111</v>
      </c>
      <c r="R44" s="768" t="s">
        <v>17</v>
      </c>
      <c r="S44" s="769">
        <f t="shared" si="9"/>
        <v>100</v>
      </c>
      <c r="T44" s="768" t="s">
        <v>17</v>
      </c>
      <c r="U44" s="769">
        <f t="shared" si="10"/>
        <v>100</v>
      </c>
      <c r="V44" s="768" t="s">
        <v>17</v>
      </c>
      <c r="W44" s="769">
        <f t="shared" si="11"/>
        <v>100</v>
      </c>
      <c r="X44" s="770"/>
      <c r="Y44" s="3286"/>
      <c r="Z44" s="55">
        <f t="shared" si="12"/>
        <v>111</v>
      </c>
      <c r="AA44" s="771">
        <f t="shared" si="3"/>
        <v>1</v>
      </c>
      <c r="AB44" s="771">
        <f t="shared" si="4"/>
        <v>1</v>
      </c>
      <c r="AC44" s="771">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98"/>
      <c r="Q45" s="1809">
        <f t="shared" si="8"/>
        <v>111</v>
      </c>
      <c r="R45" s="772" t="s">
        <v>17</v>
      </c>
      <c r="S45" s="773">
        <f t="shared" si="9"/>
        <v>100</v>
      </c>
      <c r="T45" s="772" t="s">
        <v>17</v>
      </c>
      <c r="U45" s="773">
        <f t="shared" si="10"/>
        <v>100</v>
      </c>
      <c r="V45" s="772" t="s">
        <v>17</v>
      </c>
      <c r="W45" s="773">
        <f t="shared" si="11"/>
        <v>100</v>
      </c>
      <c r="X45" s="1812"/>
      <c r="Y45" s="3286"/>
      <c r="Z45" s="1813">
        <f t="shared" si="12"/>
        <v>111</v>
      </c>
      <c r="AA45" s="1810">
        <f t="shared" si="3"/>
        <v>1</v>
      </c>
      <c r="AB45" s="1810">
        <f t="shared" si="4"/>
        <v>1</v>
      </c>
      <c r="AC45" s="1810">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99"/>
      <c r="Q46" s="1809">
        <f t="shared" si="8"/>
        <v>111</v>
      </c>
      <c r="R46" s="772" t="s">
        <v>17</v>
      </c>
      <c r="S46" s="773">
        <f t="shared" si="9"/>
        <v>100</v>
      </c>
      <c r="T46" s="772" t="s">
        <v>17</v>
      </c>
      <c r="U46" s="773">
        <f t="shared" si="10"/>
        <v>100</v>
      </c>
      <c r="V46" s="772" t="s">
        <v>17</v>
      </c>
      <c r="W46" s="773">
        <f t="shared" si="11"/>
        <v>100</v>
      </c>
      <c r="X46" s="1812"/>
      <c r="Y46" s="3300"/>
      <c r="Z46" s="1813">
        <f t="shared" si="12"/>
        <v>111</v>
      </c>
      <c r="AA46" s="1810">
        <f t="shared" si="3"/>
        <v>1</v>
      </c>
      <c r="AB46" s="1810">
        <f t="shared" si="4"/>
        <v>1</v>
      </c>
      <c r="AC46" s="1810">
        <f t="shared" si="5"/>
        <v>1</v>
      </c>
    </row>
    <row r="47" spans="1:29" ht="15">
      <c r="A47" s="478" t="s">
        <v>2569</v>
      </c>
      <c r="B47" s="479"/>
      <c r="C47" s="1406" t="s">
        <v>1</v>
      </c>
      <c r="D47" s="1407"/>
      <c r="E47" s="1408"/>
      <c r="F47" s="1409"/>
      <c r="G47" s="1410"/>
      <c r="H47" s="1411"/>
      <c r="I47" s="1408"/>
      <c r="J47" s="1411"/>
      <c r="K47" s="781"/>
      <c r="L47" s="1142"/>
      <c r="M47" s="1143"/>
      <c r="N47" s="1130"/>
      <c r="O47" s="1143"/>
      <c r="P47" s="3268" t="str">
        <f>A47</f>
        <v>成交单价（元/平方米）</v>
      </c>
      <c r="Q47" s="3268"/>
      <c r="R47" s="3281">
        <f>E47</f>
        <v>0</v>
      </c>
      <c r="S47" s="3281"/>
      <c r="T47" s="3281">
        <f>G47</f>
        <v>0</v>
      </c>
      <c r="U47" s="3281"/>
      <c r="V47" s="3281">
        <f>I47</f>
        <v>0</v>
      </c>
      <c r="W47" s="3281"/>
      <c r="X47" s="757"/>
      <c r="Y47" s="779"/>
      <c r="Z47" s="757"/>
      <c r="AA47" s="757"/>
      <c r="AB47" s="757"/>
      <c r="AC47" s="757"/>
    </row>
    <row r="48" spans="1:29" ht="15.75" thickBot="1">
      <c r="A48" s="485" t="s">
        <v>2661</v>
      </c>
      <c r="B48" s="486"/>
      <c r="C48" s="1412" t="e">
        <f>R49</f>
        <v>#DIV/0!</v>
      </c>
      <c r="D48" s="1413"/>
      <c r="E48" s="1414" t="e">
        <f>R48</f>
        <v>#DIV/0!</v>
      </c>
      <c r="F48" s="1414"/>
      <c r="G48" s="1412" t="e">
        <f>T48</f>
        <v>#DIV/0!</v>
      </c>
      <c r="H48" s="1413"/>
      <c r="I48" s="1414" t="e">
        <f>V48</f>
        <v>#DIV/0!</v>
      </c>
      <c r="J48" s="1413"/>
      <c r="K48" s="782"/>
      <c r="L48" s="1142"/>
      <c r="M48" s="1143"/>
      <c r="N48" s="1130"/>
      <c r="O48" s="1143"/>
      <c r="P48" s="3268" t="str">
        <f>A48</f>
        <v>比较价值（元/平方米）</v>
      </c>
      <c r="Q48" s="3268"/>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7"/>
      <c r="Y48" s="757"/>
      <c r="Z48" s="757"/>
      <c r="AA48" s="757"/>
      <c r="AB48" s="757"/>
      <c r="AC48" s="757"/>
    </row>
    <row r="49" spans="1:29" ht="15.75" thickBot="1">
      <c r="A49" s="491" t="s">
        <v>2662</v>
      </c>
      <c r="B49" s="492"/>
      <c r="C49" s="1416" t="e">
        <f>R49</f>
        <v>#DIV/0!</v>
      </c>
      <c r="D49" s="1416"/>
      <c r="E49" s="1416"/>
      <c r="F49" s="1416"/>
      <c r="G49" s="1416"/>
      <c r="H49" s="1416"/>
      <c r="I49" s="1416"/>
      <c r="J49" s="1416"/>
      <c r="K49" s="783"/>
      <c r="L49" s="1142"/>
      <c r="M49" s="1143"/>
      <c r="N49" s="1130"/>
      <c r="O49" s="1143"/>
      <c r="P49" s="3288" t="str">
        <f>A49</f>
        <v>估价对象XX用房的比较价值（楼面单价，元/平方米）</v>
      </c>
      <c r="Q49" s="3289"/>
      <c r="R49" s="3302" t="e">
        <f>IF(F1="售价",ROUND(AVERAGE(R48:V48),0),ROUND(AVERAGE(R48:V48),1))</f>
        <v>#DIV/0!</v>
      </c>
      <c r="S49" s="3302"/>
      <c r="T49" s="3302"/>
      <c r="U49" s="3302"/>
      <c r="V49" s="3302"/>
      <c r="W49" s="3302"/>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4"/>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4"/>
      <c r="Q51" s="757"/>
      <c r="R51" s="757"/>
      <c r="S51" s="757"/>
      <c r="T51" s="757"/>
      <c r="U51" s="757"/>
      <c r="V51" s="757"/>
      <c r="W51" s="757"/>
      <c r="X51" s="757"/>
      <c r="Y51" s="757"/>
      <c r="Z51" s="757"/>
      <c r="AA51" s="757"/>
      <c r="AB51" s="757"/>
      <c r="AC51" s="757"/>
    </row>
    <row r="52" spans="1:29" ht="13.5" customHeight="1">
      <c r="A52" s="1143"/>
      <c r="B52" s="1143"/>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7"/>
      <c r="R52" s="757"/>
      <c r="S52" s="757"/>
      <c r="T52" s="757"/>
      <c r="U52" s="757"/>
      <c r="V52" s="757"/>
      <c r="W52" s="757"/>
      <c r="X52" s="757"/>
      <c r="Y52" s="757"/>
      <c r="Z52" s="757"/>
      <c r="AA52" s="757"/>
      <c r="AB52" s="757"/>
      <c r="AC52" s="757"/>
    </row>
    <row r="53" spans="1:29" ht="13.5" customHeight="1">
      <c r="A53" s="1143"/>
      <c r="B53" s="1143"/>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7"/>
      <c r="R53" s="757"/>
      <c r="S53" s="757"/>
      <c r="T53" s="757"/>
      <c r="U53" s="757"/>
      <c r="V53" s="757"/>
      <c r="W53" s="757"/>
      <c r="X53" s="757"/>
      <c r="Y53" s="757"/>
      <c r="Z53" s="757"/>
      <c r="AA53" s="757"/>
      <c r="AB53" s="757"/>
      <c r="AC53" s="757"/>
    </row>
    <row r="54" spans="1:29" s="501" customFormat="1" ht="13.5" customHeight="1">
      <c r="A54" s="1144"/>
      <c r="B54" s="1144"/>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8"/>
      <c r="R54" s="758"/>
      <c r="S54" s="758"/>
      <c r="T54" s="758"/>
      <c r="U54" s="758"/>
      <c r="V54" s="758"/>
      <c r="W54" s="758"/>
      <c r="X54" s="758"/>
      <c r="Y54" s="758"/>
      <c r="Z54" s="758"/>
      <c r="AA54" s="758"/>
      <c r="AB54" s="758"/>
      <c r="AC54" s="758"/>
    </row>
    <row r="55" spans="1:29" s="501" customFormat="1">
      <c r="A55" s="1144"/>
      <c r="B55" s="1145"/>
      <c r="C55" s="1149"/>
      <c r="D55" s="1144"/>
      <c r="E55" s="1144"/>
      <c r="F55" s="1144"/>
      <c r="G55" s="1144"/>
      <c r="H55" s="1144"/>
      <c r="I55" s="1144"/>
      <c r="J55" s="1144"/>
      <c r="K55" s="1147"/>
      <c r="L55" s="1148"/>
      <c r="M55" s="1144"/>
      <c r="N55" s="1144"/>
      <c r="O55" s="1144"/>
      <c r="P55" s="2662"/>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60"/>
      <c r="M57" s="1158"/>
      <c r="N57" s="1158"/>
      <c r="O57" s="1158"/>
      <c r="P57" s="2663"/>
      <c r="Q57" s="2664"/>
      <c r="R57" s="757"/>
      <c r="S57" s="757"/>
      <c r="T57" s="757"/>
      <c r="U57" s="757"/>
      <c r="V57" s="757"/>
      <c r="W57" s="757"/>
      <c r="X57" s="757"/>
      <c r="Y57" s="757"/>
      <c r="Z57" s="757"/>
      <c r="AA57" s="757"/>
      <c r="AB57" s="757"/>
      <c r="AC57" s="757"/>
    </row>
    <row r="58" spans="1:29" s="507" customFormat="1" ht="15">
      <c r="A58" s="504" t="s">
        <v>2540</v>
      </c>
      <c r="B58" s="505"/>
      <c r="C58" s="1573" t="str">
        <f>YEAR(C7)&amp;"-"&amp;MONTH(C7)</f>
        <v>2018-8</v>
      </c>
      <c r="D58" s="1574">
        <f>EDATE(C58,-1)</f>
        <v>43282</v>
      </c>
      <c r="E58" s="1574">
        <f t="shared" ref="E58:N58" si="13">EDATE(D58,-1)</f>
        <v>43252</v>
      </c>
      <c r="F58" s="1574">
        <f t="shared" si="13"/>
        <v>43221</v>
      </c>
      <c r="G58" s="1574">
        <f t="shared" si="13"/>
        <v>43191</v>
      </c>
      <c r="H58" s="1574">
        <f t="shared" si="13"/>
        <v>43160</v>
      </c>
      <c r="I58" s="1574">
        <f t="shared" si="13"/>
        <v>43132</v>
      </c>
      <c r="J58" s="1574">
        <f t="shared" si="13"/>
        <v>43101</v>
      </c>
      <c r="K58" s="1574">
        <f t="shared" si="13"/>
        <v>43070</v>
      </c>
      <c r="L58" s="1574">
        <f t="shared" si="13"/>
        <v>43040</v>
      </c>
      <c r="M58" s="1574">
        <f t="shared" si="13"/>
        <v>43009</v>
      </c>
      <c r="N58" s="1574">
        <f t="shared" si="13"/>
        <v>42979</v>
      </c>
      <c r="O58" s="1574">
        <f>EDATE(N58,-1)</f>
        <v>42948</v>
      </c>
      <c r="P58" s="1569"/>
    </row>
    <row r="59" spans="1:29" s="117" customFormat="1" ht="15">
      <c r="A59" s="508"/>
      <c r="B59" s="509"/>
      <c r="C59" s="1572">
        <v>100</v>
      </c>
      <c r="D59" s="511"/>
      <c r="E59" s="511"/>
      <c r="F59" s="511"/>
      <c r="G59" s="511"/>
      <c r="H59" s="511"/>
      <c r="I59" s="511"/>
      <c r="J59" s="511"/>
      <c r="K59" s="511"/>
      <c r="L59" s="511"/>
      <c r="M59" s="512"/>
      <c r="N59" s="511"/>
      <c r="O59" s="512"/>
      <c r="P59" s="2624"/>
    </row>
    <row r="60" spans="1:29" s="117" customFormat="1" ht="15.75" thickBot="1">
      <c r="A60" s="514" t="s">
        <v>2577</v>
      </c>
      <c r="B60" s="515"/>
      <c r="C60" s="516"/>
      <c r="D60" s="517"/>
      <c r="E60" s="517"/>
      <c r="F60" s="517"/>
      <c r="G60" s="517"/>
      <c r="H60" s="517"/>
      <c r="I60" s="517"/>
      <c r="J60" s="517"/>
      <c r="K60" s="517"/>
      <c r="L60" s="517"/>
      <c r="M60" s="518"/>
      <c r="N60" s="517"/>
      <c r="O60" s="518"/>
      <c r="P60" s="2624"/>
      <c r="Q60" s="503"/>
    </row>
    <row r="61" spans="1:29" s="117" customFormat="1" ht="15">
      <c r="A61" s="520" t="s">
        <v>2542</v>
      </c>
      <c r="B61" s="509"/>
      <c r="C61" s="521" t="s">
        <v>2644</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2580</v>
      </c>
      <c r="B63" s="527" t="s">
        <v>2546</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2550</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2647</v>
      </c>
      <c r="C82" s="659" t="s">
        <v>2667</v>
      </c>
      <c r="D82" s="659" t="s">
        <v>2668</v>
      </c>
      <c r="E82" s="659" t="s">
        <v>2669</v>
      </c>
      <c r="F82" s="659" t="s">
        <v>2670</v>
      </c>
      <c r="G82" s="659" t="s">
        <v>2671</v>
      </c>
      <c r="H82" s="538"/>
      <c r="I82" s="538"/>
      <c r="J82" s="538"/>
      <c r="K82" s="538"/>
      <c r="L82" s="538"/>
      <c r="M82" s="1381"/>
      <c r="N82" s="1152"/>
      <c r="O82" s="1152"/>
      <c r="P82" s="2626"/>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2"/>
      <c r="O83" s="1152"/>
      <c r="P83" s="2626"/>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7" customFormat="1" ht="15.75" thickTop="1">
      <c r="A86" s="578"/>
      <c r="B86" s="537" t="s">
        <v>2672</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2"/>
      <c r="O87" s="1152"/>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7"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2555</v>
      </c>
      <c r="B100" s="527" t="s">
        <v>2673</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2"/>
      <c r="O101" s="1152"/>
      <c r="P101" s="2626"/>
      <c r="Q101" s="503"/>
    </row>
    <row r="102" spans="1:17" ht="15.75" thickTop="1">
      <c r="A102" s="533"/>
      <c r="B102" s="537" t="s">
        <v>2605</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2606</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2"/>
      <c r="O106" s="1152"/>
      <c r="P106" s="2626"/>
      <c r="Q106" s="503"/>
    </row>
    <row r="107" spans="1:17" ht="15" thickTop="1">
      <c r="A107" s="598"/>
      <c r="B107" s="537" t="s">
        <v>2608</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2"/>
      <c r="O108" s="1152"/>
      <c r="P108" s="262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2"/>
      <c r="O111" s="1152"/>
      <c r="P111" s="2626"/>
      <c r="Q111" s="503"/>
    </row>
    <row r="112" spans="1:17" s="470" customFormat="1" ht="15" thickTop="1">
      <c r="A112" s="592"/>
      <c r="B112" s="537" t="s">
        <v>2610</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3"/>
      <c r="O113" s="1153"/>
      <c r="P113" s="2627"/>
      <c r="Q113" s="558"/>
    </row>
    <row r="114" spans="1:17" ht="15" thickTop="1">
      <c r="A114" s="598"/>
      <c r="B114" s="537" t="s">
        <v>2674</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2"/>
      <c r="O115" s="1152"/>
      <c r="P115" s="2626"/>
      <c r="Q115" s="503"/>
    </row>
    <row r="116" spans="1:17" ht="15" thickTop="1">
      <c r="A116" s="598"/>
      <c r="B116" s="537" t="s">
        <v>2675</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2676</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2677</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3"/>
      <c r="O121" s="1153"/>
      <c r="P121" s="2627"/>
      <c r="Q121" s="558"/>
    </row>
    <row r="122" spans="1:17" ht="15" thickTop="1">
      <c r="A122" s="598"/>
      <c r="B122" s="537" t="s">
        <v>2612</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2"/>
      <c r="O123" s="1152"/>
      <c r="P123" s="2626"/>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665" t="s">
        <v>2678</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IF(C2="——",ROUND(C50*D3/10000,0),ROUND(C50*D3/10000,0)-D2)</f>
        <v>#DIV/0!</v>
      </c>
      <c r="C2" s="2583"/>
      <c r="D2" s="1364" t="e">
        <f ca="1">SUMIF(INDIRECT("'"&amp;F2&amp;"'"&amp;"!A:A"),"承租人权益价值",INDIRECT("'"&amp;F2&amp;"'"&amp;"!c:c"))</f>
        <v>#REF!</v>
      </c>
      <c r="E2" s="2584" t="s">
        <v>2323</v>
      </c>
      <c r="F2" s="2585"/>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7" customFormat="1" ht="28.5" customHeight="1" thickBot="1">
      <c r="A3" s="246" t="s">
        <v>2324</v>
      </c>
      <c r="B3" s="608" t="e">
        <f ca="1">IF(C2="——",C50,ROUND(B2*10000/D3,0))</f>
        <v>#DIV/0!</v>
      </c>
      <c r="C3" s="399" t="s">
        <v>2636</v>
      </c>
      <c r="D3" s="398">
        <f>IF(D1="",'数据-汇总表'!E3,SUMIF('数据-汇总表'!$C19:$C33,D1,'数据-汇总表'!$E19:$E33))</f>
        <v>73865.87</v>
      </c>
      <c r="E3" s="2659"/>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337" t="s">
        <v>2643</v>
      </c>
      <c r="Q4" s="3338"/>
      <c r="R4" s="3332" t="s">
        <v>2639</v>
      </c>
      <c r="S4" s="3333"/>
      <c r="T4" s="3332" t="s">
        <v>2640</v>
      </c>
      <c r="U4" s="3333"/>
      <c r="V4" s="3341" t="s">
        <v>2641</v>
      </c>
      <c r="W4" s="3341"/>
      <c r="X4" s="2666"/>
      <c r="Y4" s="3332" t="s">
        <v>2643</v>
      </c>
      <c r="Z4" s="3333"/>
      <c r="AA4" s="3331" t="s">
        <v>2639</v>
      </c>
      <c r="AB4" s="3331" t="s">
        <v>2640</v>
      </c>
      <c r="AC4" s="3334" t="s">
        <v>2641</v>
      </c>
    </row>
    <row r="5" spans="1:29" ht="15">
      <c r="A5" s="403"/>
      <c r="B5" s="404"/>
      <c r="C5" s="3260" t="s">
        <v>2534</v>
      </c>
      <c r="D5" s="3261"/>
      <c r="E5" s="3330" t="s">
        <v>2535</v>
      </c>
      <c r="F5" s="3259"/>
      <c r="G5" s="3260" t="s">
        <v>2536</v>
      </c>
      <c r="H5" s="3261"/>
      <c r="I5" s="3260" t="s">
        <v>2537</v>
      </c>
      <c r="J5" s="3261"/>
      <c r="K5" s="609"/>
      <c r="L5" s="1129"/>
      <c r="M5" s="1130"/>
      <c r="N5" s="1130"/>
      <c r="O5" s="1130"/>
      <c r="P5" s="3339"/>
      <c r="Q5" s="3276"/>
      <c r="R5" s="3256"/>
      <c r="S5" s="3257"/>
      <c r="T5" s="3256"/>
      <c r="U5" s="3257"/>
      <c r="V5" s="3281"/>
      <c r="W5" s="3281"/>
      <c r="X5" s="1812"/>
      <c r="Y5" s="3256"/>
      <c r="Z5" s="3257"/>
      <c r="AA5" s="3250"/>
      <c r="AB5" s="3250"/>
      <c r="AC5" s="3335"/>
    </row>
    <row r="6" spans="1:29" ht="15.75" thickBot="1">
      <c r="A6" s="405"/>
      <c r="B6" s="406"/>
      <c r="C6" s="3262" t="s">
        <v>2538</v>
      </c>
      <c r="D6" s="3263"/>
      <c r="E6" s="3294" t="s">
        <v>2538</v>
      </c>
      <c r="F6" s="3266"/>
      <c r="G6" s="3262" t="s">
        <v>2538</v>
      </c>
      <c r="H6" s="3263"/>
      <c r="I6" s="3262" t="s">
        <v>2538</v>
      </c>
      <c r="J6" s="3263"/>
      <c r="K6" s="609" t="s">
        <v>2539</v>
      </c>
      <c r="L6" s="1129"/>
      <c r="M6" s="1130"/>
      <c r="N6" s="1130"/>
      <c r="O6" s="1130"/>
      <c r="P6" s="3340"/>
      <c r="Q6" s="3278"/>
      <c r="R6" s="3256"/>
      <c r="S6" s="3257"/>
      <c r="T6" s="3279"/>
      <c r="U6" s="3280"/>
      <c r="V6" s="3281"/>
      <c r="W6" s="3281"/>
      <c r="X6" s="1812"/>
      <c r="Y6" s="3279"/>
      <c r="Z6" s="3280"/>
      <c r="AA6" s="3251"/>
      <c r="AB6" s="3251"/>
      <c r="AC6" s="3336"/>
    </row>
    <row r="7" spans="1:29" s="117" customFormat="1" ht="15.75" thickBot="1">
      <c r="A7" s="407" t="s">
        <v>2540</v>
      </c>
      <c r="B7" s="408"/>
      <c r="C7" s="409">
        <f>'数据-取费表'!B2</f>
        <v>43321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42" t="s">
        <v>2541</v>
      </c>
      <c r="Q7" s="3282"/>
      <c r="R7" s="768" t="s">
        <v>17</v>
      </c>
      <c r="S7" s="769">
        <f t="shared" ref="S7:S15" si="0">F7</f>
        <v>0</v>
      </c>
      <c r="T7" s="768" t="s">
        <v>17</v>
      </c>
      <c r="U7" s="769">
        <f t="shared" ref="U7:U15" si="1">H7</f>
        <v>0</v>
      </c>
      <c r="V7" s="768" t="s">
        <v>17</v>
      </c>
      <c r="W7" s="769">
        <f t="shared" ref="W7:W15" si="2">J7</f>
        <v>0</v>
      </c>
      <c r="X7" s="770"/>
      <c r="Y7" s="3252" t="s">
        <v>2541</v>
      </c>
      <c r="Z7" s="3253"/>
      <c r="AA7" s="771" t="e">
        <f>D7/F7</f>
        <v>#DIV/0!</v>
      </c>
      <c r="AB7" s="771" t="e">
        <f>D7/H7</f>
        <v>#DIV/0!</v>
      </c>
      <c r="AC7" s="2667" t="e">
        <f>D7/J7</f>
        <v>#DIV/0!</v>
      </c>
    </row>
    <row r="8" spans="1:29" s="117"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42" t="s">
        <v>2544</v>
      </c>
      <c r="Q8" s="3253"/>
      <c r="R8" s="768" t="s">
        <v>17</v>
      </c>
      <c r="S8" s="769">
        <f t="shared" si="0"/>
        <v>0</v>
      </c>
      <c r="T8" s="768" t="s">
        <v>17</v>
      </c>
      <c r="U8" s="769">
        <f t="shared" si="1"/>
        <v>0</v>
      </c>
      <c r="V8" s="768" t="s">
        <v>17</v>
      </c>
      <c r="W8" s="769">
        <f t="shared" si="2"/>
        <v>0</v>
      </c>
      <c r="X8" s="770"/>
      <c r="Y8" s="3252" t="s">
        <v>2544</v>
      </c>
      <c r="Z8" s="3253"/>
      <c r="AA8" s="771" t="e">
        <f t="shared" ref="AA8:AA47" si="3">D8/F8</f>
        <v>#DIV/0!</v>
      </c>
      <c r="AB8" s="771" t="e">
        <f t="shared" ref="AB8:AB47" si="4">D8/H8</f>
        <v>#DIV/0!</v>
      </c>
      <c r="AC8" s="2667" t="e">
        <f t="shared" ref="AC8:AC47" si="5">D8/J8</f>
        <v>#DIV/0!</v>
      </c>
    </row>
    <row r="9" spans="1:29" s="117"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92" t="s">
        <v>2547</v>
      </c>
      <c r="Q9" s="1794" t="str">
        <f t="shared" ref="Q9:Q15" si="6">B9</f>
        <v>用途</v>
      </c>
      <c r="R9" s="768" t="s">
        <v>17</v>
      </c>
      <c r="S9" s="769">
        <f t="shared" si="0"/>
        <v>100</v>
      </c>
      <c r="T9" s="768" t="s">
        <v>17</v>
      </c>
      <c r="U9" s="769">
        <f t="shared" si="1"/>
        <v>100</v>
      </c>
      <c r="V9" s="768" t="s">
        <v>17</v>
      </c>
      <c r="W9" s="769">
        <f t="shared" si="2"/>
        <v>100</v>
      </c>
      <c r="X9" s="770"/>
      <c r="Y9" s="3123" t="s">
        <v>2548</v>
      </c>
      <c r="Z9" s="55" t="str">
        <f t="shared" ref="Z9:Z15" si="7">Q9</f>
        <v>用途</v>
      </c>
      <c r="AA9" s="771">
        <f t="shared" si="3"/>
        <v>1</v>
      </c>
      <c r="AB9" s="771">
        <f t="shared" si="4"/>
        <v>1</v>
      </c>
      <c r="AC9" s="2667">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92"/>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2667">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92"/>
      <c r="Q11" s="1794"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2667" t="e">
        <f t="shared" si="5"/>
        <v>#N/A</v>
      </c>
    </row>
    <row r="12" spans="1:29" s="117" customFormat="1" ht="15">
      <c r="A12" s="430"/>
      <c r="B12" s="2597">
        <v>111</v>
      </c>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92"/>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2667">
        <f>D12/J12</f>
        <v>1</v>
      </c>
    </row>
    <row r="13" spans="1:29" ht="15">
      <c r="A13" s="427"/>
      <c r="B13" s="2597">
        <v>111</v>
      </c>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92"/>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2667">
        <f t="shared" si="5"/>
        <v>1</v>
      </c>
    </row>
    <row r="14" spans="1:29" ht="15.75" thickBot="1">
      <c r="A14" s="435"/>
      <c r="B14" s="2599">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92"/>
      <c r="Q14" s="1794">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2667">
        <f t="shared" si="5"/>
        <v>1</v>
      </c>
    </row>
    <row r="15" spans="1:29" ht="15">
      <c r="A15" s="439" t="s">
        <v>2551</v>
      </c>
      <c r="B15" s="628" t="s">
        <v>2679</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95" t="s">
        <v>2552</v>
      </c>
      <c r="Q15" s="1809" t="str">
        <f t="shared" si="6"/>
        <v>办公集聚程度</v>
      </c>
      <c r="R15" s="772" t="s">
        <v>17</v>
      </c>
      <c r="S15" s="773">
        <f t="shared" si="0"/>
        <v>100</v>
      </c>
      <c r="T15" s="772" t="s">
        <v>17</v>
      </c>
      <c r="U15" s="773">
        <f t="shared" si="1"/>
        <v>100</v>
      </c>
      <c r="V15" s="772" t="s">
        <v>17</v>
      </c>
      <c r="W15" s="773">
        <f t="shared" si="2"/>
        <v>100</v>
      </c>
      <c r="X15" s="1812"/>
      <c r="Y15" s="3283" t="s">
        <v>2552</v>
      </c>
      <c r="Z15" s="1813" t="str">
        <f t="shared" si="7"/>
        <v>办公集聚程度</v>
      </c>
      <c r="AA15" s="1810">
        <f t="shared" si="3"/>
        <v>1</v>
      </c>
      <c r="AB15" s="1810">
        <f t="shared" si="4"/>
        <v>1</v>
      </c>
      <c r="AC15" s="2670">
        <f t="shared" si="5"/>
        <v>1</v>
      </c>
    </row>
    <row r="16" spans="1:29" ht="15">
      <c r="A16" s="427"/>
      <c r="B16" s="629"/>
      <c r="C16" s="2608"/>
      <c r="D16" s="447"/>
      <c r="E16" s="446"/>
      <c r="F16" s="447"/>
      <c r="G16" s="2608"/>
      <c r="H16" s="449"/>
      <c r="I16" s="446"/>
      <c r="J16" s="447"/>
      <c r="K16" s="614"/>
      <c r="L16" s="1139"/>
      <c r="M16" s="1130"/>
      <c r="N16" s="1130"/>
      <c r="O16" s="1130"/>
      <c r="P16" s="3296"/>
      <c r="Q16" s="1809"/>
      <c r="R16" s="772"/>
      <c r="S16" s="773"/>
      <c r="T16" s="772"/>
      <c r="U16" s="773"/>
      <c r="V16" s="772"/>
      <c r="W16" s="773"/>
      <c r="X16" s="1812"/>
      <c r="Y16" s="3284"/>
      <c r="Z16" s="1813"/>
      <c r="AA16" s="1810">
        <v>1</v>
      </c>
      <c r="AB16" s="1810">
        <v>1</v>
      </c>
      <c r="AC16" s="2670">
        <v>1</v>
      </c>
    </row>
    <row r="17" spans="1:29" ht="15">
      <c r="A17" s="427"/>
      <c r="B17" s="630" t="s">
        <v>2093</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96"/>
      <c r="Q17" s="1809" t="str">
        <f>B17</f>
        <v>交通便捷度</v>
      </c>
      <c r="R17" s="772" t="s">
        <v>17</v>
      </c>
      <c r="S17" s="773">
        <f>F17</f>
        <v>100</v>
      </c>
      <c r="T17" s="772" t="s">
        <v>17</v>
      </c>
      <c r="U17" s="773">
        <f>H17</f>
        <v>100</v>
      </c>
      <c r="V17" s="772" t="s">
        <v>17</v>
      </c>
      <c r="W17" s="773">
        <f>J17</f>
        <v>100</v>
      </c>
      <c r="X17" s="1812"/>
      <c r="Y17" s="3284"/>
      <c r="Z17" s="1813" t="str">
        <f>Q17</f>
        <v>交通便捷度</v>
      </c>
      <c r="AA17" s="1810">
        <f t="shared" si="3"/>
        <v>1</v>
      </c>
      <c r="AB17" s="1810">
        <f t="shared" si="4"/>
        <v>1</v>
      </c>
      <c r="AC17" s="2670">
        <f t="shared" si="5"/>
        <v>1</v>
      </c>
    </row>
    <row r="18" spans="1:29" ht="15">
      <c r="A18" s="427"/>
      <c r="B18" s="631"/>
      <c r="C18" s="2672"/>
      <c r="D18" s="449"/>
      <c r="E18" s="2606"/>
      <c r="F18" s="449"/>
      <c r="G18" s="2607"/>
      <c r="H18" s="447"/>
      <c r="I18" s="2607"/>
      <c r="J18" s="447"/>
      <c r="K18" s="614"/>
      <c r="L18" s="1139"/>
      <c r="M18" s="1130"/>
      <c r="N18" s="1130"/>
      <c r="O18" s="1130"/>
      <c r="P18" s="3296"/>
      <c r="Q18" s="1809"/>
      <c r="R18" s="772"/>
      <c r="S18" s="773"/>
      <c r="T18" s="772"/>
      <c r="U18" s="773"/>
      <c r="V18" s="772"/>
      <c r="W18" s="773"/>
      <c r="X18" s="1812"/>
      <c r="Y18" s="3284"/>
      <c r="Z18" s="1813"/>
      <c r="AA18" s="1810">
        <v>1</v>
      </c>
      <c r="AB18" s="1810">
        <v>1</v>
      </c>
      <c r="AC18" s="2670">
        <v>1</v>
      </c>
    </row>
    <row r="19" spans="1:29" ht="15">
      <c r="A19" s="427"/>
      <c r="B19" s="630" t="s">
        <v>2680</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96"/>
      <c r="Q19" s="1809" t="str">
        <f>B19</f>
        <v>公共配套设施</v>
      </c>
      <c r="R19" s="772" t="s">
        <v>17</v>
      </c>
      <c r="S19" s="773">
        <f>F19</f>
        <v>100</v>
      </c>
      <c r="T19" s="772" t="s">
        <v>17</v>
      </c>
      <c r="U19" s="773">
        <f>H19</f>
        <v>100</v>
      </c>
      <c r="V19" s="772" t="s">
        <v>17</v>
      </c>
      <c r="W19" s="773">
        <f>J19</f>
        <v>100</v>
      </c>
      <c r="X19" s="1812"/>
      <c r="Y19" s="3284"/>
      <c r="Z19" s="1813" t="str">
        <f>Q19</f>
        <v>公共配套设施</v>
      </c>
      <c r="AA19" s="1810">
        <f t="shared" si="3"/>
        <v>1</v>
      </c>
      <c r="AB19" s="1810">
        <f t="shared" si="4"/>
        <v>1</v>
      </c>
      <c r="AC19" s="2670">
        <f t="shared" si="5"/>
        <v>1</v>
      </c>
    </row>
    <row r="20" spans="1:29" ht="15">
      <c r="A20" s="427"/>
      <c r="B20" s="631"/>
      <c r="C20" s="2608"/>
      <c r="D20" s="447"/>
      <c r="E20" s="2601"/>
      <c r="F20" s="447"/>
      <c r="G20" s="2602"/>
      <c r="H20" s="447"/>
      <c r="I20" s="2602"/>
      <c r="J20" s="447"/>
      <c r="K20" s="614"/>
      <c r="L20" s="1139"/>
      <c r="M20" s="1130"/>
      <c r="N20" s="1130"/>
      <c r="O20" s="1130"/>
      <c r="P20" s="3296"/>
      <c r="Q20" s="1809"/>
      <c r="R20" s="772"/>
      <c r="S20" s="773"/>
      <c r="T20" s="772"/>
      <c r="U20" s="773"/>
      <c r="V20" s="772"/>
      <c r="W20" s="773"/>
      <c r="X20" s="1812"/>
      <c r="Y20" s="3284"/>
      <c r="Z20" s="1813"/>
      <c r="AA20" s="1810">
        <v>1</v>
      </c>
      <c r="AB20" s="1810">
        <v>1</v>
      </c>
      <c r="AC20" s="2670">
        <v>1</v>
      </c>
    </row>
    <row r="21" spans="1:29" ht="15">
      <c r="A21" s="427"/>
      <c r="B21" s="632" t="s">
        <v>2681</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96"/>
      <c r="Q21" s="1809" t="str">
        <f>B21</f>
        <v>基础设施水平</v>
      </c>
      <c r="R21" s="772" t="s">
        <v>17</v>
      </c>
      <c r="S21" s="773">
        <f>F21</f>
        <v>100</v>
      </c>
      <c r="T21" s="772" t="s">
        <v>17</v>
      </c>
      <c r="U21" s="773">
        <f>H21</f>
        <v>100</v>
      </c>
      <c r="V21" s="772" t="s">
        <v>17</v>
      </c>
      <c r="W21" s="773">
        <f>J21</f>
        <v>100</v>
      </c>
      <c r="X21" s="1812"/>
      <c r="Y21" s="3284"/>
      <c r="Z21" s="1813" t="str">
        <f>Q21</f>
        <v>基础设施水平</v>
      </c>
      <c r="AA21" s="1810">
        <f>D21/F21</f>
        <v>1</v>
      </c>
      <c r="AB21" s="1810">
        <f>D21/H21</f>
        <v>1</v>
      </c>
      <c r="AC21" s="2670">
        <f>D21/J21</f>
        <v>1</v>
      </c>
    </row>
    <row r="22" spans="1:29" ht="15">
      <c r="A22" s="427"/>
      <c r="B22" s="632"/>
      <c r="C22" s="2672"/>
      <c r="D22" s="447"/>
      <c r="E22" s="446"/>
      <c r="F22" s="447"/>
      <c r="G22" s="2608"/>
      <c r="H22" s="447"/>
      <c r="I22" s="2608"/>
      <c r="J22" s="447"/>
      <c r="K22" s="1382"/>
      <c r="L22" s="1139"/>
      <c r="M22" s="1130"/>
      <c r="N22" s="1130"/>
      <c r="O22" s="1130"/>
      <c r="P22" s="3296"/>
      <c r="Q22" s="1809"/>
      <c r="R22" s="772"/>
      <c r="S22" s="773"/>
      <c r="T22" s="772"/>
      <c r="U22" s="773"/>
      <c r="V22" s="772"/>
      <c r="W22" s="773"/>
      <c r="X22" s="1812"/>
      <c r="Y22" s="3284"/>
      <c r="Z22" s="1813"/>
      <c r="AA22" s="1810">
        <v>1</v>
      </c>
      <c r="AB22" s="1810">
        <v>1</v>
      </c>
      <c r="AC22" s="2670">
        <v>1</v>
      </c>
    </row>
    <row r="23" spans="1:29" ht="15">
      <c r="A23" s="427"/>
      <c r="B23" s="630" t="s">
        <v>2682</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96"/>
      <c r="Q23" s="1809" t="str">
        <f>B23</f>
        <v>环境质量</v>
      </c>
      <c r="R23" s="772" t="s">
        <v>17</v>
      </c>
      <c r="S23" s="773">
        <f>F23</f>
        <v>100</v>
      </c>
      <c r="T23" s="772" t="s">
        <v>17</v>
      </c>
      <c r="U23" s="773">
        <f>H23</f>
        <v>100</v>
      </c>
      <c r="V23" s="772" t="s">
        <v>17</v>
      </c>
      <c r="W23" s="773">
        <f>J23</f>
        <v>100</v>
      </c>
      <c r="X23" s="1812"/>
      <c r="Y23" s="3284"/>
      <c r="Z23" s="1813" t="str">
        <f>Q23</f>
        <v>环境质量</v>
      </c>
      <c r="AA23" s="1810">
        <f t="shared" si="3"/>
        <v>1</v>
      </c>
      <c r="AB23" s="1810">
        <f t="shared" si="4"/>
        <v>1</v>
      </c>
      <c r="AC23" s="2670">
        <f t="shared" si="5"/>
        <v>1</v>
      </c>
    </row>
    <row r="24" spans="1:29" ht="15">
      <c r="A24" s="427"/>
      <c r="B24" s="632"/>
      <c r="C24" s="2608"/>
      <c r="D24" s="447"/>
      <c r="E24" s="2601"/>
      <c r="F24" s="447"/>
      <c r="G24" s="2602"/>
      <c r="H24" s="447"/>
      <c r="I24" s="2602"/>
      <c r="J24" s="447"/>
      <c r="K24" s="614"/>
      <c r="L24" s="1139"/>
      <c r="M24" s="1130"/>
      <c r="N24" s="1130"/>
      <c r="O24" s="1130"/>
      <c r="P24" s="3296"/>
      <c r="Q24" s="1809"/>
      <c r="R24" s="772"/>
      <c r="S24" s="773"/>
      <c r="T24" s="772"/>
      <c r="U24" s="773"/>
      <c r="V24" s="772"/>
      <c r="W24" s="773"/>
      <c r="X24" s="1812"/>
      <c r="Y24" s="3284"/>
      <c r="Z24" s="1813"/>
      <c r="AA24" s="1810">
        <v>1</v>
      </c>
      <c r="AB24" s="1810">
        <v>1</v>
      </c>
      <c r="AC24" s="2670">
        <v>1</v>
      </c>
    </row>
    <row r="25" spans="1:29" ht="27">
      <c r="A25" s="403"/>
      <c r="B25" s="630" t="s">
        <v>2683</v>
      </c>
      <c r="C25" s="2612"/>
      <c r="D25" s="434">
        <v>100</v>
      </c>
      <c r="E25" s="433"/>
      <c r="F25" s="434">
        <f>SUMIF(87:87,E26,88:88)-SUMIF(87:87,C26,88:88)+100</f>
        <v>100</v>
      </c>
      <c r="G25" s="2612"/>
      <c r="H25" s="434">
        <f>SUMIF(87:87,G26,88:88)-SUMIF(87:87,C26,88:88)+100</f>
        <v>100</v>
      </c>
      <c r="I25" s="433"/>
      <c r="J25" s="434">
        <f>SUMIF(87:87,I26,88:88)-SUMIF(87:87,C26,88:88)+100</f>
        <v>100</v>
      </c>
      <c r="K25" s="613"/>
      <c r="L25" s="1139"/>
      <c r="M25" s="1130"/>
      <c r="N25" s="1130"/>
      <c r="O25" s="1130"/>
      <c r="P25" s="3296"/>
      <c r="Q25" s="1809" t="str">
        <f>B25</f>
        <v>毗邻道路的类型与等级</v>
      </c>
      <c r="R25" s="772" t="s">
        <v>17</v>
      </c>
      <c r="S25" s="773">
        <f>F25</f>
        <v>100</v>
      </c>
      <c r="T25" s="772" t="s">
        <v>17</v>
      </c>
      <c r="U25" s="773">
        <f>H25</f>
        <v>100</v>
      </c>
      <c r="V25" s="772" t="s">
        <v>17</v>
      </c>
      <c r="W25" s="773">
        <f>J25</f>
        <v>100</v>
      </c>
      <c r="X25" s="1812"/>
      <c r="Y25" s="3284"/>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96"/>
      <c r="Q26" s="1809"/>
      <c r="R26" s="772"/>
      <c r="S26" s="773"/>
      <c r="T26" s="772"/>
      <c r="U26" s="773"/>
      <c r="V26" s="772"/>
      <c r="W26" s="773"/>
      <c r="X26" s="1812"/>
      <c r="Y26" s="3284"/>
      <c r="Z26" s="1813"/>
      <c r="AA26" s="1810">
        <v>1</v>
      </c>
      <c r="AB26" s="1810">
        <v>1</v>
      </c>
      <c r="AC26" s="2670">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96"/>
      <c r="Q27" s="1809" t="str">
        <f t="shared" ref="Q27:Q47" si="8">B27</f>
        <v>楼层</v>
      </c>
      <c r="R27" s="772" t="s">
        <v>17</v>
      </c>
      <c r="S27" s="773">
        <f>F27</f>
        <v>100</v>
      </c>
      <c r="T27" s="772" t="s">
        <v>17</v>
      </c>
      <c r="U27" s="773">
        <f>H27</f>
        <v>100</v>
      </c>
      <c r="V27" s="772" t="s">
        <v>17</v>
      </c>
      <c r="W27" s="773">
        <f>J27</f>
        <v>100</v>
      </c>
      <c r="X27" s="1812"/>
      <c r="Y27" s="3284"/>
      <c r="Z27" s="1813" t="str">
        <f>Q27</f>
        <v>楼层</v>
      </c>
      <c r="AA27" s="1810">
        <f t="shared" si="3"/>
        <v>1</v>
      </c>
      <c r="AB27" s="1810">
        <f t="shared" si="4"/>
        <v>1</v>
      </c>
      <c r="AC27" s="2670">
        <f t="shared" si="5"/>
        <v>1</v>
      </c>
    </row>
    <row r="28" spans="1:29" s="117" customFormat="1" ht="15">
      <c r="A28" s="430"/>
      <c r="B28" s="630" t="s">
        <v>2684</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96"/>
      <c r="Q28" s="1794" t="str">
        <f t="shared" si="8"/>
        <v>朝向</v>
      </c>
      <c r="R28" s="768" t="s">
        <v>17</v>
      </c>
      <c r="S28" s="769">
        <f>F28</f>
        <v>100</v>
      </c>
      <c r="T28" s="768" t="s">
        <v>17</v>
      </c>
      <c r="U28" s="769">
        <f>H28</f>
        <v>100</v>
      </c>
      <c r="V28" s="768" t="s">
        <v>17</v>
      </c>
      <c r="W28" s="769">
        <f>J28</f>
        <v>100</v>
      </c>
      <c r="X28" s="770"/>
      <c r="Y28" s="3284"/>
      <c r="Z28" s="55" t="str">
        <f>Q28</f>
        <v>朝向</v>
      </c>
      <c r="AA28" s="1810">
        <f>D28/F28</f>
        <v>1</v>
      </c>
      <c r="AB28" s="1810">
        <f>D28/H28</f>
        <v>1</v>
      </c>
      <c r="AC28" s="2670">
        <f>D28/J28</f>
        <v>1</v>
      </c>
    </row>
    <row r="29" spans="1:29" ht="15">
      <c r="A29" s="427"/>
      <c r="B29" s="2674">
        <v>111</v>
      </c>
      <c r="C29" s="2612"/>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96"/>
      <c r="Q29" s="1809">
        <f t="shared" si="8"/>
        <v>111</v>
      </c>
      <c r="R29" s="772" t="s">
        <v>17</v>
      </c>
      <c r="S29" s="773">
        <f t="shared" ref="S29:S47" si="9">F29</f>
        <v>100</v>
      </c>
      <c r="T29" s="772" t="s">
        <v>17</v>
      </c>
      <c r="U29" s="773">
        <f t="shared" ref="U29:U47" si="10">H29</f>
        <v>100</v>
      </c>
      <c r="V29" s="772" t="s">
        <v>17</v>
      </c>
      <c r="W29" s="773">
        <f t="shared" ref="W29:W47" si="11">J29</f>
        <v>100</v>
      </c>
      <c r="X29" s="1812"/>
      <c r="Y29" s="3284"/>
      <c r="Z29" s="1813">
        <f t="shared" ref="Z29:Z47" si="12">Q29</f>
        <v>111</v>
      </c>
      <c r="AA29" s="1810">
        <f t="shared" si="3"/>
        <v>1</v>
      </c>
      <c r="AB29" s="1810">
        <f t="shared" si="4"/>
        <v>1</v>
      </c>
      <c r="AC29" s="2670">
        <f t="shared" si="5"/>
        <v>1</v>
      </c>
    </row>
    <row r="30" spans="1:29" ht="15">
      <c r="A30" s="427"/>
      <c r="B30" s="2674">
        <v>111</v>
      </c>
      <c r="C30" s="2612"/>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96"/>
      <c r="Q30" s="1809">
        <f t="shared" si="8"/>
        <v>111</v>
      </c>
      <c r="R30" s="772" t="s">
        <v>17</v>
      </c>
      <c r="S30" s="773">
        <f t="shared" si="9"/>
        <v>100</v>
      </c>
      <c r="T30" s="772" t="s">
        <v>17</v>
      </c>
      <c r="U30" s="773">
        <f t="shared" si="10"/>
        <v>100</v>
      </c>
      <c r="V30" s="772" t="s">
        <v>17</v>
      </c>
      <c r="W30" s="773">
        <f t="shared" si="11"/>
        <v>100</v>
      </c>
      <c r="X30" s="1812"/>
      <c r="Y30" s="3284"/>
      <c r="Z30" s="1813">
        <f t="shared" si="12"/>
        <v>111</v>
      </c>
      <c r="AA30" s="1810">
        <f t="shared" si="3"/>
        <v>1</v>
      </c>
      <c r="AB30" s="1810">
        <f t="shared" si="4"/>
        <v>1</v>
      </c>
      <c r="AC30" s="2670">
        <f t="shared" si="5"/>
        <v>1</v>
      </c>
    </row>
    <row r="31" spans="1:29" ht="15">
      <c r="A31" s="427"/>
      <c r="B31" s="2674">
        <v>111</v>
      </c>
      <c r="C31" s="2612"/>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96"/>
      <c r="Q31" s="1809">
        <f t="shared" si="8"/>
        <v>111</v>
      </c>
      <c r="R31" s="772" t="s">
        <v>17</v>
      </c>
      <c r="S31" s="773">
        <f t="shared" si="9"/>
        <v>100</v>
      </c>
      <c r="T31" s="772" t="s">
        <v>17</v>
      </c>
      <c r="U31" s="773">
        <f t="shared" si="10"/>
        <v>100</v>
      </c>
      <c r="V31" s="772" t="s">
        <v>17</v>
      </c>
      <c r="W31" s="773">
        <f t="shared" si="11"/>
        <v>100</v>
      </c>
      <c r="X31" s="1812"/>
      <c r="Y31" s="3284"/>
      <c r="Z31" s="1813">
        <f t="shared" si="12"/>
        <v>111</v>
      </c>
      <c r="AA31" s="1810">
        <f t="shared" si="3"/>
        <v>1</v>
      </c>
      <c r="AB31" s="1810">
        <f t="shared" si="4"/>
        <v>1</v>
      </c>
      <c r="AC31" s="2670">
        <f t="shared" si="5"/>
        <v>1</v>
      </c>
    </row>
    <row r="32" spans="1:29" ht="15.75" thickBot="1">
      <c r="A32" s="435"/>
      <c r="B32" s="634">
        <v>111</v>
      </c>
      <c r="C32" s="2613"/>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96"/>
      <c r="Q32" s="1809">
        <f t="shared" si="8"/>
        <v>111</v>
      </c>
      <c r="R32" s="772" t="s">
        <v>17</v>
      </c>
      <c r="S32" s="773">
        <f t="shared" si="9"/>
        <v>100</v>
      </c>
      <c r="T32" s="772" t="s">
        <v>17</v>
      </c>
      <c r="U32" s="773">
        <f t="shared" si="10"/>
        <v>100</v>
      </c>
      <c r="V32" s="772" t="s">
        <v>17</v>
      </c>
      <c r="W32" s="773">
        <f t="shared" si="11"/>
        <v>100</v>
      </c>
      <c r="X32" s="1812"/>
      <c r="Y32" s="3284"/>
      <c r="Z32" s="1813">
        <f t="shared" si="12"/>
        <v>111</v>
      </c>
      <c r="AA32" s="1810">
        <f t="shared" si="3"/>
        <v>1</v>
      </c>
      <c r="AB32" s="1810">
        <f t="shared" si="4"/>
        <v>1</v>
      </c>
      <c r="AC32" s="2670">
        <f t="shared" si="5"/>
        <v>1</v>
      </c>
    </row>
    <row r="33" spans="1:29" ht="15">
      <c r="A33" s="439" t="s">
        <v>2555</v>
      </c>
      <c r="B33" s="71" t="s">
        <v>2685</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97" t="s">
        <v>2557</v>
      </c>
      <c r="Q33" s="1809" t="str">
        <f t="shared" si="8"/>
        <v>建筑类型</v>
      </c>
      <c r="R33" s="772" t="s">
        <v>17</v>
      </c>
      <c r="S33" s="773">
        <f t="shared" si="9"/>
        <v>100</v>
      </c>
      <c r="T33" s="772" t="s">
        <v>17</v>
      </c>
      <c r="U33" s="773">
        <f t="shared" si="10"/>
        <v>100</v>
      </c>
      <c r="V33" s="772" t="s">
        <v>17</v>
      </c>
      <c r="W33" s="773">
        <f t="shared" si="11"/>
        <v>100</v>
      </c>
      <c r="X33" s="1812"/>
      <c r="Y33" s="3286" t="s">
        <v>2557</v>
      </c>
      <c r="Z33" s="1813" t="str">
        <f t="shared" si="12"/>
        <v>建筑类型</v>
      </c>
      <c r="AA33" s="1810">
        <f t="shared" si="3"/>
        <v>1</v>
      </c>
      <c r="AB33" s="1810">
        <f t="shared" si="4"/>
        <v>1</v>
      </c>
      <c r="AC33" s="2670">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98"/>
      <c r="Q34" s="774" t="str">
        <f t="shared" si="8"/>
        <v>项目建筑规模</v>
      </c>
      <c r="R34" s="775" t="s">
        <v>17</v>
      </c>
      <c r="S34" s="776" t="e">
        <f t="shared" si="9"/>
        <v>#N/A</v>
      </c>
      <c r="T34" s="775" t="s">
        <v>17</v>
      </c>
      <c r="U34" s="776" t="e">
        <f t="shared" si="10"/>
        <v>#N/A</v>
      </c>
      <c r="V34" s="775" t="s">
        <v>17</v>
      </c>
      <c r="W34" s="776" t="e">
        <f t="shared" si="11"/>
        <v>#N/A</v>
      </c>
      <c r="X34" s="777"/>
      <c r="Y34" s="3286"/>
      <c r="Z34" s="778" t="str">
        <f t="shared" si="12"/>
        <v>项目建筑规模</v>
      </c>
      <c r="AA34" s="1810" t="e">
        <f t="shared" si="3"/>
        <v>#N/A</v>
      </c>
      <c r="AB34" s="1810" t="e">
        <f t="shared" si="4"/>
        <v>#N/A</v>
      </c>
      <c r="AC34" s="2670"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98"/>
      <c r="Q35" s="1809" t="str">
        <f t="shared" si="8"/>
        <v>建筑结构</v>
      </c>
      <c r="R35" s="772" t="s">
        <v>17</v>
      </c>
      <c r="S35" s="773">
        <f t="shared" si="9"/>
        <v>100</v>
      </c>
      <c r="T35" s="772" t="s">
        <v>17</v>
      </c>
      <c r="U35" s="773">
        <f t="shared" si="10"/>
        <v>100</v>
      </c>
      <c r="V35" s="772" t="s">
        <v>17</v>
      </c>
      <c r="W35" s="773">
        <f t="shared" si="11"/>
        <v>100</v>
      </c>
      <c r="X35" s="1812"/>
      <c r="Y35" s="3286"/>
      <c r="Z35" s="1813" t="str">
        <f t="shared" si="12"/>
        <v>建筑结构</v>
      </c>
      <c r="AA35" s="1810">
        <f t="shared" si="3"/>
        <v>1</v>
      </c>
      <c r="AB35" s="1810">
        <f t="shared" si="4"/>
        <v>1</v>
      </c>
      <c r="AC35" s="2670">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98"/>
      <c r="Q36" s="1809" t="str">
        <f t="shared" si="8"/>
        <v>公共部分装修</v>
      </c>
      <c r="R36" s="772" t="s">
        <v>17</v>
      </c>
      <c r="S36" s="773">
        <f t="shared" si="9"/>
        <v>100</v>
      </c>
      <c r="T36" s="772" t="s">
        <v>17</v>
      </c>
      <c r="U36" s="773">
        <f t="shared" si="10"/>
        <v>100</v>
      </c>
      <c r="V36" s="772" t="s">
        <v>17</v>
      </c>
      <c r="W36" s="773">
        <f t="shared" si="11"/>
        <v>100</v>
      </c>
      <c r="X36" s="1812"/>
      <c r="Y36" s="3286"/>
      <c r="Z36" s="1813" t="str">
        <f t="shared" si="12"/>
        <v>公共部分装修</v>
      </c>
      <c r="AA36" s="1810">
        <f t="shared" si="3"/>
        <v>1</v>
      </c>
      <c r="AB36" s="1810">
        <f t="shared" si="4"/>
        <v>1</v>
      </c>
      <c r="AC36" s="2670">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98"/>
      <c r="Q37" s="1809" t="str">
        <f t="shared" si="8"/>
        <v>成新度</v>
      </c>
      <c r="R37" s="772" t="s">
        <v>17</v>
      </c>
      <c r="S37" s="773" t="e">
        <f t="shared" si="9"/>
        <v>#N/A</v>
      </c>
      <c r="T37" s="772" t="s">
        <v>17</v>
      </c>
      <c r="U37" s="773" t="e">
        <f t="shared" si="10"/>
        <v>#N/A</v>
      </c>
      <c r="V37" s="772" t="s">
        <v>17</v>
      </c>
      <c r="W37" s="773" t="e">
        <f t="shared" si="11"/>
        <v>#N/A</v>
      </c>
      <c r="X37" s="1812"/>
      <c r="Y37" s="3286"/>
      <c r="Z37" s="1813" t="str">
        <f t="shared" si="12"/>
        <v>成新度</v>
      </c>
      <c r="AA37" s="1810" t="e">
        <f t="shared" si="3"/>
        <v>#N/A</v>
      </c>
      <c r="AB37" s="1810" t="e">
        <f t="shared" si="4"/>
        <v>#N/A</v>
      </c>
      <c r="AC37" s="2670" t="e">
        <f t="shared" si="5"/>
        <v>#N/A</v>
      </c>
    </row>
    <row r="38" spans="1:29" s="117"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98"/>
      <c r="Q38" s="1794" t="str">
        <f t="shared" si="8"/>
        <v>写字楼等级</v>
      </c>
      <c r="R38" s="768" t="s">
        <v>17</v>
      </c>
      <c r="S38" s="769">
        <f t="shared" si="9"/>
        <v>100</v>
      </c>
      <c r="T38" s="768" t="s">
        <v>17</v>
      </c>
      <c r="U38" s="769">
        <f t="shared" si="10"/>
        <v>100</v>
      </c>
      <c r="V38" s="768" t="s">
        <v>17</v>
      </c>
      <c r="W38" s="769">
        <f t="shared" si="11"/>
        <v>100</v>
      </c>
      <c r="X38" s="770"/>
      <c r="Y38" s="3286"/>
      <c r="Z38" s="55" t="str">
        <f t="shared" si="12"/>
        <v>写字楼等级</v>
      </c>
      <c r="AA38" s="771">
        <f t="shared" si="3"/>
        <v>1</v>
      </c>
      <c r="AB38" s="771">
        <f t="shared" si="4"/>
        <v>1</v>
      </c>
      <c r="AC38" s="2667">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98" t="s">
        <v>2557</v>
      </c>
      <c r="Q39" s="1809" t="str">
        <f t="shared" si="8"/>
        <v>物业管理</v>
      </c>
      <c r="R39" s="772" t="s">
        <v>17</v>
      </c>
      <c r="S39" s="773">
        <f t="shared" si="9"/>
        <v>100</v>
      </c>
      <c r="T39" s="772" t="s">
        <v>17</v>
      </c>
      <c r="U39" s="773">
        <f t="shared" si="10"/>
        <v>100</v>
      </c>
      <c r="V39" s="772" t="s">
        <v>17</v>
      </c>
      <c r="W39" s="773">
        <f t="shared" si="11"/>
        <v>100</v>
      </c>
      <c r="X39" s="1812"/>
      <c r="Y39" s="3286" t="s">
        <v>2557</v>
      </c>
      <c r="Z39" s="1813" t="str">
        <f t="shared" si="12"/>
        <v>物业管理</v>
      </c>
      <c r="AA39" s="1810">
        <f t="shared" si="3"/>
        <v>1</v>
      </c>
      <c r="AB39" s="1810">
        <f t="shared" si="4"/>
        <v>1</v>
      </c>
      <c r="AC39" s="2670">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98"/>
      <c r="Q40" s="1809" t="str">
        <f t="shared" si="8"/>
        <v>市政基础设施</v>
      </c>
      <c r="R40" s="772" t="s">
        <v>17</v>
      </c>
      <c r="S40" s="773">
        <f t="shared" si="9"/>
        <v>100</v>
      </c>
      <c r="T40" s="772" t="s">
        <v>17</v>
      </c>
      <c r="U40" s="773">
        <f t="shared" si="10"/>
        <v>100</v>
      </c>
      <c r="V40" s="772" t="s">
        <v>17</v>
      </c>
      <c r="W40" s="773">
        <f t="shared" si="11"/>
        <v>100</v>
      </c>
      <c r="X40" s="1812"/>
      <c r="Y40" s="3286"/>
      <c r="Z40" s="1813" t="str">
        <f t="shared" si="12"/>
        <v>市政基础设施</v>
      </c>
      <c r="AA40" s="1810">
        <f t="shared" si="3"/>
        <v>1</v>
      </c>
      <c r="AB40" s="1810">
        <f t="shared" si="4"/>
        <v>1</v>
      </c>
      <c r="AC40" s="2670">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98"/>
      <c r="Q41" s="1809" t="str">
        <f t="shared" si="8"/>
        <v>层高</v>
      </c>
      <c r="R41" s="772" t="s">
        <v>17</v>
      </c>
      <c r="S41" s="773">
        <f t="shared" si="9"/>
        <v>100</v>
      </c>
      <c r="T41" s="772" t="s">
        <v>17</v>
      </c>
      <c r="U41" s="773">
        <f t="shared" si="10"/>
        <v>100</v>
      </c>
      <c r="V41" s="772" t="s">
        <v>17</v>
      </c>
      <c r="W41" s="773">
        <f t="shared" si="11"/>
        <v>100</v>
      </c>
      <c r="X41" s="1812"/>
      <c r="Y41" s="3286"/>
      <c r="Z41" s="1813" t="str">
        <f t="shared" si="12"/>
        <v>层高</v>
      </c>
      <c r="AA41" s="1810">
        <f t="shared" si="3"/>
        <v>1</v>
      </c>
      <c r="AB41" s="1810">
        <f t="shared" si="4"/>
        <v>1</v>
      </c>
      <c r="AC41" s="2670">
        <f t="shared" si="5"/>
        <v>1</v>
      </c>
    </row>
    <row r="42" spans="1:29" s="470" customFormat="1" ht="15">
      <c r="A42" s="467"/>
      <c r="B42" s="1811"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98"/>
      <c r="Q42" s="774" t="str">
        <f t="shared" si="8"/>
        <v>单套建筑面积</v>
      </c>
      <c r="R42" s="775" t="s">
        <v>17</v>
      </c>
      <c r="S42" s="776">
        <f t="shared" si="9"/>
        <v>100</v>
      </c>
      <c r="T42" s="775" t="s">
        <v>17</v>
      </c>
      <c r="U42" s="776">
        <f t="shared" si="10"/>
        <v>100</v>
      </c>
      <c r="V42" s="775" t="s">
        <v>17</v>
      </c>
      <c r="W42" s="776">
        <f t="shared" si="11"/>
        <v>100</v>
      </c>
      <c r="X42" s="777"/>
      <c r="Y42" s="3286"/>
      <c r="Z42" s="778" t="str">
        <f t="shared" si="12"/>
        <v>单套建筑面积</v>
      </c>
      <c r="AA42" s="1810">
        <f t="shared" si="3"/>
        <v>1</v>
      </c>
      <c r="AB42" s="1810">
        <f t="shared" si="4"/>
        <v>1</v>
      </c>
      <c r="AC42" s="2670">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98"/>
      <c r="Q43" s="1809" t="str">
        <f t="shared" si="8"/>
        <v>内部装修</v>
      </c>
      <c r="R43" s="772" t="s">
        <v>17</v>
      </c>
      <c r="S43" s="773">
        <f t="shared" si="9"/>
        <v>100</v>
      </c>
      <c r="T43" s="772" t="s">
        <v>17</v>
      </c>
      <c r="U43" s="773">
        <f t="shared" si="10"/>
        <v>100</v>
      </c>
      <c r="V43" s="772" t="s">
        <v>17</v>
      </c>
      <c r="W43" s="773">
        <f t="shared" si="11"/>
        <v>100</v>
      </c>
      <c r="X43" s="1812"/>
      <c r="Y43" s="3286"/>
      <c r="Z43" s="1813" t="str">
        <f t="shared" si="12"/>
        <v>内部装修</v>
      </c>
      <c r="AA43" s="1810">
        <f t="shared" si="3"/>
        <v>1</v>
      </c>
      <c r="AB43" s="1810">
        <f t="shared" si="4"/>
        <v>1</v>
      </c>
      <c r="AC43" s="2670">
        <f t="shared" si="5"/>
        <v>1</v>
      </c>
    </row>
    <row r="44" spans="1:29" ht="15">
      <c r="A44" s="471"/>
      <c r="B44" s="421" t="s">
        <v>2568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9"/>
      <c r="M44" s="1130"/>
      <c r="N44" s="1130"/>
      <c r="O44" s="1130"/>
      <c r="P44" s="3298"/>
      <c r="Q44" s="1809" t="str">
        <f t="shared" si="8"/>
        <v>内部装修维护情况</v>
      </c>
      <c r="R44" s="772" t="s">
        <v>17</v>
      </c>
      <c r="S44" s="773">
        <f t="shared" si="9"/>
        <v>100</v>
      </c>
      <c r="T44" s="772" t="s">
        <v>17</v>
      </c>
      <c r="U44" s="773">
        <f t="shared" si="10"/>
        <v>100</v>
      </c>
      <c r="V44" s="772" t="s">
        <v>17</v>
      </c>
      <c r="W44" s="773">
        <f t="shared" si="11"/>
        <v>100</v>
      </c>
      <c r="X44" s="1812"/>
      <c r="Y44" s="3286"/>
      <c r="Z44" s="1813" t="str">
        <f t="shared" si="12"/>
        <v>内部装修维护情况</v>
      </c>
      <c r="AA44" s="1810">
        <f t="shared" si="3"/>
        <v>1</v>
      </c>
      <c r="AB44" s="1810">
        <f t="shared" si="4"/>
        <v>1</v>
      </c>
      <c r="AC44" s="2670">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98"/>
      <c r="Q45" s="1794">
        <f t="shared" si="8"/>
        <v>111</v>
      </c>
      <c r="R45" s="768" t="s">
        <v>17</v>
      </c>
      <c r="S45" s="769">
        <f t="shared" si="9"/>
        <v>100</v>
      </c>
      <c r="T45" s="768" t="s">
        <v>17</v>
      </c>
      <c r="U45" s="769">
        <f t="shared" si="10"/>
        <v>100</v>
      </c>
      <c r="V45" s="768" t="s">
        <v>17</v>
      </c>
      <c r="W45" s="769">
        <f t="shared" si="11"/>
        <v>100</v>
      </c>
      <c r="X45" s="770"/>
      <c r="Y45" s="3286"/>
      <c r="Z45" s="55">
        <f t="shared" si="12"/>
        <v>111</v>
      </c>
      <c r="AA45" s="771">
        <f t="shared" si="3"/>
        <v>1</v>
      </c>
      <c r="AB45" s="771">
        <f t="shared" si="4"/>
        <v>1</v>
      </c>
      <c r="AC45" s="2667">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98"/>
      <c r="Q46" s="1809">
        <f t="shared" si="8"/>
        <v>111</v>
      </c>
      <c r="R46" s="772" t="s">
        <v>17</v>
      </c>
      <c r="S46" s="773">
        <f t="shared" si="9"/>
        <v>100</v>
      </c>
      <c r="T46" s="772" t="s">
        <v>17</v>
      </c>
      <c r="U46" s="773">
        <f t="shared" si="10"/>
        <v>100</v>
      </c>
      <c r="V46" s="772" t="s">
        <v>17</v>
      </c>
      <c r="W46" s="773">
        <f t="shared" si="11"/>
        <v>100</v>
      </c>
      <c r="X46" s="1812"/>
      <c r="Y46" s="3286"/>
      <c r="Z46" s="1813">
        <f t="shared" si="12"/>
        <v>111</v>
      </c>
      <c r="AA46" s="1810">
        <f t="shared" si="3"/>
        <v>1</v>
      </c>
      <c r="AB46" s="1810">
        <f t="shared" si="4"/>
        <v>1</v>
      </c>
      <c r="AC46" s="2670">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99"/>
      <c r="Q47" s="1809">
        <f t="shared" si="8"/>
        <v>111</v>
      </c>
      <c r="R47" s="772" t="s">
        <v>17</v>
      </c>
      <c r="S47" s="773">
        <f t="shared" si="9"/>
        <v>100</v>
      </c>
      <c r="T47" s="772" t="s">
        <v>17</v>
      </c>
      <c r="U47" s="773">
        <f t="shared" si="10"/>
        <v>100</v>
      </c>
      <c r="V47" s="772" t="s">
        <v>17</v>
      </c>
      <c r="W47" s="773">
        <f t="shared" si="11"/>
        <v>100</v>
      </c>
      <c r="X47" s="1812"/>
      <c r="Y47" s="3300"/>
      <c r="Z47" s="1813">
        <f t="shared" si="12"/>
        <v>111</v>
      </c>
      <c r="AA47" s="1810">
        <f t="shared" si="3"/>
        <v>1</v>
      </c>
      <c r="AB47" s="1810">
        <f t="shared" si="4"/>
        <v>1</v>
      </c>
      <c r="AC47" s="2670">
        <f t="shared" si="5"/>
        <v>1</v>
      </c>
    </row>
    <row r="48" spans="1:29" ht="15">
      <c r="A48" s="478" t="s">
        <v>2569</v>
      </c>
      <c r="B48" s="479"/>
      <c r="C48" s="1406" t="s">
        <v>1</v>
      </c>
      <c r="D48" s="1407"/>
      <c r="E48" s="1408"/>
      <c r="F48" s="1409"/>
      <c r="G48" s="1410"/>
      <c r="H48" s="1411"/>
      <c r="I48" s="1408"/>
      <c r="J48" s="484"/>
      <c r="K48" s="781"/>
      <c r="L48" s="1142"/>
      <c r="M48" s="1130"/>
      <c r="N48" s="1130"/>
      <c r="O48" s="1130"/>
      <c r="P48" s="3292" t="str">
        <f>A48</f>
        <v>成交单价（元/平方米）</v>
      </c>
      <c r="Q48" s="3268"/>
      <c r="R48" s="3301">
        <f>E48</f>
        <v>0</v>
      </c>
      <c r="S48" s="3301"/>
      <c r="T48" s="3301">
        <f>G48</f>
        <v>0</v>
      </c>
      <c r="U48" s="3301"/>
      <c r="V48" s="3301">
        <f>I48</f>
        <v>0</v>
      </c>
      <c r="W48" s="3301"/>
      <c r="X48" s="445"/>
      <c r="Y48" s="779"/>
      <c r="Z48" s="445"/>
      <c r="AA48" s="445"/>
      <c r="AB48" s="445"/>
      <c r="AC48" s="629"/>
    </row>
    <row r="49" spans="1:29" ht="15.75" thickBot="1">
      <c r="A49" s="485" t="s">
        <v>2661</v>
      </c>
      <c r="B49" s="486"/>
      <c r="C49" s="1412" t="e">
        <f>R50</f>
        <v>#DIV/0!</v>
      </c>
      <c r="D49" s="1413"/>
      <c r="E49" s="1414" t="e">
        <f>R49</f>
        <v>#DIV/0!</v>
      </c>
      <c r="F49" s="1414"/>
      <c r="G49" s="1412" t="e">
        <f>T49</f>
        <v>#DIV/0!</v>
      </c>
      <c r="H49" s="1413"/>
      <c r="I49" s="1414" t="e">
        <f>V49</f>
        <v>#DIV/0!</v>
      </c>
      <c r="J49" s="488"/>
      <c r="K49" s="782"/>
      <c r="L49" s="1142"/>
      <c r="M49" s="1130"/>
      <c r="N49" s="1130"/>
      <c r="O49" s="1130"/>
      <c r="P49" s="3292" t="str">
        <f>A49</f>
        <v>比较价值（元/平方米）</v>
      </c>
      <c r="Q49" s="3268"/>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5"/>
      <c r="Y49" s="445"/>
      <c r="Z49" s="445"/>
      <c r="AA49" s="445"/>
      <c r="AB49" s="445"/>
      <c r="AC49" s="629"/>
    </row>
    <row r="50" spans="1:29" ht="15.75" thickBot="1">
      <c r="A50" s="491" t="s">
        <v>2662</v>
      </c>
      <c r="B50" s="492"/>
      <c r="C50" s="1416" t="e">
        <f>R50</f>
        <v>#DIV/0!</v>
      </c>
      <c r="D50" s="1416"/>
      <c r="E50" s="1416"/>
      <c r="F50" s="1416"/>
      <c r="G50" s="1416"/>
      <c r="H50" s="1416"/>
      <c r="I50" s="1416"/>
      <c r="J50" s="493"/>
      <c r="K50" s="783"/>
      <c r="L50" s="1142"/>
      <c r="M50" s="1130"/>
      <c r="N50" s="1130"/>
      <c r="O50" s="1130"/>
      <c r="P50" s="3343" t="str">
        <f>A50</f>
        <v>估价对象XX用房的比较价值（楼面单价，元/平方米）</v>
      </c>
      <c r="Q50" s="3344"/>
      <c r="R50" s="3345" t="e">
        <f>IF(F1="售价",ROUND(AVERAGE(R49:V49),0),ROUND(AVERAGE(R49:V49),1))</f>
        <v>#DIV/0!</v>
      </c>
      <c r="S50" s="3345"/>
      <c r="T50" s="3345"/>
      <c r="U50" s="3345"/>
      <c r="V50" s="3345"/>
      <c r="W50" s="334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1" t="s">
        <v>2666</v>
      </c>
      <c r="B58" s="757"/>
      <c r="C58" s="762"/>
      <c r="D58" s="762"/>
      <c r="E58" s="762"/>
      <c r="F58" s="763"/>
      <c r="G58" s="763"/>
      <c r="H58" s="762"/>
      <c r="I58" s="762"/>
      <c r="J58" s="762"/>
      <c r="K58" s="764"/>
      <c r="L58" s="1160"/>
      <c r="M58" s="1158"/>
      <c r="N58" s="1158"/>
      <c r="O58" s="1158"/>
      <c r="P58" s="2677"/>
      <c r="Q58" s="503"/>
    </row>
    <row r="59" spans="1:29" s="507" customFormat="1" ht="15">
      <c r="A59" s="504" t="s">
        <v>2540</v>
      </c>
      <c r="B59" s="505"/>
      <c r="C59" s="1573" t="str">
        <f>YEAR(C7)&amp;"-"&amp;MONTH(C7)</f>
        <v>2018-8</v>
      </c>
      <c r="D59" s="1574">
        <f>EDATE(C59,-1)</f>
        <v>43282</v>
      </c>
      <c r="E59" s="1574">
        <f>EDATE(D59,-1)</f>
        <v>43252</v>
      </c>
      <c r="F59" s="1574">
        <f t="shared" ref="F59:O59" si="13">EDATE(E59,-1)</f>
        <v>43221</v>
      </c>
      <c r="G59" s="1574">
        <f t="shared" si="13"/>
        <v>43191</v>
      </c>
      <c r="H59" s="1574">
        <f t="shared" si="13"/>
        <v>43160</v>
      </c>
      <c r="I59" s="1574">
        <f t="shared" si="13"/>
        <v>43132</v>
      </c>
      <c r="J59" s="1574">
        <f t="shared" si="13"/>
        <v>43101</v>
      </c>
      <c r="K59" s="1574">
        <f t="shared" si="13"/>
        <v>43070</v>
      </c>
      <c r="L59" s="1574">
        <f t="shared" si="13"/>
        <v>43040</v>
      </c>
      <c r="M59" s="1574">
        <f t="shared" si="13"/>
        <v>43009</v>
      </c>
      <c r="N59" s="1574">
        <f t="shared" si="13"/>
        <v>42979</v>
      </c>
      <c r="O59" s="1574">
        <f t="shared" si="13"/>
        <v>42948</v>
      </c>
      <c r="P59" s="1570"/>
    </row>
    <row r="60" spans="1:29" s="117" customFormat="1" ht="15">
      <c r="A60" s="508"/>
      <c r="B60" s="509"/>
      <c r="C60" s="1572">
        <v>100</v>
      </c>
      <c r="D60" s="511"/>
      <c r="E60" s="511"/>
      <c r="F60" s="511"/>
      <c r="G60" s="511"/>
      <c r="H60" s="511"/>
      <c r="I60" s="511"/>
      <c r="J60" s="511"/>
      <c r="K60" s="511"/>
      <c r="L60" s="511"/>
      <c r="M60" s="512"/>
      <c r="N60" s="511"/>
      <c r="O60" s="512"/>
      <c r="P60" s="2678"/>
    </row>
    <row r="61" spans="1:29" s="117" customFormat="1" ht="15.75" thickBot="1">
      <c r="A61" s="514" t="s">
        <v>2577</v>
      </c>
      <c r="B61" s="515"/>
      <c r="C61" s="516"/>
      <c r="D61" s="517"/>
      <c r="E61" s="517"/>
      <c r="F61" s="517"/>
      <c r="G61" s="517"/>
      <c r="H61" s="517"/>
      <c r="I61" s="517"/>
      <c r="J61" s="517"/>
      <c r="K61" s="517"/>
      <c r="L61" s="517"/>
      <c r="M61" s="518"/>
      <c r="N61" s="517"/>
      <c r="O61" s="518"/>
      <c r="P61" s="2678"/>
      <c r="Q61" s="503"/>
    </row>
    <row r="62" spans="1:29" s="117" customFormat="1" ht="15">
      <c r="A62" s="520" t="s">
        <v>2542</v>
      </c>
      <c r="B62" s="509"/>
      <c r="C62" s="521" t="s">
        <v>2644</v>
      </c>
      <c r="D62" s="522"/>
      <c r="E62" s="522"/>
      <c r="F62" s="522"/>
      <c r="G62" s="522"/>
      <c r="H62" s="522"/>
      <c r="I62" s="522"/>
      <c r="J62" s="522"/>
      <c r="K62" s="522"/>
      <c r="L62" s="523"/>
      <c r="M62" s="524"/>
      <c r="N62" s="1150"/>
      <c r="O62" s="1150"/>
      <c r="P62" s="2679"/>
      <c r="Q62" s="503"/>
    </row>
    <row r="63" spans="1:29" s="117"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2580</v>
      </c>
      <c r="B64" s="527" t="s">
        <v>2546</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2550</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2681</v>
      </c>
      <c r="C83" s="659" t="s">
        <v>2667</v>
      </c>
      <c r="D83" s="659" t="s">
        <v>2668</v>
      </c>
      <c r="E83" s="659" t="s">
        <v>2669</v>
      </c>
      <c r="F83" s="659" t="s">
        <v>2670</v>
      </c>
      <c r="G83" s="659" t="s">
        <v>2671</v>
      </c>
      <c r="H83" s="538"/>
      <c r="I83" s="538"/>
      <c r="J83" s="538"/>
      <c r="K83" s="538"/>
      <c r="L83" s="538"/>
      <c r="M83" s="1381"/>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7" customFormat="1" ht="27.75" thickTop="1">
      <c r="A87" s="578"/>
      <c r="B87" s="537" t="s">
        <v>2691</v>
      </c>
      <c r="C87" s="553"/>
      <c r="D87" s="553"/>
      <c r="E87" s="553"/>
      <c r="F87" s="553"/>
      <c r="G87" s="553"/>
      <c r="H87" s="553"/>
      <c r="I87" s="553"/>
      <c r="J87" s="553"/>
      <c r="K87" s="553"/>
      <c r="L87" s="579"/>
      <c r="M87" s="580"/>
      <c r="N87" s="1150"/>
      <c r="O87" s="1150"/>
      <c r="P87" s="2680"/>
      <c r="Q87" s="503"/>
    </row>
    <row r="88" spans="1:17" s="117"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2"/>
      <c r="O88" s="1152"/>
      <c r="P88" s="2680"/>
      <c r="Q88" s="503"/>
    </row>
    <row r="89" spans="1:17" s="117"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7"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2555</v>
      </c>
      <c r="B101" s="527" t="s">
        <v>2604</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2"/>
      <c r="O102" s="1152"/>
      <c r="P102" s="2680"/>
      <c r="Q102" s="503"/>
    </row>
    <row r="103" spans="1:17" ht="15.75" thickTop="1">
      <c r="A103" s="533"/>
      <c r="B103" s="537" t="s">
        <v>2605</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2606</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2"/>
      <c r="O107" s="1152"/>
      <c r="P107" s="2680"/>
      <c r="Q107" s="503"/>
    </row>
    <row r="108" spans="1:17" ht="15" thickTop="1">
      <c r="A108" s="598"/>
      <c r="B108" s="537" t="s">
        <v>2608</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2"/>
      <c r="O109" s="1152"/>
      <c r="P109" s="268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2"/>
      <c r="O112" s="1152"/>
      <c r="P112" s="2680"/>
      <c r="Q112" s="503"/>
    </row>
    <row r="113" spans="1:17" s="470" customFormat="1" ht="15" thickTop="1">
      <c r="A113" s="592"/>
      <c r="B113" s="537" t="s">
        <v>2692</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3"/>
      <c r="O114" s="1153"/>
      <c r="P114" s="2681"/>
      <c r="Q114" s="558"/>
    </row>
    <row r="115" spans="1:17" ht="15" thickTop="1">
      <c r="A115" s="598"/>
      <c r="B115" s="537" t="s">
        <v>2609</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2"/>
      <c r="O116" s="1152"/>
      <c r="P116" s="2680"/>
      <c r="Q116" s="503"/>
    </row>
    <row r="117" spans="1:17" ht="15" thickTop="1">
      <c r="A117" s="598"/>
      <c r="B117" s="537" t="s">
        <v>2610</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2693</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2"/>
      <c r="O120" s="1152"/>
      <c r="P120" s="2680"/>
      <c r="Q120" s="503"/>
    </row>
    <row r="121" spans="1:17" s="470" customFormat="1" ht="15" thickTop="1">
      <c r="A121" s="592"/>
      <c r="B121" s="537" t="s">
        <v>2676</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2612</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2"/>
      <c r="O124" s="1152"/>
      <c r="P124" s="268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960"/>
      <c r="B4" s="3061" t="s">
        <v>1630</v>
      </c>
      <c r="C4" s="3061"/>
      <c r="D4" s="3061"/>
      <c r="E4" s="1960"/>
    </row>
    <row r="5" spans="1:5" ht="16.5" thickTop="1">
      <c r="A5" s="1958"/>
      <c r="B5" s="3059" t="s">
        <v>1622</v>
      </c>
      <c r="C5" s="1961" t="s">
        <v>1623</v>
      </c>
      <c r="D5" s="1039">
        <f ca="1">结果表!H101</f>
        <v>140574</v>
      </c>
      <c r="E5" s="1958"/>
    </row>
    <row r="6" spans="1:5" ht="15.75">
      <c r="A6" s="1958"/>
      <c r="B6" s="3059"/>
      <c r="C6" s="1961" t="s">
        <v>1624</v>
      </c>
      <c r="D6" s="1039" t="str">
        <f ca="1">NUMBERSTRING(INT(D5*10000),2)&amp;"元整"</f>
        <v>壹拾肆亿零伍佰柒拾肆万元整</v>
      </c>
      <c r="E6" s="1958"/>
    </row>
    <row r="7" spans="1:5" ht="15.75">
      <c r="A7" s="1958"/>
      <c r="B7" s="3064"/>
      <c r="C7" s="1962" t="s">
        <v>1625</v>
      </c>
      <c r="D7" s="1040">
        <f ca="1">结果表!H102</f>
        <v>19031</v>
      </c>
      <c r="E7" s="1958"/>
    </row>
    <row r="8" spans="1:5" ht="15.75">
      <c r="A8" s="1958"/>
      <c r="B8" s="3065" t="str">
        <f>结果表!E103</f>
        <v>2.估价师知悉的法定优先受偿款</v>
      </c>
      <c r="C8" s="1963" t="s">
        <v>1626</v>
      </c>
      <c r="D8" s="1040">
        <f>结果表!H103</f>
        <v>0</v>
      </c>
      <c r="E8" s="1958"/>
    </row>
    <row r="9" spans="1:5" ht="15.75">
      <c r="A9" s="1958"/>
      <c r="B9" s="3067"/>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058" t="str">
        <f>结果表!E107</f>
        <v>3.房地产抵押价值</v>
      </c>
      <c r="C13" s="1966" t="s">
        <v>1623</v>
      </c>
      <c r="D13" s="1042">
        <f ca="1">结果表!H107</f>
        <v>140574</v>
      </c>
      <c r="E13" s="1958"/>
    </row>
    <row r="14" spans="1:5" ht="15.75">
      <c r="A14" s="1958"/>
      <c r="B14" s="3059"/>
      <c r="C14" s="1961" t="s">
        <v>1624</v>
      </c>
      <c r="D14" s="1039" t="str">
        <f ca="1">NUMBERSTRING(INT(D13*10000),2)&amp;"元整"</f>
        <v>壹拾肆亿零伍佰柒拾肆万元整</v>
      </c>
      <c r="E14" s="1958"/>
    </row>
    <row r="15" spans="1:5" ht="15">
      <c r="A15" s="1958"/>
      <c r="B15" s="3064"/>
      <c r="C15" s="1962" t="s">
        <v>1634</v>
      </c>
      <c r="D15" s="1051">
        <f ca="1">结果表!H108</f>
        <v>19031</v>
      </c>
      <c r="E15" s="1958"/>
    </row>
    <row r="16" spans="1:5" ht="15">
      <c r="A16" s="1958"/>
      <c r="B16" s="3065" t="str">
        <f>结果表!E109</f>
        <v>——</v>
      </c>
      <c r="C16" s="1966" t="s">
        <v>1635</v>
      </c>
      <c r="D16" s="1967" t="str">
        <f>结果表!H109</f>
        <v>——</v>
      </c>
      <c r="E16" s="1958"/>
    </row>
    <row r="17" spans="1:5" ht="15.75">
      <c r="A17" s="1958"/>
      <c r="B17" s="3066"/>
      <c r="C17" s="1961" t="s">
        <v>1636</v>
      </c>
      <c r="D17" s="1039" t="e">
        <f>NUMBERSTRING(INT(D16*10000),2)&amp;"元整"</f>
        <v>#VALUE!</v>
      </c>
      <c r="E17" s="1958"/>
    </row>
    <row r="18" spans="1:5" ht="15">
      <c r="A18" s="1958"/>
      <c r="B18" s="3067"/>
      <c r="C18" s="1962" t="s">
        <v>1625</v>
      </c>
      <c r="D18" s="1051" t="str">
        <f>结果表!H110</f>
        <v>——</v>
      </c>
      <c r="E18" s="1958"/>
    </row>
    <row r="19" spans="1:5" ht="15.75">
      <c r="A19" s="1958"/>
      <c r="B19" s="3058" t="str">
        <f>结果表!E111</f>
        <v>——</v>
      </c>
      <c r="C19" s="1966" t="s">
        <v>1623</v>
      </c>
      <c r="D19" s="1040" t="str">
        <f>结果表!H111</f>
        <v>——</v>
      </c>
      <c r="E19" s="1958"/>
    </row>
    <row r="20" spans="1:5" ht="15.75">
      <c r="A20" s="1958"/>
      <c r="B20" s="3059"/>
      <c r="C20" s="1961" t="s">
        <v>1636</v>
      </c>
      <c r="D20" s="1039" t="e">
        <f>NUMBERSTRING(INT(D19*10000),2)&amp;"元整"</f>
        <v>#VALUE!</v>
      </c>
      <c r="E20" s="1958"/>
    </row>
    <row r="21" spans="1:5" ht="15.75" thickBot="1">
      <c r="A21" s="1958"/>
      <c r="B21" s="3060"/>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665"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IF(C2="——",ROUND(C43*D3/10000,0),ROUND(C43*D3/10000,0)-D2)</f>
        <v>#DIV/0!</v>
      </c>
      <c r="C2" s="2583"/>
      <c r="D2" s="1123" t="e">
        <f ca="1">SUMIF(INDIRECT("'"&amp;F2&amp;"'"&amp;"!A:A"),"承租人权益价值",INDIRECT("'"&amp;F2&amp;"'"&amp;"!c:c"))</f>
        <v>#REF!</v>
      </c>
      <c r="E2" s="2584" t="s">
        <v>2323</v>
      </c>
      <c r="F2" s="2585"/>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2636</v>
      </c>
      <c r="D3" s="398">
        <f>IF(D1="",'数据-汇总表'!E3,SUMIF('数据-汇总表'!$C19:$C33,D1,'数据-汇总表'!$E19:$E33))</f>
        <v>73865.87</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50" t="s">
        <v>2640</v>
      </c>
      <c r="AC4" s="3249" t="s">
        <v>2641</v>
      </c>
    </row>
    <row r="5" spans="1:29" ht="15">
      <c r="A5" s="403"/>
      <c r="B5" s="404"/>
      <c r="C5" s="3260" t="s">
        <v>2534</v>
      </c>
      <c r="D5" s="3261"/>
      <c r="E5" s="3330" t="s">
        <v>2535</v>
      </c>
      <c r="F5" s="3259"/>
      <c r="G5" s="3260" t="s">
        <v>2536</v>
      </c>
      <c r="H5" s="3261"/>
      <c r="I5" s="3260" t="s">
        <v>2537</v>
      </c>
      <c r="J5" s="3261"/>
      <c r="K5" s="609"/>
      <c r="L5" s="1129"/>
      <c r="M5" s="1130"/>
      <c r="N5" s="1130"/>
      <c r="O5" s="1130"/>
      <c r="P5" s="3275"/>
      <c r="Q5" s="3276"/>
      <c r="R5" s="3256"/>
      <c r="S5" s="3257"/>
      <c r="T5" s="3256"/>
      <c r="U5" s="3257"/>
      <c r="V5" s="3281"/>
      <c r="W5" s="3281"/>
      <c r="X5" s="1812"/>
      <c r="Y5" s="3256"/>
      <c r="Z5" s="3257"/>
      <c r="AA5" s="3250"/>
      <c r="AB5" s="3250"/>
      <c r="AC5" s="3250"/>
    </row>
    <row r="6" spans="1:29" ht="15.75" thickBot="1">
      <c r="A6" s="405"/>
      <c r="B6" s="406"/>
      <c r="C6" s="3262" t="s">
        <v>2538</v>
      </c>
      <c r="D6" s="3263"/>
      <c r="E6" s="3294" t="s">
        <v>2538</v>
      </c>
      <c r="F6" s="3266"/>
      <c r="G6" s="3262" t="s">
        <v>2538</v>
      </c>
      <c r="H6" s="3263"/>
      <c r="I6" s="3262" t="s">
        <v>2538</v>
      </c>
      <c r="J6" s="3263"/>
      <c r="K6" s="609" t="s">
        <v>2539</v>
      </c>
      <c r="L6" s="1129"/>
      <c r="M6" s="1130"/>
      <c r="N6" s="1130"/>
      <c r="O6" s="1130"/>
      <c r="P6" s="3277"/>
      <c r="Q6" s="3278"/>
      <c r="R6" s="3256"/>
      <c r="S6" s="3257"/>
      <c r="T6" s="3279"/>
      <c r="U6" s="3280"/>
      <c r="V6" s="3281"/>
      <c r="W6" s="3281"/>
      <c r="X6" s="1812"/>
      <c r="Y6" s="3279"/>
      <c r="Z6" s="3280"/>
      <c r="AA6" s="3251"/>
      <c r="AB6" s="3251"/>
      <c r="AC6" s="3251"/>
    </row>
    <row r="7" spans="1:29" s="117" customFormat="1" ht="15.75" thickBot="1">
      <c r="A7" s="407" t="s">
        <v>2540</v>
      </c>
      <c r="B7" s="408"/>
      <c r="C7" s="409">
        <f>'数据-取费表'!B2</f>
        <v>43321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52" t="s">
        <v>2541</v>
      </c>
      <c r="Q7" s="3282"/>
      <c r="R7" s="768" t="s">
        <v>17</v>
      </c>
      <c r="S7" s="769">
        <f t="shared" ref="S7:S15" si="0">F7</f>
        <v>0</v>
      </c>
      <c r="T7" s="768" t="s">
        <v>17</v>
      </c>
      <c r="U7" s="769">
        <f t="shared" ref="U7:U15" si="1">H7</f>
        <v>0</v>
      </c>
      <c r="V7" s="768" t="s">
        <v>17</v>
      </c>
      <c r="W7" s="769">
        <f t="shared" ref="W7:W15" si="2">J7</f>
        <v>0</v>
      </c>
      <c r="X7" s="770"/>
      <c r="Y7" s="3252" t="s">
        <v>2541</v>
      </c>
      <c r="Z7" s="3253"/>
      <c r="AA7" s="771" t="e">
        <f>D7/F7</f>
        <v>#DIV/0!</v>
      </c>
      <c r="AB7" s="771" t="e">
        <f>D7/H7</f>
        <v>#DIV/0!</v>
      </c>
      <c r="AC7" s="771"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52" t="s">
        <v>2544</v>
      </c>
      <c r="Q8" s="3253"/>
      <c r="R8" s="768" t="s">
        <v>17</v>
      </c>
      <c r="S8" s="769">
        <f t="shared" si="0"/>
        <v>0</v>
      </c>
      <c r="T8" s="768" t="s">
        <v>17</v>
      </c>
      <c r="U8" s="769">
        <f t="shared" si="1"/>
        <v>0</v>
      </c>
      <c r="V8" s="768" t="s">
        <v>17</v>
      </c>
      <c r="W8" s="769">
        <f t="shared" si="2"/>
        <v>0</v>
      </c>
      <c r="X8" s="770"/>
      <c r="Y8" s="3252" t="s">
        <v>2544</v>
      </c>
      <c r="Z8" s="3253"/>
      <c r="AA8" s="771" t="e">
        <f t="shared" ref="AA8:AA40" si="3">D8/F8</f>
        <v>#DIV/0!</v>
      </c>
      <c r="AB8" s="771" t="e">
        <f t="shared" ref="AB8:AB40" si="4">D8/H8</f>
        <v>#DIV/0!</v>
      </c>
      <c r="AC8" s="771" t="e">
        <f t="shared" ref="AC8:AC40" si="5">D8/J8</f>
        <v>#DIV/0!</v>
      </c>
    </row>
    <row r="9" spans="1:29" s="117"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68" t="s">
        <v>2547</v>
      </c>
      <c r="Q9" s="1794" t="str">
        <f t="shared" ref="Q9:Q15" si="6">B9</f>
        <v>用途</v>
      </c>
      <c r="R9" s="768" t="s">
        <v>17</v>
      </c>
      <c r="S9" s="769">
        <f t="shared" si="0"/>
        <v>100</v>
      </c>
      <c r="T9" s="768" t="s">
        <v>17</v>
      </c>
      <c r="U9" s="769">
        <f t="shared" si="1"/>
        <v>100</v>
      </c>
      <c r="V9" s="768" t="s">
        <v>17</v>
      </c>
      <c r="W9" s="769">
        <f t="shared" si="2"/>
        <v>100</v>
      </c>
      <c r="X9" s="770"/>
      <c r="Y9" s="3123"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68"/>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68"/>
      <c r="Q11" s="1794"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68"/>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7"/>
      <c r="B13" s="2597">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68"/>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5"/>
      <c r="B14" s="2599">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68"/>
      <c r="Q14" s="1794">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15">
      <c r="A15" s="439" t="s">
        <v>2551</v>
      </c>
      <c r="B15" s="69" t="s">
        <v>2695</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83" t="s">
        <v>2552</v>
      </c>
      <c r="Q15" s="1809" t="str">
        <f t="shared" si="6"/>
        <v>产业集聚程度</v>
      </c>
      <c r="R15" s="772" t="s">
        <v>17</v>
      </c>
      <c r="S15" s="773">
        <f t="shared" si="0"/>
        <v>100</v>
      </c>
      <c r="T15" s="772" t="s">
        <v>17</v>
      </c>
      <c r="U15" s="773">
        <f t="shared" si="1"/>
        <v>100</v>
      </c>
      <c r="V15" s="772" t="s">
        <v>17</v>
      </c>
      <c r="W15" s="773">
        <f t="shared" si="2"/>
        <v>100</v>
      </c>
      <c r="X15" s="1812"/>
      <c r="Y15" s="3283" t="s">
        <v>2552</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84"/>
      <c r="Q16" s="1809"/>
      <c r="R16" s="772"/>
      <c r="S16" s="773"/>
      <c r="T16" s="772"/>
      <c r="U16" s="773"/>
      <c r="V16" s="772"/>
      <c r="W16" s="773"/>
      <c r="X16" s="1812"/>
      <c r="Y16" s="3284"/>
      <c r="Z16" s="1813"/>
      <c r="AA16" s="1810">
        <v>1</v>
      </c>
      <c r="AB16" s="1810">
        <v>1</v>
      </c>
      <c r="AC16" s="1810">
        <v>1</v>
      </c>
    </row>
    <row r="17" spans="1:29" ht="15">
      <c r="A17" s="427"/>
      <c r="B17" s="450" t="s">
        <v>2093</v>
      </c>
      <c r="C17" s="2604">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84"/>
      <c r="Q17" s="1809" t="str">
        <f>B17</f>
        <v>交通便捷度</v>
      </c>
      <c r="R17" s="772" t="s">
        <v>17</v>
      </c>
      <c r="S17" s="773">
        <f>F17</f>
        <v>100</v>
      </c>
      <c r="T17" s="772" t="s">
        <v>17</v>
      </c>
      <c r="U17" s="773">
        <f>H17</f>
        <v>100</v>
      </c>
      <c r="V17" s="772" t="s">
        <v>17</v>
      </c>
      <c r="W17" s="773">
        <f>J17</f>
        <v>100</v>
      </c>
      <c r="X17" s="1812"/>
      <c r="Y17" s="3284"/>
      <c r="Z17" s="1813" t="str">
        <f>Q17</f>
        <v>交通便捷度</v>
      </c>
      <c r="AA17" s="1810">
        <f t="shared" si="3"/>
        <v>1</v>
      </c>
      <c r="AB17" s="1810">
        <f t="shared" si="4"/>
        <v>1</v>
      </c>
      <c r="AC17" s="1810">
        <f t="shared" si="5"/>
        <v>1</v>
      </c>
    </row>
    <row r="18" spans="1:29" ht="15">
      <c r="A18" s="427"/>
      <c r="B18" s="455"/>
      <c r="C18" s="2605"/>
      <c r="D18" s="449"/>
      <c r="E18" s="2607"/>
      <c r="F18" s="452"/>
      <c r="G18" s="2606"/>
      <c r="H18" s="447"/>
      <c r="I18" s="2607"/>
      <c r="J18" s="447"/>
      <c r="K18" s="614"/>
      <c r="L18" s="1139"/>
      <c r="M18" s="1130"/>
      <c r="N18" s="1130"/>
      <c r="O18" s="1138"/>
      <c r="P18" s="3284"/>
      <c r="Q18" s="1809"/>
      <c r="R18" s="772"/>
      <c r="S18" s="773"/>
      <c r="T18" s="772"/>
      <c r="U18" s="773"/>
      <c r="V18" s="772"/>
      <c r="W18" s="773"/>
      <c r="X18" s="1812"/>
      <c r="Y18" s="3284"/>
      <c r="Z18" s="1813"/>
      <c r="AA18" s="1810">
        <v>1</v>
      </c>
      <c r="AB18" s="1810">
        <v>1</v>
      </c>
      <c r="AC18" s="1810">
        <v>1</v>
      </c>
    </row>
    <row r="19" spans="1:29" ht="15">
      <c r="A19" s="427"/>
      <c r="B19" s="450" t="s">
        <v>2680</v>
      </c>
      <c r="C19" s="2604">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84"/>
      <c r="Q19" s="1809" t="str">
        <f>B19</f>
        <v>公共配套设施</v>
      </c>
      <c r="R19" s="772" t="s">
        <v>17</v>
      </c>
      <c r="S19" s="773">
        <f>F19</f>
        <v>100</v>
      </c>
      <c r="T19" s="772" t="s">
        <v>17</v>
      </c>
      <c r="U19" s="773">
        <f>H19</f>
        <v>100</v>
      </c>
      <c r="V19" s="772" t="s">
        <v>17</v>
      </c>
      <c r="W19" s="773">
        <f>J19</f>
        <v>100</v>
      </c>
      <c r="X19" s="1812"/>
      <c r="Y19" s="3284"/>
      <c r="Z19" s="1813" t="str">
        <f>Q19</f>
        <v>公共配套设施</v>
      </c>
      <c r="AA19" s="1810">
        <f t="shared" si="3"/>
        <v>1</v>
      </c>
      <c r="AB19" s="1810">
        <f t="shared" si="4"/>
        <v>1</v>
      </c>
      <c r="AC19" s="1810">
        <f t="shared" si="5"/>
        <v>1</v>
      </c>
    </row>
    <row r="20" spans="1:29" ht="15">
      <c r="A20" s="427"/>
      <c r="B20" s="455"/>
      <c r="C20" s="446"/>
      <c r="D20" s="447"/>
      <c r="E20" s="2602"/>
      <c r="F20" s="448"/>
      <c r="G20" s="2601"/>
      <c r="H20" s="447"/>
      <c r="I20" s="2602"/>
      <c r="J20" s="447"/>
      <c r="K20" s="614"/>
      <c r="L20" s="1139"/>
      <c r="M20" s="1130"/>
      <c r="N20" s="1130"/>
      <c r="O20" s="1138"/>
      <c r="P20" s="3284"/>
      <c r="Q20" s="1809"/>
      <c r="R20" s="772"/>
      <c r="S20" s="773"/>
      <c r="T20" s="772"/>
      <c r="U20" s="773"/>
      <c r="V20" s="772"/>
      <c r="W20" s="773"/>
      <c r="X20" s="1812"/>
      <c r="Y20" s="3284"/>
      <c r="Z20" s="1813"/>
      <c r="AA20" s="1810">
        <v>1</v>
      </c>
      <c r="AB20" s="1810">
        <v>1</v>
      </c>
      <c r="AC20" s="1810">
        <v>1</v>
      </c>
    </row>
    <row r="21" spans="1:29" ht="15">
      <c r="A21" s="427"/>
      <c r="B21" s="1383" t="s">
        <v>2681</v>
      </c>
      <c r="C21" s="2604">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84"/>
      <c r="Q21" s="1809" t="str">
        <f>B21</f>
        <v>基础设施水平</v>
      </c>
      <c r="R21" s="772" t="s">
        <v>17</v>
      </c>
      <c r="S21" s="773">
        <f>F21</f>
        <v>100</v>
      </c>
      <c r="T21" s="772" t="s">
        <v>17</v>
      </c>
      <c r="U21" s="773">
        <f>H21</f>
        <v>100</v>
      </c>
      <c r="V21" s="772" t="s">
        <v>17</v>
      </c>
      <c r="W21" s="773">
        <f>J21</f>
        <v>100</v>
      </c>
      <c r="X21" s="1812"/>
      <c r="Y21" s="3284"/>
      <c r="Z21" s="1813" t="str">
        <f>Q21</f>
        <v>基础设施水平</v>
      </c>
      <c r="AA21" s="1810">
        <f>D21/F21</f>
        <v>1</v>
      </c>
      <c r="AB21" s="1810">
        <f>D21/H21</f>
        <v>1</v>
      </c>
      <c r="AC21" s="1810">
        <f>D21/J21</f>
        <v>1</v>
      </c>
    </row>
    <row r="22" spans="1:29" ht="15">
      <c r="A22" s="427"/>
      <c r="B22" s="1383"/>
      <c r="C22" s="2605"/>
      <c r="D22" s="447"/>
      <c r="E22" s="446"/>
      <c r="F22" s="448"/>
      <c r="G22" s="446"/>
      <c r="H22" s="447"/>
      <c r="I22" s="446"/>
      <c r="J22" s="447"/>
      <c r="K22" s="1382"/>
      <c r="L22" s="1139"/>
      <c r="M22" s="1130"/>
      <c r="N22" s="1130"/>
      <c r="O22" s="1138"/>
      <c r="P22" s="3284"/>
      <c r="Q22" s="1809"/>
      <c r="R22" s="772"/>
      <c r="S22" s="773"/>
      <c r="T22" s="772"/>
      <c r="U22" s="773"/>
      <c r="V22" s="772"/>
      <c r="W22" s="773"/>
      <c r="X22" s="1812"/>
      <c r="Y22" s="3284"/>
      <c r="Z22" s="1813"/>
      <c r="AA22" s="1810">
        <v>1</v>
      </c>
      <c r="AB22" s="1810">
        <v>1</v>
      </c>
      <c r="AC22" s="1810">
        <v>1</v>
      </c>
    </row>
    <row r="23" spans="1:29" ht="15">
      <c r="A23" s="427"/>
      <c r="B23" s="450" t="s">
        <v>2682</v>
      </c>
      <c r="C23" s="2604">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84"/>
      <c r="Q23" s="1809" t="str">
        <f>B23</f>
        <v>环境质量</v>
      </c>
      <c r="R23" s="772" t="s">
        <v>17</v>
      </c>
      <c r="S23" s="773">
        <f>F23</f>
        <v>100</v>
      </c>
      <c r="T23" s="772" t="s">
        <v>17</v>
      </c>
      <c r="U23" s="773">
        <f>H23</f>
        <v>100</v>
      </c>
      <c r="V23" s="772" t="s">
        <v>17</v>
      </c>
      <c r="W23" s="773">
        <f>J23</f>
        <v>100</v>
      </c>
      <c r="X23" s="1812"/>
      <c r="Y23" s="3284"/>
      <c r="Z23" s="1813" t="str">
        <f>Q23</f>
        <v>环境质量</v>
      </c>
      <c r="AA23" s="1810">
        <f t="shared" si="3"/>
        <v>1</v>
      </c>
      <c r="AB23" s="1810">
        <f t="shared" si="4"/>
        <v>1</v>
      </c>
      <c r="AC23" s="1810">
        <f t="shared" si="5"/>
        <v>1</v>
      </c>
    </row>
    <row r="24" spans="1:29" ht="15">
      <c r="A24" s="427"/>
      <c r="B24" s="1383"/>
      <c r="C24" s="446"/>
      <c r="D24" s="447"/>
      <c r="E24" s="2602"/>
      <c r="F24" s="448"/>
      <c r="G24" s="2601"/>
      <c r="H24" s="447"/>
      <c r="I24" s="2602"/>
      <c r="J24" s="447"/>
      <c r="K24" s="614"/>
      <c r="L24" s="1139"/>
      <c r="M24" s="1130"/>
      <c r="N24" s="1130"/>
      <c r="O24" s="1138"/>
      <c r="P24" s="3284"/>
      <c r="Q24" s="1809"/>
      <c r="R24" s="772"/>
      <c r="S24" s="773"/>
      <c r="T24" s="772"/>
      <c r="U24" s="773"/>
      <c r="V24" s="772"/>
      <c r="W24" s="773"/>
      <c r="X24" s="1812"/>
      <c r="Y24" s="3284"/>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84"/>
      <c r="Q25" s="1809">
        <f>B25</f>
        <v>111</v>
      </c>
      <c r="R25" s="772" t="s">
        <v>17</v>
      </c>
      <c r="S25" s="773">
        <f>F25</f>
        <v>100</v>
      </c>
      <c r="T25" s="772" t="s">
        <v>17</v>
      </c>
      <c r="U25" s="773">
        <f>H25</f>
        <v>100</v>
      </c>
      <c r="V25" s="772" t="s">
        <v>17</v>
      </c>
      <c r="W25" s="773">
        <f>J25</f>
        <v>100</v>
      </c>
      <c r="X25" s="1812"/>
      <c r="Y25" s="3284"/>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84"/>
      <c r="Q26" s="1809">
        <f t="shared" ref="Q26:Q40" si="8">B26</f>
        <v>111</v>
      </c>
      <c r="R26" s="772" t="s">
        <v>17</v>
      </c>
      <c r="S26" s="773">
        <f>F26</f>
        <v>100</v>
      </c>
      <c r="T26" s="772" t="s">
        <v>17</v>
      </c>
      <c r="U26" s="773">
        <f>H26</f>
        <v>100</v>
      </c>
      <c r="V26" s="772" t="s">
        <v>17</v>
      </c>
      <c r="W26" s="773">
        <f>J26</f>
        <v>100</v>
      </c>
      <c r="X26" s="1812"/>
      <c r="Y26" s="3284"/>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84"/>
      <c r="Q27" s="1794">
        <f t="shared" si="8"/>
        <v>111</v>
      </c>
      <c r="R27" s="768" t="s">
        <v>17</v>
      </c>
      <c r="S27" s="769">
        <f>F27</f>
        <v>100</v>
      </c>
      <c r="T27" s="768" t="s">
        <v>17</v>
      </c>
      <c r="U27" s="769">
        <f>H27</f>
        <v>100</v>
      </c>
      <c r="V27" s="768" t="s">
        <v>17</v>
      </c>
      <c r="W27" s="769">
        <f>J27</f>
        <v>100</v>
      </c>
      <c r="X27" s="770"/>
      <c r="Y27" s="3284"/>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84"/>
      <c r="Q28" s="1809">
        <f t="shared" si="8"/>
        <v>111</v>
      </c>
      <c r="R28" s="772" t="s">
        <v>17</v>
      </c>
      <c r="S28" s="773">
        <f t="shared" ref="S28:S40" si="9">F28</f>
        <v>100</v>
      </c>
      <c r="T28" s="772" t="s">
        <v>17</v>
      </c>
      <c r="U28" s="773">
        <f t="shared" ref="U28:U40" si="10">H28</f>
        <v>100</v>
      </c>
      <c r="V28" s="772" t="s">
        <v>17</v>
      </c>
      <c r="W28" s="773">
        <f t="shared" ref="W28:W40" si="11">J28</f>
        <v>100</v>
      </c>
      <c r="X28" s="1812"/>
      <c r="Y28" s="3284"/>
      <c r="Z28" s="1813">
        <f t="shared" ref="Z28:Z40" si="12">Q28</f>
        <v>111</v>
      </c>
      <c r="AA28" s="1810">
        <f t="shared" si="3"/>
        <v>1</v>
      </c>
      <c r="AB28" s="1810">
        <f t="shared" si="4"/>
        <v>1</v>
      </c>
      <c r="AC28" s="1810">
        <f t="shared" si="5"/>
        <v>1</v>
      </c>
    </row>
    <row r="29" spans="1:29" ht="15">
      <c r="A29" s="465" t="s">
        <v>2555</v>
      </c>
      <c r="B29" s="71" t="s">
        <v>2685</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85" t="s">
        <v>2557</v>
      </c>
      <c r="Q29" s="1809" t="str">
        <f t="shared" si="8"/>
        <v>建筑类型</v>
      </c>
      <c r="R29" s="772" t="s">
        <v>17</v>
      </c>
      <c r="S29" s="773">
        <f t="shared" si="9"/>
        <v>100</v>
      </c>
      <c r="T29" s="772" t="s">
        <v>17</v>
      </c>
      <c r="U29" s="773">
        <f t="shared" si="10"/>
        <v>100</v>
      </c>
      <c r="V29" s="772" t="s">
        <v>17</v>
      </c>
      <c r="W29" s="773">
        <f t="shared" si="11"/>
        <v>100</v>
      </c>
      <c r="X29" s="1812"/>
      <c r="Y29" s="3286" t="s">
        <v>2557</v>
      </c>
      <c r="Z29" s="1813" t="str">
        <f t="shared" si="12"/>
        <v>建筑类型</v>
      </c>
      <c r="AA29" s="1810">
        <f t="shared" si="3"/>
        <v>1</v>
      </c>
      <c r="AB29" s="1810">
        <f t="shared" si="4"/>
        <v>1</v>
      </c>
      <c r="AC29" s="1810">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6"/>
      <c r="Q30" s="774" t="str">
        <f t="shared" si="8"/>
        <v>项目建筑规模</v>
      </c>
      <c r="R30" s="775" t="s">
        <v>17</v>
      </c>
      <c r="S30" s="776" t="e">
        <f t="shared" si="9"/>
        <v>#N/A</v>
      </c>
      <c r="T30" s="775" t="s">
        <v>17</v>
      </c>
      <c r="U30" s="776" t="e">
        <f t="shared" si="10"/>
        <v>#N/A</v>
      </c>
      <c r="V30" s="775" t="s">
        <v>17</v>
      </c>
      <c r="W30" s="776" t="e">
        <f t="shared" si="11"/>
        <v>#N/A</v>
      </c>
      <c r="X30" s="777"/>
      <c r="Y30" s="3286"/>
      <c r="Z30" s="778" t="str">
        <f t="shared" si="12"/>
        <v>项目建筑规模</v>
      </c>
      <c r="AA30" s="1810" t="e">
        <f t="shared" si="3"/>
        <v>#N/A</v>
      </c>
      <c r="AB30" s="1810" t="e">
        <f t="shared" si="4"/>
        <v>#N/A</v>
      </c>
      <c r="AC30" s="1810"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6"/>
      <c r="Q31" s="1809" t="str">
        <f t="shared" si="8"/>
        <v>建筑结构</v>
      </c>
      <c r="R31" s="772" t="s">
        <v>17</v>
      </c>
      <c r="S31" s="773">
        <f t="shared" si="9"/>
        <v>100</v>
      </c>
      <c r="T31" s="772" t="s">
        <v>17</v>
      </c>
      <c r="U31" s="773">
        <f t="shared" si="10"/>
        <v>100</v>
      </c>
      <c r="V31" s="772" t="s">
        <v>17</v>
      </c>
      <c r="W31" s="773">
        <f t="shared" si="11"/>
        <v>100</v>
      </c>
      <c r="X31" s="1812"/>
      <c r="Y31" s="3286"/>
      <c r="Z31" s="1813" t="str">
        <f t="shared" si="12"/>
        <v>建筑结构</v>
      </c>
      <c r="AA31" s="1810">
        <f t="shared" si="3"/>
        <v>1</v>
      </c>
      <c r="AB31" s="1810">
        <f t="shared" si="4"/>
        <v>1</v>
      </c>
      <c r="AC31" s="1810">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6"/>
      <c r="Q32" s="1809" t="str">
        <f t="shared" si="8"/>
        <v>公共部分装修</v>
      </c>
      <c r="R32" s="772" t="s">
        <v>17</v>
      </c>
      <c r="S32" s="773">
        <f t="shared" si="9"/>
        <v>100</v>
      </c>
      <c r="T32" s="772" t="s">
        <v>17</v>
      </c>
      <c r="U32" s="773">
        <f t="shared" si="10"/>
        <v>100</v>
      </c>
      <c r="V32" s="772" t="s">
        <v>17</v>
      </c>
      <c r="W32" s="773">
        <f t="shared" si="11"/>
        <v>100</v>
      </c>
      <c r="X32" s="1812"/>
      <c r="Y32" s="3286"/>
      <c r="Z32" s="1813" t="str">
        <f t="shared" si="12"/>
        <v>公共部分装修</v>
      </c>
      <c r="AA32" s="1810">
        <f t="shared" si="3"/>
        <v>1</v>
      </c>
      <c r="AB32" s="1810">
        <f t="shared" si="4"/>
        <v>1</v>
      </c>
      <c r="AC32" s="1810">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6"/>
      <c r="Q33" s="1809" t="str">
        <f t="shared" si="8"/>
        <v>成新度</v>
      </c>
      <c r="R33" s="772" t="s">
        <v>17</v>
      </c>
      <c r="S33" s="773" t="e">
        <f t="shared" si="9"/>
        <v>#N/A</v>
      </c>
      <c r="T33" s="772" t="s">
        <v>17</v>
      </c>
      <c r="U33" s="773" t="e">
        <f t="shared" si="10"/>
        <v>#N/A</v>
      </c>
      <c r="V33" s="772" t="s">
        <v>17</v>
      </c>
      <c r="W33" s="773" t="e">
        <f t="shared" si="11"/>
        <v>#N/A</v>
      </c>
      <c r="X33" s="1812"/>
      <c r="Y33" s="3286"/>
      <c r="Z33" s="1813" t="str">
        <f t="shared" si="12"/>
        <v>成新度</v>
      </c>
      <c r="AA33" s="1810" t="e">
        <f t="shared" si="3"/>
        <v>#N/A</v>
      </c>
      <c r="AB33" s="1810" t="e">
        <f t="shared" si="4"/>
        <v>#N/A</v>
      </c>
      <c r="AC33" s="1810" t="e">
        <f t="shared" si="5"/>
        <v>#N/A</v>
      </c>
    </row>
    <row r="34" spans="1:29" s="117"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6"/>
      <c r="Q34" s="1794" t="str">
        <f t="shared" si="8"/>
        <v>物业管理</v>
      </c>
      <c r="R34" s="768" t="s">
        <v>17</v>
      </c>
      <c r="S34" s="769">
        <f t="shared" si="9"/>
        <v>100</v>
      </c>
      <c r="T34" s="768" t="s">
        <v>17</v>
      </c>
      <c r="U34" s="769">
        <f t="shared" si="10"/>
        <v>100</v>
      </c>
      <c r="V34" s="768" t="s">
        <v>17</v>
      </c>
      <c r="W34" s="769">
        <f t="shared" si="11"/>
        <v>100</v>
      </c>
      <c r="X34" s="770"/>
      <c r="Y34" s="3286"/>
      <c r="Z34" s="55" t="str">
        <f t="shared" si="12"/>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6" t="s">
        <v>2557</v>
      </c>
      <c r="Q35" s="1809" t="str">
        <f t="shared" si="8"/>
        <v>市政基础设施</v>
      </c>
      <c r="R35" s="772" t="s">
        <v>17</v>
      </c>
      <c r="S35" s="773">
        <f t="shared" si="9"/>
        <v>100</v>
      </c>
      <c r="T35" s="772" t="s">
        <v>17</v>
      </c>
      <c r="U35" s="773">
        <f t="shared" si="10"/>
        <v>100</v>
      </c>
      <c r="V35" s="772" t="s">
        <v>17</v>
      </c>
      <c r="W35" s="773">
        <f t="shared" si="11"/>
        <v>100</v>
      </c>
      <c r="X35" s="1812"/>
      <c r="Y35" s="3286" t="s">
        <v>2557</v>
      </c>
      <c r="Z35" s="1813" t="str">
        <f t="shared" si="12"/>
        <v>市政基础设施</v>
      </c>
      <c r="AA35" s="1810">
        <f t="shared" si="3"/>
        <v>1</v>
      </c>
      <c r="AB35" s="1810">
        <f t="shared" si="4"/>
        <v>1</v>
      </c>
      <c r="AC35" s="1810">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6"/>
      <c r="Q36" s="1809" t="str">
        <f t="shared" si="8"/>
        <v>内部装修</v>
      </c>
      <c r="R36" s="772" t="s">
        <v>17</v>
      </c>
      <c r="S36" s="773">
        <f t="shared" si="9"/>
        <v>100</v>
      </c>
      <c r="T36" s="772" t="s">
        <v>17</v>
      </c>
      <c r="U36" s="773">
        <f t="shared" si="10"/>
        <v>100</v>
      </c>
      <c r="V36" s="772" t="s">
        <v>17</v>
      </c>
      <c r="W36" s="773">
        <f t="shared" si="11"/>
        <v>100</v>
      </c>
      <c r="X36" s="1812"/>
      <c r="Y36" s="3286"/>
      <c r="Z36" s="1813" t="str">
        <f t="shared" si="12"/>
        <v>内部装修</v>
      </c>
      <c r="AA36" s="1810">
        <f t="shared" si="3"/>
        <v>1</v>
      </c>
      <c r="AB36" s="1810">
        <f t="shared" si="4"/>
        <v>1</v>
      </c>
      <c r="AC36" s="1810">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6"/>
      <c r="Q37" s="1809" t="str">
        <f t="shared" si="8"/>
        <v>内部装修状况</v>
      </c>
      <c r="R37" s="772" t="s">
        <v>17</v>
      </c>
      <c r="S37" s="773">
        <f t="shared" si="9"/>
        <v>100</v>
      </c>
      <c r="T37" s="772" t="s">
        <v>17</v>
      </c>
      <c r="U37" s="773">
        <f t="shared" si="10"/>
        <v>100</v>
      </c>
      <c r="V37" s="772" t="s">
        <v>17</v>
      </c>
      <c r="W37" s="773">
        <f t="shared" si="11"/>
        <v>100</v>
      </c>
      <c r="X37" s="1812"/>
      <c r="Y37" s="3286"/>
      <c r="Z37" s="1813" t="str">
        <f t="shared" si="12"/>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6"/>
      <c r="Q38" s="774">
        <f t="shared" si="8"/>
        <v>111</v>
      </c>
      <c r="R38" s="775" t="s">
        <v>17</v>
      </c>
      <c r="S38" s="776">
        <f t="shared" si="9"/>
        <v>100</v>
      </c>
      <c r="T38" s="775" t="s">
        <v>17</v>
      </c>
      <c r="U38" s="776">
        <f t="shared" si="10"/>
        <v>100</v>
      </c>
      <c r="V38" s="775" t="s">
        <v>17</v>
      </c>
      <c r="W38" s="776">
        <f t="shared" si="11"/>
        <v>100</v>
      </c>
      <c r="X38" s="777"/>
      <c r="Y38" s="3286"/>
      <c r="Z38" s="778">
        <f t="shared" si="12"/>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6"/>
      <c r="Q39" s="1809">
        <f t="shared" si="8"/>
        <v>111</v>
      </c>
      <c r="R39" s="772" t="s">
        <v>17</v>
      </c>
      <c r="S39" s="773">
        <f t="shared" si="9"/>
        <v>100</v>
      </c>
      <c r="T39" s="772" t="s">
        <v>17</v>
      </c>
      <c r="U39" s="773">
        <f t="shared" si="10"/>
        <v>100</v>
      </c>
      <c r="V39" s="772" t="s">
        <v>17</v>
      </c>
      <c r="W39" s="773">
        <f t="shared" si="11"/>
        <v>100</v>
      </c>
      <c r="X39" s="1812"/>
      <c r="Y39" s="3286"/>
      <c r="Z39" s="1813">
        <f t="shared" si="12"/>
        <v>111</v>
      </c>
      <c r="AA39" s="1810">
        <f t="shared" si="3"/>
        <v>1</v>
      </c>
      <c r="AB39" s="1810">
        <f t="shared" si="4"/>
        <v>1</v>
      </c>
      <c r="AC39" s="1810">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00"/>
      <c r="Q40" s="1809">
        <f t="shared" si="8"/>
        <v>111</v>
      </c>
      <c r="R40" s="772" t="s">
        <v>17</v>
      </c>
      <c r="S40" s="773">
        <f t="shared" si="9"/>
        <v>100</v>
      </c>
      <c r="T40" s="772" t="s">
        <v>17</v>
      </c>
      <c r="U40" s="773">
        <f t="shared" si="10"/>
        <v>100</v>
      </c>
      <c r="V40" s="772" t="s">
        <v>17</v>
      </c>
      <c r="W40" s="773">
        <f t="shared" si="11"/>
        <v>100</v>
      </c>
      <c r="X40" s="1812"/>
      <c r="Y40" s="3300"/>
      <c r="Z40" s="1813">
        <f t="shared" si="12"/>
        <v>111</v>
      </c>
      <c r="AA40" s="1810">
        <f t="shared" si="3"/>
        <v>1</v>
      </c>
      <c r="AB40" s="1810">
        <f t="shared" si="4"/>
        <v>1</v>
      </c>
      <c r="AC40" s="1810">
        <f t="shared" si="5"/>
        <v>1</v>
      </c>
    </row>
    <row r="41" spans="1:29" ht="15">
      <c r="A41" s="478" t="s">
        <v>2569</v>
      </c>
      <c r="B41" s="479"/>
      <c r="C41" s="1406" t="s">
        <v>1</v>
      </c>
      <c r="D41" s="1407"/>
      <c r="E41" s="1408"/>
      <c r="F41" s="1409"/>
      <c r="G41" s="1410"/>
      <c r="H41" s="1411"/>
      <c r="I41" s="1408"/>
      <c r="J41" s="1411"/>
      <c r="K41" s="781"/>
      <c r="L41" s="1142"/>
      <c r="M41" s="1143"/>
      <c r="N41" s="1130"/>
      <c r="O41" s="1143"/>
      <c r="P41" s="3268" t="str">
        <f>A41</f>
        <v>成交单价（元/平方米）</v>
      </c>
      <c r="Q41" s="3268"/>
      <c r="R41" s="3301">
        <f>E41</f>
        <v>0</v>
      </c>
      <c r="S41" s="3301"/>
      <c r="T41" s="3301">
        <f>G41</f>
        <v>0</v>
      </c>
      <c r="U41" s="3301"/>
      <c r="V41" s="3301">
        <f>I41</f>
        <v>0</v>
      </c>
      <c r="W41" s="3301"/>
      <c r="X41" s="757"/>
      <c r="Y41" s="779"/>
      <c r="Z41" s="757"/>
      <c r="AA41" s="757"/>
      <c r="AB41" s="757"/>
      <c r="AC41" s="757"/>
    </row>
    <row r="42" spans="1:29" ht="15.75" thickBot="1">
      <c r="A42" s="485" t="s">
        <v>2661</v>
      </c>
      <c r="B42" s="486"/>
      <c r="C42" s="1412" t="e">
        <f>R43</f>
        <v>#DIV/0!</v>
      </c>
      <c r="D42" s="1413"/>
      <c r="E42" s="1414" t="e">
        <f>R42</f>
        <v>#DIV/0!</v>
      </c>
      <c r="F42" s="1414"/>
      <c r="G42" s="1412" t="e">
        <f>T42</f>
        <v>#DIV/0!</v>
      </c>
      <c r="H42" s="1413"/>
      <c r="I42" s="1414" t="e">
        <f>V42</f>
        <v>#DIV/0!</v>
      </c>
      <c r="J42" s="1413"/>
      <c r="K42" s="782"/>
      <c r="L42" s="1142"/>
      <c r="M42" s="1143"/>
      <c r="N42" s="1130"/>
      <c r="O42" s="1143"/>
      <c r="P42" s="3268" t="str">
        <f>A42</f>
        <v>比较价值（元/平方米）</v>
      </c>
      <c r="Q42" s="3268"/>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7"/>
      <c r="Y42" s="757"/>
      <c r="Z42" s="757"/>
      <c r="AA42" s="757"/>
      <c r="AB42" s="757"/>
      <c r="AC42" s="757"/>
    </row>
    <row r="43" spans="1:29" ht="15.75" thickBot="1">
      <c r="A43" s="491" t="s">
        <v>2662</v>
      </c>
      <c r="B43" s="492"/>
      <c r="C43" s="1416" t="e">
        <f>R43</f>
        <v>#DIV/0!</v>
      </c>
      <c r="D43" s="1416"/>
      <c r="E43" s="1416"/>
      <c r="F43" s="1416"/>
      <c r="G43" s="1416"/>
      <c r="H43" s="1416"/>
      <c r="I43" s="1416"/>
      <c r="J43" s="1416"/>
      <c r="K43" s="783"/>
      <c r="L43" s="1142"/>
      <c r="M43" s="1143"/>
      <c r="N43" s="1143"/>
      <c r="O43" s="1143"/>
      <c r="P43" s="3288" t="str">
        <f>A43</f>
        <v>估价对象XX用房的比较价值（楼面单价，元/平方米）</v>
      </c>
      <c r="Q43" s="3289"/>
      <c r="R43" s="3302" t="e">
        <f>IF(F1="售价",ROUND(AVERAGE(R42:V42),0),ROUND(AVERAGE(R42:V42),1))</f>
        <v>#DIV/0!</v>
      </c>
      <c r="S43" s="3302"/>
      <c r="T43" s="3302"/>
      <c r="U43" s="3302"/>
      <c r="V43" s="3302"/>
      <c r="W43" s="3302"/>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1" t="s">
        <v>2666</v>
      </c>
      <c r="B51" s="757"/>
      <c r="C51" s="762"/>
      <c r="D51" s="762"/>
      <c r="E51" s="762"/>
      <c r="F51" s="763"/>
      <c r="G51" s="763"/>
      <c r="H51" s="762"/>
      <c r="I51" s="762"/>
      <c r="J51" s="762"/>
      <c r="K51" s="1159"/>
      <c r="L51" s="1160"/>
      <c r="M51" s="1158"/>
      <c r="N51" s="1158"/>
      <c r="O51" s="1158"/>
      <c r="P51" s="502"/>
      <c r="Q51" s="503"/>
    </row>
    <row r="52" spans="1:17" s="507" customFormat="1" ht="15">
      <c r="A52" s="504" t="s">
        <v>2540</v>
      </c>
      <c r="B52" s="505"/>
      <c r="C52" s="1573" t="str">
        <f>YEAR(C7)&amp;"-"&amp;MONTH(C7)</f>
        <v>2018-8</v>
      </c>
      <c r="D52" s="1574">
        <f>EDATE(C52,-1)</f>
        <v>43282</v>
      </c>
      <c r="E52" s="1574">
        <f t="shared" ref="E52:O52" si="13">EDATE(D52,-1)</f>
        <v>43252</v>
      </c>
      <c r="F52" s="1574">
        <f t="shared" si="13"/>
        <v>43221</v>
      </c>
      <c r="G52" s="1574">
        <f t="shared" si="13"/>
        <v>43191</v>
      </c>
      <c r="H52" s="1574">
        <f t="shared" si="13"/>
        <v>43160</v>
      </c>
      <c r="I52" s="1574">
        <f t="shared" si="13"/>
        <v>43132</v>
      </c>
      <c r="J52" s="1574">
        <f t="shared" si="13"/>
        <v>43101</v>
      </c>
      <c r="K52" s="1574">
        <f t="shared" si="13"/>
        <v>43070</v>
      </c>
      <c r="L52" s="1574">
        <f t="shared" si="13"/>
        <v>43040</v>
      </c>
      <c r="M52" s="1574">
        <f t="shared" si="13"/>
        <v>43009</v>
      </c>
      <c r="N52" s="1574">
        <f t="shared" si="13"/>
        <v>42979</v>
      </c>
      <c r="O52" s="1574">
        <f t="shared" si="13"/>
        <v>42948</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2580</v>
      </c>
      <c r="B57" s="527" t="s">
        <v>2546</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2550</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2"/>
      <c r="B87" s="568"/>
      <c r="C87" s="569"/>
      <c r="D87" s="569"/>
      <c r="E87" s="569"/>
      <c r="F87" s="569"/>
      <c r="G87" s="590"/>
      <c r="H87" s="590"/>
      <c r="I87" s="590"/>
      <c r="J87" s="590"/>
      <c r="K87" s="590"/>
      <c r="L87" s="590"/>
      <c r="M87" s="591"/>
      <c r="N87" s="1152"/>
      <c r="O87" s="1152"/>
      <c r="P87" s="45"/>
      <c r="Q87" s="503"/>
    </row>
    <row r="88" spans="1:17">
      <c r="A88" s="526" t="s">
        <v>2555</v>
      </c>
      <c r="B88" s="527" t="s">
        <v>2604</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2"/>
      <c r="O89" s="1152"/>
      <c r="P89" s="45"/>
      <c r="Q89" s="503"/>
    </row>
    <row r="90" spans="1:17" ht="15.75" thickTop="1">
      <c r="A90" s="533"/>
      <c r="B90" s="537" t="s">
        <v>2605</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2606</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2"/>
      <c r="O94" s="1152"/>
      <c r="P94" s="45"/>
      <c r="Q94" s="503"/>
    </row>
    <row r="95" spans="1:17" ht="15" thickTop="1">
      <c r="A95" s="598"/>
      <c r="B95" s="537" t="s">
        <v>2608</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2"/>
      <c r="O96" s="1152"/>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2"/>
      <c r="O99" s="1152"/>
      <c r="P99" s="45"/>
      <c r="Q99" s="503"/>
    </row>
    <row r="100" spans="1:17" s="470" customFormat="1" ht="15" thickTop="1">
      <c r="A100" s="592"/>
      <c r="B100" s="537" t="s">
        <v>2609</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3"/>
      <c r="O101" s="1153"/>
      <c r="P101" s="557"/>
      <c r="Q101" s="558"/>
    </row>
    <row r="102" spans="1:17" ht="15" thickTop="1">
      <c r="A102" s="598"/>
      <c r="B102" s="537" t="s">
        <v>2610</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2"/>
      <c r="O103" s="1152"/>
      <c r="P103" s="45"/>
      <c r="Q103" s="503"/>
    </row>
    <row r="104" spans="1:17" ht="15" thickTop="1">
      <c r="A104" s="598"/>
      <c r="B104" s="537" t="s">
        <v>2612</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2"/>
      <c r="O106" s="1152"/>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2"/>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2322</v>
      </c>
      <c r="B2" s="1417" t="e">
        <f ca="1">IF(C2="——",IF(B37="元/平方米",ROUND(C39*D3/10000,0),ROUND(F3*C39/10000,0)),IF(B37="元/平方米",ROUND(C39*D3/10000,0),ROUND(F3*C39/10000,0))-D2)</f>
        <v>#DIV/0!</v>
      </c>
      <c r="C2" s="2583"/>
      <c r="D2" s="1123" t="e">
        <f ca="1">SUMIF(INDIRECT("'"&amp;F2&amp;"'"&amp;"!A:A"),"承租人权益价值",INDIRECT("'"&amp;F2&amp;"'"&amp;"!c:c"))</f>
        <v>#REF!</v>
      </c>
      <c r="E2" s="2584" t="s">
        <v>2323</v>
      </c>
      <c r="F2" s="2585"/>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50" t="s">
        <v>2640</v>
      </c>
      <c r="AC4" s="3249" t="s">
        <v>2641</v>
      </c>
    </row>
    <row r="5" spans="1:29" ht="15">
      <c r="A5" s="403"/>
      <c r="B5" s="404"/>
      <c r="C5" s="3260" t="s">
        <v>2534</v>
      </c>
      <c r="D5" s="3261"/>
      <c r="E5" s="3330" t="s">
        <v>2535</v>
      </c>
      <c r="F5" s="3259"/>
      <c r="G5" s="3260" t="s">
        <v>2536</v>
      </c>
      <c r="H5" s="3261"/>
      <c r="I5" s="3260" t="s">
        <v>2537</v>
      </c>
      <c r="J5" s="3261"/>
      <c r="K5" s="609"/>
      <c r="L5" s="1129"/>
      <c r="M5" s="1130"/>
      <c r="N5" s="1130"/>
      <c r="O5" s="1130"/>
      <c r="P5" s="3275"/>
      <c r="Q5" s="3276"/>
      <c r="R5" s="3256"/>
      <c r="S5" s="3257"/>
      <c r="T5" s="3256"/>
      <c r="U5" s="3257"/>
      <c r="V5" s="3281"/>
      <c r="W5" s="3281"/>
      <c r="X5" s="1812"/>
      <c r="Y5" s="3256"/>
      <c r="Z5" s="3257"/>
      <c r="AA5" s="3250"/>
      <c r="AB5" s="3250"/>
      <c r="AC5" s="3250"/>
    </row>
    <row r="6" spans="1:29" ht="15.75" thickBot="1">
      <c r="A6" s="405"/>
      <c r="B6" s="406"/>
      <c r="C6" s="3262" t="s">
        <v>2538</v>
      </c>
      <c r="D6" s="3263"/>
      <c r="E6" s="3294" t="s">
        <v>2538</v>
      </c>
      <c r="F6" s="3266"/>
      <c r="G6" s="3262" t="s">
        <v>2538</v>
      </c>
      <c r="H6" s="3263"/>
      <c r="I6" s="3262" t="s">
        <v>2538</v>
      </c>
      <c r="J6" s="3263"/>
      <c r="K6" s="609" t="s">
        <v>2539</v>
      </c>
      <c r="L6" s="1129"/>
      <c r="M6" s="1130"/>
      <c r="N6" s="1130"/>
      <c r="O6" s="1130"/>
      <c r="P6" s="3277"/>
      <c r="Q6" s="3278"/>
      <c r="R6" s="3256"/>
      <c r="S6" s="3257"/>
      <c r="T6" s="3279"/>
      <c r="U6" s="3280"/>
      <c r="V6" s="3281"/>
      <c r="W6" s="3281"/>
      <c r="X6" s="1812"/>
      <c r="Y6" s="3279"/>
      <c r="Z6" s="3280"/>
      <c r="AA6" s="3251"/>
      <c r="AB6" s="3251"/>
      <c r="AC6" s="3251"/>
    </row>
    <row r="7" spans="1:29" s="117" customFormat="1" ht="15.75" thickBot="1">
      <c r="A7" s="407" t="s">
        <v>2540</v>
      </c>
      <c r="B7" s="408"/>
      <c r="C7" s="409">
        <f>'数据-取费表'!B2</f>
        <v>43321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52" t="s">
        <v>2541</v>
      </c>
      <c r="Q7" s="3282"/>
      <c r="R7" s="768" t="s">
        <v>17</v>
      </c>
      <c r="S7" s="769">
        <f t="shared" ref="S7:S14" si="0">F7</f>
        <v>0</v>
      </c>
      <c r="T7" s="768" t="s">
        <v>17</v>
      </c>
      <c r="U7" s="769">
        <f t="shared" ref="U7:U14" si="1">H7</f>
        <v>0</v>
      </c>
      <c r="V7" s="768" t="s">
        <v>17</v>
      </c>
      <c r="W7" s="769">
        <f t="shared" ref="W7:W14" si="2">J7</f>
        <v>0</v>
      </c>
      <c r="X7" s="770"/>
      <c r="Y7" s="3252" t="s">
        <v>2541</v>
      </c>
      <c r="Z7" s="3253"/>
      <c r="AA7" s="771" t="e">
        <f>D7/F7</f>
        <v>#DIV/0!</v>
      </c>
      <c r="AB7" s="771" t="e">
        <f>D7/H7</f>
        <v>#DIV/0!</v>
      </c>
      <c r="AC7" s="771"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52" t="s">
        <v>2544</v>
      </c>
      <c r="Q8" s="3253"/>
      <c r="R8" s="768" t="s">
        <v>17</v>
      </c>
      <c r="S8" s="769">
        <f t="shared" si="0"/>
        <v>0</v>
      </c>
      <c r="T8" s="768" t="s">
        <v>17</v>
      </c>
      <c r="U8" s="769">
        <f t="shared" si="1"/>
        <v>0</v>
      </c>
      <c r="V8" s="768" t="s">
        <v>17</v>
      </c>
      <c r="W8" s="769">
        <f t="shared" si="2"/>
        <v>0</v>
      </c>
      <c r="X8" s="770"/>
      <c r="Y8" s="3252" t="s">
        <v>2544</v>
      </c>
      <c r="Z8" s="3253"/>
      <c r="AA8" s="771" t="e">
        <f t="shared" ref="AA8:AA36" si="3">D8/F8</f>
        <v>#DIV/0!</v>
      </c>
      <c r="AB8" s="771" t="e">
        <f t="shared" ref="AB8:AB36" si="4">D8/H8</f>
        <v>#DIV/0!</v>
      </c>
      <c r="AC8" s="771" t="e">
        <f t="shared" ref="AC8:AC36" si="5">D8/J8</f>
        <v>#DIV/0!</v>
      </c>
    </row>
    <row r="9" spans="1:29" s="117"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68" t="s">
        <v>2547</v>
      </c>
      <c r="Q9" s="1794" t="str">
        <f t="shared" ref="Q9:Q14" si="6">B9</f>
        <v>用途</v>
      </c>
      <c r="R9" s="768" t="s">
        <v>17</v>
      </c>
      <c r="S9" s="769">
        <f t="shared" si="0"/>
        <v>100</v>
      </c>
      <c r="T9" s="768" t="s">
        <v>17</v>
      </c>
      <c r="U9" s="769">
        <f t="shared" si="1"/>
        <v>100</v>
      </c>
      <c r="V9" s="768" t="s">
        <v>17</v>
      </c>
      <c r="W9" s="769">
        <f t="shared" si="2"/>
        <v>100</v>
      </c>
      <c r="X9" s="770"/>
      <c r="Y9" s="3123" t="s">
        <v>2548</v>
      </c>
      <c r="Z9" s="55" t="str">
        <f t="shared" ref="Z9:Z14" si="7">Q9</f>
        <v>用途</v>
      </c>
      <c r="AA9" s="771">
        <f t="shared" si="3"/>
        <v>1</v>
      </c>
      <c r="AB9" s="771">
        <f t="shared" si="4"/>
        <v>1</v>
      </c>
      <c r="AC9" s="771">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68"/>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68"/>
      <c r="Q11" s="1794">
        <f t="shared" si="6"/>
        <v>111</v>
      </c>
      <c r="R11" s="768" t="s">
        <v>17</v>
      </c>
      <c r="S11" s="769">
        <f t="shared" si="0"/>
        <v>100</v>
      </c>
      <c r="T11" s="768" t="s">
        <v>17</v>
      </c>
      <c r="U11" s="769">
        <f t="shared" si="1"/>
        <v>100</v>
      </c>
      <c r="V11" s="768" t="s">
        <v>17</v>
      </c>
      <c r="W11" s="769">
        <f t="shared" si="2"/>
        <v>100</v>
      </c>
      <c r="X11" s="770"/>
      <c r="Y11" s="3123"/>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68"/>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68"/>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
      <c r="A14" s="400" t="s">
        <v>2551</v>
      </c>
      <c r="B14" s="628" t="s">
        <v>2701</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83" t="s">
        <v>2552</v>
      </c>
      <c r="Q14" s="1809" t="str">
        <f t="shared" si="6"/>
        <v>交通便捷度</v>
      </c>
      <c r="R14" s="772" t="s">
        <v>17</v>
      </c>
      <c r="S14" s="773">
        <f t="shared" si="0"/>
        <v>100</v>
      </c>
      <c r="T14" s="772" t="s">
        <v>17</v>
      </c>
      <c r="U14" s="773">
        <f t="shared" si="1"/>
        <v>100</v>
      </c>
      <c r="V14" s="772" t="s">
        <v>17</v>
      </c>
      <c r="W14" s="773">
        <f t="shared" si="2"/>
        <v>100</v>
      </c>
      <c r="X14" s="1812"/>
      <c r="Y14" s="3283" t="s">
        <v>2552</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84"/>
      <c r="Q15" s="1809"/>
      <c r="R15" s="772"/>
      <c r="S15" s="773"/>
      <c r="T15" s="772"/>
      <c r="U15" s="773"/>
      <c r="V15" s="772"/>
      <c r="W15" s="773"/>
      <c r="X15" s="1812"/>
      <c r="Y15" s="3284"/>
      <c r="Z15" s="1813"/>
      <c r="AA15" s="1810">
        <v>1</v>
      </c>
      <c r="AB15" s="1810">
        <v>1</v>
      </c>
      <c r="AC15" s="1810">
        <v>1</v>
      </c>
    </row>
    <row r="16" spans="1:29" ht="15">
      <c r="A16" s="403"/>
      <c r="B16" s="630" t="s">
        <v>2680</v>
      </c>
      <c r="C16" s="2604">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84"/>
      <c r="Q16" s="1809" t="str">
        <f>B16</f>
        <v>公共配套设施</v>
      </c>
      <c r="R16" s="772" t="s">
        <v>17</v>
      </c>
      <c r="S16" s="773">
        <f>F16</f>
        <v>100</v>
      </c>
      <c r="T16" s="772" t="s">
        <v>17</v>
      </c>
      <c r="U16" s="773">
        <f>H16</f>
        <v>100</v>
      </c>
      <c r="V16" s="772" t="s">
        <v>17</v>
      </c>
      <c r="W16" s="773">
        <f>J16</f>
        <v>100</v>
      </c>
      <c r="X16" s="1812"/>
      <c r="Y16" s="3284"/>
      <c r="Z16" s="1813" t="str">
        <f>Q16</f>
        <v>公共配套设施</v>
      </c>
      <c r="AA16" s="1810">
        <f t="shared" si="3"/>
        <v>1</v>
      </c>
      <c r="AB16" s="1810">
        <f t="shared" si="4"/>
        <v>1</v>
      </c>
      <c r="AC16" s="1810">
        <f t="shared" si="5"/>
        <v>1</v>
      </c>
    </row>
    <row r="17" spans="1:29" ht="15">
      <c r="A17" s="403"/>
      <c r="B17" s="631"/>
      <c r="C17" s="2605"/>
      <c r="D17" s="447"/>
      <c r="E17" s="446"/>
      <c r="F17" s="448"/>
      <c r="G17" s="446"/>
      <c r="H17" s="447"/>
      <c r="I17" s="446"/>
      <c r="J17" s="447"/>
      <c r="K17" s="614"/>
      <c r="L17" s="1139"/>
      <c r="M17" s="1130"/>
      <c r="N17" s="1130"/>
      <c r="O17" s="1130"/>
      <c r="P17" s="3284"/>
      <c r="Q17" s="1809"/>
      <c r="R17" s="772"/>
      <c r="S17" s="773"/>
      <c r="T17" s="772"/>
      <c r="U17" s="773"/>
      <c r="V17" s="772"/>
      <c r="W17" s="773"/>
      <c r="X17" s="1812"/>
      <c r="Y17" s="3284"/>
      <c r="Z17" s="1813"/>
      <c r="AA17" s="1810">
        <v>1</v>
      </c>
      <c r="AB17" s="1810">
        <v>1</v>
      </c>
      <c r="AC17" s="1810">
        <v>1</v>
      </c>
    </row>
    <row r="18" spans="1:29" ht="15">
      <c r="A18" s="403"/>
      <c r="B18" s="632" t="s">
        <v>2681</v>
      </c>
      <c r="C18" s="2604">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84"/>
      <c r="Q18" s="1809" t="str">
        <f>B18</f>
        <v>基础设施水平</v>
      </c>
      <c r="R18" s="772" t="s">
        <v>17</v>
      </c>
      <c r="S18" s="773">
        <f>F18</f>
        <v>100</v>
      </c>
      <c r="T18" s="772" t="s">
        <v>17</v>
      </c>
      <c r="U18" s="773">
        <f>H18</f>
        <v>100</v>
      </c>
      <c r="V18" s="772" t="s">
        <v>17</v>
      </c>
      <c r="W18" s="773">
        <f>J18</f>
        <v>100</v>
      </c>
      <c r="X18" s="1812"/>
      <c r="Y18" s="3284"/>
      <c r="Z18" s="1813" t="str">
        <f>Q18</f>
        <v>基础设施水平</v>
      </c>
      <c r="AA18" s="1810">
        <f>D18/F18</f>
        <v>1</v>
      </c>
      <c r="AB18" s="1810">
        <f>D18/H18</f>
        <v>1</v>
      </c>
      <c r="AC18" s="1810">
        <f>D18/J18</f>
        <v>1</v>
      </c>
    </row>
    <row r="19" spans="1:29" ht="15">
      <c r="A19" s="403"/>
      <c r="B19" s="632"/>
      <c r="C19" s="2605"/>
      <c r="D19" s="449"/>
      <c r="E19" s="2605"/>
      <c r="F19" s="452"/>
      <c r="G19" s="2605"/>
      <c r="H19" s="447"/>
      <c r="I19" s="446"/>
      <c r="J19" s="447"/>
      <c r="K19" s="1382"/>
      <c r="L19" s="1139"/>
      <c r="M19" s="1130"/>
      <c r="N19" s="1130"/>
      <c r="O19" s="1130"/>
      <c r="P19" s="3284"/>
      <c r="Q19" s="1809"/>
      <c r="R19" s="772"/>
      <c r="S19" s="773"/>
      <c r="T19" s="772"/>
      <c r="U19" s="773"/>
      <c r="V19" s="772"/>
      <c r="W19" s="773"/>
      <c r="X19" s="1812"/>
      <c r="Y19" s="3284"/>
      <c r="Z19" s="1813"/>
      <c r="AA19" s="1810">
        <v>1</v>
      </c>
      <c r="AB19" s="1810">
        <v>1</v>
      </c>
      <c r="AC19" s="1810">
        <v>1</v>
      </c>
    </row>
    <row r="20" spans="1:29" ht="15">
      <c r="A20" s="403"/>
      <c r="B20" s="630" t="s">
        <v>2702</v>
      </c>
      <c r="C20" s="2604">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84"/>
      <c r="Q20" s="1809" t="str">
        <f>B20</f>
        <v>自然及人文环境</v>
      </c>
      <c r="R20" s="772" t="s">
        <v>17</v>
      </c>
      <c r="S20" s="773">
        <f>F20</f>
        <v>100</v>
      </c>
      <c r="T20" s="772" t="s">
        <v>17</v>
      </c>
      <c r="U20" s="773">
        <f>H20</f>
        <v>100</v>
      </c>
      <c r="V20" s="772" t="s">
        <v>17</v>
      </c>
      <c r="W20" s="773">
        <f>J20</f>
        <v>100</v>
      </c>
      <c r="X20" s="1812"/>
      <c r="Y20" s="3284"/>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84"/>
      <c r="Q21" s="1809"/>
      <c r="R21" s="772"/>
      <c r="S21" s="773"/>
      <c r="T21" s="772"/>
      <c r="U21" s="773"/>
      <c r="V21" s="772"/>
      <c r="W21" s="773"/>
      <c r="X21" s="1812"/>
      <c r="Y21" s="3284"/>
      <c r="Z21" s="1813"/>
      <c r="AA21" s="1810">
        <v>1</v>
      </c>
      <c r="AB21" s="1810">
        <v>1</v>
      </c>
      <c r="AC21" s="1810">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84"/>
      <c r="Q22" s="1809" t="str">
        <f>B22</f>
        <v>楼层</v>
      </c>
      <c r="R22" s="772" t="s">
        <v>17</v>
      </c>
      <c r="S22" s="773">
        <f>F22</f>
        <v>100</v>
      </c>
      <c r="T22" s="772" t="s">
        <v>17</v>
      </c>
      <c r="U22" s="773">
        <f>H22</f>
        <v>100</v>
      </c>
      <c r="V22" s="772" t="s">
        <v>17</v>
      </c>
      <c r="W22" s="773">
        <f>J22</f>
        <v>100</v>
      </c>
      <c r="X22" s="1812"/>
      <c r="Y22" s="3284"/>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84"/>
      <c r="Q23" s="1809">
        <f>B23</f>
        <v>111</v>
      </c>
      <c r="R23" s="772" t="s">
        <v>17</v>
      </c>
      <c r="S23" s="773">
        <f>F23</f>
        <v>100</v>
      </c>
      <c r="T23" s="772" t="s">
        <v>17</v>
      </c>
      <c r="U23" s="773">
        <f>H23</f>
        <v>100</v>
      </c>
      <c r="V23" s="772" t="s">
        <v>17</v>
      </c>
      <c r="W23" s="773">
        <f>J23</f>
        <v>100</v>
      </c>
      <c r="X23" s="1812"/>
      <c r="Y23" s="3284"/>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84"/>
      <c r="Q24" s="1809">
        <f t="shared" ref="Q24:Q36" si="8">B24</f>
        <v>111</v>
      </c>
      <c r="R24" s="772" t="s">
        <v>17</v>
      </c>
      <c r="S24" s="773">
        <f>F24</f>
        <v>100</v>
      </c>
      <c r="T24" s="772" t="s">
        <v>17</v>
      </c>
      <c r="U24" s="773">
        <f>H24</f>
        <v>100</v>
      </c>
      <c r="V24" s="772" t="s">
        <v>17</v>
      </c>
      <c r="W24" s="773">
        <f>J24</f>
        <v>100</v>
      </c>
      <c r="X24" s="1812"/>
      <c r="Y24" s="3284"/>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84"/>
      <c r="Q25" s="1794">
        <f t="shared" si="8"/>
        <v>111</v>
      </c>
      <c r="R25" s="768" t="s">
        <v>17</v>
      </c>
      <c r="S25" s="769">
        <f>F25</f>
        <v>100</v>
      </c>
      <c r="T25" s="768" t="s">
        <v>17</v>
      </c>
      <c r="U25" s="769">
        <f>H25</f>
        <v>100</v>
      </c>
      <c r="V25" s="768" t="s">
        <v>17</v>
      </c>
      <c r="W25" s="769">
        <f>J25</f>
        <v>100</v>
      </c>
      <c r="X25" s="770"/>
      <c r="Y25" s="3284"/>
      <c r="Z25" s="55">
        <f>Q25</f>
        <v>111</v>
      </c>
      <c r="AA25" s="1810">
        <f>D25/F25</f>
        <v>1</v>
      </c>
      <c r="AB25" s="1810">
        <f>D25/H25</f>
        <v>1</v>
      </c>
      <c r="AC25" s="1810">
        <f>D25/J25</f>
        <v>1</v>
      </c>
    </row>
    <row r="26" spans="1:29" ht="15">
      <c r="A26" s="651" t="s">
        <v>2555</v>
      </c>
      <c r="B26" s="70" t="s">
        <v>2704</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5" t="s">
        <v>2557</v>
      </c>
      <c r="Q26" s="1809" t="str">
        <f t="shared" si="8"/>
        <v>配套类型</v>
      </c>
      <c r="R26" s="772" t="s">
        <v>17</v>
      </c>
      <c r="S26" s="773">
        <f t="shared" ref="S26:S36" si="9">F26</f>
        <v>100</v>
      </c>
      <c r="T26" s="772" t="s">
        <v>17</v>
      </c>
      <c r="U26" s="773">
        <f t="shared" ref="U26:U36" si="10">H26</f>
        <v>100</v>
      </c>
      <c r="V26" s="772" t="s">
        <v>17</v>
      </c>
      <c r="W26" s="773">
        <f t="shared" ref="W26:W36" si="11">J26</f>
        <v>100</v>
      </c>
      <c r="X26" s="1812"/>
      <c r="Y26" s="3286" t="s">
        <v>2557</v>
      </c>
      <c r="Z26" s="1813" t="str">
        <f t="shared" ref="Z26:Z36" si="12">Q26</f>
        <v>配套类型</v>
      </c>
      <c r="AA26" s="1810">
        <f t="shared" si="3"/>
        <v>1</v>
      </c>
      <c r="AB26" s="1810">
        <f t="shared" si="4"/>
        <v>1</v>
      </c>
      <c r="AC26" s="1810">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6"/>
      <c r="Q27" s="774" t="str">
        <f t="shared" si="8"/>
        <v>项目停车位配比</v>
      </c>
      <c r="R27" s="775" t="s">
        <v>17</v>
      </c>
      <c r="S27" s="776">
        <f t="shared" si="9"/>
        <v>100</v>
      </c>
      <c r="T27" s="775" t="s">
        <v>17</v>
      </c>
      <c r="U27" s="776">
        <f t="shared" si="10"/>
        <v>100</v>
      </c>
      <c r="V27" s="775" t="s">
        <v>17</v>
      </c>
      <c r="W27" s="776">
        <f t="shared" si="11"/>
        <v>100</v>
      </c>
      <c r="X27" s="777"/>
      <c r="Y27" s="3286"/>
      <c r="Z27" s="778" t="str">
        <f t="shared" si="12"/>
        <v>项目停车位配比</v>
      </c>
      <c r="AA27" s="1810">
        <f t="shared" si="3"/>
        <v>1</v>
      </c>
      <c r="AB27" s="1810">
        <f t="shared" si="4"/>
        <v>1</v>
      </c>
      <c r="AC27" s="1810">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6"/>
      <c r="Q28" s="1809" t="str">
        <f t="shared" si="8"/>
        <v>公共部分装修</v>
      </c>
      <c r="R28" s="772" t="s">
        <v>17</v>
      </c>
      <c r="S28" s="773">
        <f t="shared" si="9"/>
        <v>100</v>
      </c>
      <c r="T28" s="772" t="s">
        <v>17</v>
      </c>
      <c r="U28" s="773">
        <f t="shared" si="10"/>
        <v>100</v>
      </c>
      <c r="V28" s="772" t="s">
        <v>17</v>
      </c>
      <c r="W28" s="773">
        <f t="shared" si="11"/>
        <v>100</v>
      </c>
      <c r="X28" s="1812"/>
      <c r="Y28" s="3286"/>
      <c r="Z28" s="1813" t="str">
        <f t="shared" si="12"/>
        <v>公共部分装修</v>
      </c>
      <c r="AA28" s="1810">
        <f t="shared" si="3"/>
        <v>1</v>
      </c>
      <c r="AB28" s="1810">
        <f t="shared" si="4"/>
        <v>1</v>
      </c>
      <c r="AC28" s="1810">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6"/>
      <c r="Q29" s="1809" t="str">
        <f t="shared" si="8"/>
        <v>成新率</v>
      </c>
      <c r="R29" s="772" t="s">
        <v>17</v>
      </c>
      <c r="S29" s="773" t="e">
        <f t="shared" si="9"/>
        <v>#N/A</v>
      </c>
      <c r="T29" s="772" t="s">
        <v>17</v>
      </c>
      <c r="U29" s="773" t="e">
        <f t="shared" si="10"/>
        <v>#N/A</v>
      </c>
      <c r="V29" s="772" t="s">
        <v>17</v>
      </c>
      <c r="W29" s="773" t="e">
        <f t="shared" si="11"/>
        <v>#N/A</v>
      </c>
      <c r="X29" s="1812"/>
      <c r="Y29" s="3286"/>
      <c r="Z29" s="1813" t="str">
        <f t="shared" si="12"/>
        <v>成新率</v>
      </c>
      <c r="AA29" s="1810" t="e">
        <f t="shared" si="3"/>
        <v>#N/A</v>
      </c>
      <c r="AB29" s="1810" t="e">
        <f t="shared" si="4"/>
        <v>#N/A</v>
      </c>
      <c r="AC29" s="1810"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6"/>
      <c r="Q30" s="1809" t="str">
        <f t="shared" si="8"/>
        <v>物业等级</v>
      </c>
      <c r="R30" s="772" t="s">
        <v>17</v>
      </c>
      <c r="S30" s="773">
        <f t="shared" si="9"/>
        <v>100</v>
      </c>
      <c r="T30" s="772" t="s">
        <v>17</v>
      </c>
      <c r="U30" s="773">
        <f t="shared" si="10"/>
        <v>100</v>
      </c>
      <c r="V30" s="772" t="s">
        <v>17</v>
      </c>
      <c r="W30" s="773">
        <f t="shared" si="11"/>
        <v>100</v>
      </c>
      <c r="X30" s="1812"/>
      <c r="Y30" s="3286"/>
      <c r="Z30" s="1813" t="str">
        <f t="shared" si="12"/>
        <v>物业等级</v>
      </c>
      <c r="AA30" s="1810">
        <f t="shared" si="3"/>
        <v>1</v>
      </c>
      <c r="AB30" s="1810">
        <f t="shared" si="4"/>
        <v>1</v>
      </c>
      <c r="AC30" s="1810">
        <f t="shared" si="5"/>
        <v>1</v>
      </c>
    </row>
    <row r="31" spans="1:29" s="117"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6"/>
      <c r="Q31" s="1794" t="str">
        <f t="shared" si="8"/>
        <v>停车位面积</v>
      </c>
      <c r="R31" s="768" t="s">
        <v>17</v>
      </c>
      <c r="S31" s="769" t="e">
        <f t="shared" si="9"/>
        <v>#N/A</v>
      </c>
      <c r="T31" s="768" t="s">
        <v>17</v>
      </c>
      <c r="U31" s="769" t="e">
        <f t="shared" si="10"/>
        <v>#N/A</v>
      </c>
      <c r="V31" s="768" t="s">
        <v>17</v>
      </c>
      <c r="W31" s="769" t="e">
        <f t="shared" si="11"/>
        <v>#N/A</v>
      </c>
      <c r="X31" s="770"/>
      <c r="Y31" s="3286"/>
      <c r="Z31" s="55" t="str">
        <f t="shared" si="12"/>
        <v>停车位面积</v>
      </c>
      <c r="AA31" s="771" t="e">
        <f t="shared" si="3"/>
        <v>#N/A</v>
      </c>
      <c r="AB31" s="771" t="e">
        <f t="shared" si="4"/>
        <v>#N/A</v>
      </c>
      <c r="AC31" s="771"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6" t="s">
        <v>2557</v>
      </c>
      <c r="Q32" s="1809" t="str">
        <f t="shared" si="8"/>
        <v>车位类型</v>
      </c>
      <c r="R32" s="772" t="s">
        <v>17</v>
      </c>
      <c r="S32" s="773">
        <f t="shared" si="9"/>
        <v>100</v>
      </c>
      <c r="T32" s="772" t="s">
        <v>17</v>
      </c>
      <c r="U32" s="773">
        <f t="shared" si="10"/>
        <v>100</v>
      </c>
      <c r="V32" s="772" t="s">
        <v>17</v>
      </c>
      <c r="W32" s="773">
        <f t="shared" si="11"/>
        <v>100</v>
      </c>
      <c r="X32" s="1812"/>
      <c r="Y32" s="3286" t="s">
        <v>2557</v>
      </c>
      <c r="Z32" s="1813" t="str">
        <f t="shared" si="12"/>
        <v>车位类型</v>
      </c>
      <c r="AA32" s="1810">
        <f t="shared" si="3"/>
        <v>1</v>
      </c>
      <c r="AB32" s="1810">
        <f t="shared" si="4"/>
        <v>1</v>
      </c>
      <c r="AC32" s="1810">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6"/>
      <c r="Q33" s="1809" t="str">
        <f t="shared" si="8"/>
        <v>是否直接入户</v>
      </c>
      <c r="R33" s="772" t="s">
        <v>17</v>
      </c>
      <c r="S33" s="773">
        <f t="shared" si="9"/>
        <v>100</v>
      </c>
      <c r="T33" s="772" t="s">
        <v>17</v>
      </c>
      <c r="U33" s="773">
        <f t="shared" si="10"/>
        <v>100</v>
      </c>
      <c r="V33" s="772" t="s">
        <v>17</v>
      </c>
      <c r="W33" s="773">
        <f t="shared" si="11"/>
        <v>100</v>
      </c>
      <c r="X33" s="1812"/>
      <c r="Y33" s="3286"/>
      <c r="Z33" s="1813" t="str">
        <f t="shared" si="12"/>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6"/>
      <c r="Q34" s="1809">
        <f t="shared" si="8"/>
        <v>111</v>
      </c>
      <c r="R34" s="772" t="s">
        <v>17</v>
      </c>
      <c r="S34" s="773">
        <f t="shared" si="9"/>
        <v>100</v>
      </c>
      <c r="T34" s="772" t="s">
        <v>17</v>
      </c>
      <c r="U34" s="773">
        <f t="shared" si="10"/>
        <v>100</v>
      </c>
      <c r="V34" s="772" t="s">
        <v>17</v>
      </c>
      <c r="W34" s="773">
        <f t="shared" si="11"/>
        <v>100</v>
      </c>
      <c r="X34" s="1812"/>
      <c r="Y34" s="3286"/>
      <c r="Z34" s="1813">
        <f t="shared" si="12"/>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6"/>
      <c r="Q35" s="774">
        <f t="shared" si="8"/>
        <v>111</v>
      </c>
      <c r="R35" s="775" t="s">
        <v>17</v>
      </c>
      <c r="S35" s="776">
        <f t="shared" si="9"/>
        <v>100</v>
      </c>
      <c r="T35" s="775" t="s">
        <v>17</v>
      </c>
      <c r="U35" s="776">
        <f t="shared" si="10"/>
        <v>100</v>
      </c>
      <c r="V35" s="775" t="s">
        <v>17</v>
      </c>
      <c r="W35" s="776">
        <f t="shared" si="11"/>
        <v>100</v>
      </c>
      <c r="X35" s="777"/>
      <c r="Y35" s="3286"/>
      <c r="Z35" s="778">
        <f t="shared" si="12"/>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6"/>
      <c r="Q36" s="1809">
        <f t="shared" si="8"/>
        <v>111</v>
      </c>
      <c r="R36" s="772" t="s">
        <v>17</v>
      </c>
      <c r="S36" s="773">
        <f t="shared" si="9"/>
        <v>100</v>
      </c>
      <c r="T36" s="772" t="s">
        <v>17</v>
      </c>
      <c r="U36" s="773">
        <f t="shared" si="10"/>
        <v>100</v>
      </c>
      <c r="V36" s="772" t="s">
        <v>17</v>
      </c>
      <c r="W36" s="773">
        <f t="shared" si="11"/>
        <v>100</v>
      </c>
      <c r="X36" s="1812"/>
      <c r="Y36" s="3286"/>
      <c r="Z36" s="1813">
        <f t="shared" si="12"/>
        <v>111</v>
      </c>
      <c r="AA36" s="1810">
        <f t="shared" si="3"/>
        <v>1</v>
      </c>
      <c r="AB36" s="1810">
        <f t="shared" si="4"/>
        <v>1</v>
      </c>
      <c r="AC36" s="1810">
        <f t="shared" si="5"/>
        <v>1</v>
      </c>
    </row>
    <row r="37" spans="1:29" ht="15">
      <c r="A37" s="478" t="s">
        <v>2712</v>
      </c>
      <c r="B37" s="2691" t="s">
        <v>2713</v>
      </c>
      <c r="C37" s="1406" t="s">
        <v>1</v>
      </c>
      <c r="D37" s="1407"/>
      <c r="E37" s="1408"/>
      <c r="F37" s="1409"/>
      <c r="G37" s="1410"/>
      <c r="H37" s="1411"/>
      <c r="I37" s="1408"/>
      <c r="J37" s="1411"/>
      <c r="K37" s="618"/>
      <c r="L37" s="1142"/>
      <c r="M37" s="1143"/>
      <c r="N37" s="1130"/>
      <c r="O37" s="1143"/>
      <c r="P37" s="3268" t="str">
        <f>A37</f>
        <v>成交单价</v>
      </c>
      <c r="Q37" s="3268"/>
      <c r="R37" s="3301">
        <f>E37</f>
        <v>0</v>
      </c>
      <c r="S37" s="3301"/>
      <c r="T37" s="3301">
        <f>G37</f>
        <v>0</v>
      </c>
      <c r="U37" s="3301"/>
      <c r="V37" s="3301">
        <f>I37</f>
        <v>0</v>
      </c>
      <c r="W37" s="3301"/>
      <c r="X37" s="757"/>
      <c r="Y37" s="779"/>
      <c r="Z37" s="757"/>
      <c r="AA37" s="757"/>
      <c r="AB37" s="757"/>
      <c r="AC37" s="757"/>
    </row>
    <row r="38" spans="1:29" ht="15.75" thickBot="1">
      <c r="A38" s="485" t="s">
        <v>2714</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68" t="str">
        <f>A38</f>
        <v>比较价值（元/平方米）</v>
      </c>
      <c r="Q38" s="3268"/>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7"/>
      <c r="Y38" s="757"/>
      <c r="Z38" s="757"/>
      <c r="AA38" s="757"/>
      <c r="AB38" s="757"/>
      <c r="AC38" s="757"/>
    </row>
    <row r="39" spans="1:29" ht="15.75" thickBot="1">
      <c r="A39" s="491" t="s">
        <v>2715</v>
      </c>
      <c r="B39" s="492"/>
      <c r="C39" s="1416" t="e">
        <f>R39</f>
        <v>#DIV/0!</v>
      </c>
      <c r="D39" s="1416"/>
      <c r="E39" s="1416"/>
      <c r="F39" s="1416"/>
      <c r="G39" s="1416"/>
      <c r="H39" s="1416"/>
      <c r="I39" s="1416"/>
      <c r="J39" s="1416"/>
      <c r="K39" s="620"/>
      <c r="L39" s="1142"/>
      <c r="M39" s="1143"/>
      <c r="N39" s="1143"/>
      <c r="O39" s="1143"/>
      <c r="P39" s="3288" t="str">
        <f>A39</f>
        <v>估价对象XX用房的比较价值（楼面单价，元/平方米）</v>
      </c>
      <c r="Q39" s="3289"/>
      <c r="R39" s="3302" t="e">
        <f>IF(F1="售价",ROUND(AVERAGE(R38:V38),0),ROUND(AVERAGE(R38:V38),1))</f>
        <v>#DIV/0!</v>
      </c>
      <c r="S39" s="3302"/>
      <c r="T39" s="3302"/>
      <c r="U39" s="3302"/>
      <c r="V39" s="3302"/>
      <c r="W39" s="3302"/>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2720</v>
      </c>
      <c r="B48" s="505"/>
      <c r="C48" s="1573" t="str">
        <f>YEAR(C7)&amp;"-"&amp;MONTH(C7)</f>
        <v>2018-8</v>
      </c>
      <c r="D48" s="1574">
        <f>EDATE(C48,-1)</f>
        <v>43282</v>
      </c>
      <c r="E48" s="1574">
        <f t="shared" ref="E48:O48" si="13">EDATE(D48,-1)</f>
        <v>43252</v>
      </c>
      <c r="F48" s="1574">
        <f t="shared" si="13"/>
        <v>43221</v>
      </c>
      <c r="G48" s="1574">
        <f t="shared" si="13"/>
        <v>43191</v>
      </c>
      <c r="H48" s="1574">
        <f t="shared" si="13"/>
        <v>43160</v>
      </c>
      <c r="I48" s="1574">
        <f t="shared" si="13"/>
        <v>43132</v>
      </c>
      <c r="J48" s="1574">
        <f t="shared" si="13"/>
        <v>43101</v>
      </c>
      <c r="K48" s="1574">
        <f t="shared" si="13"/>
        <v>43070</v>
      </c>
      <c r="L48" s="1574">
        <f t="shared" si="13"/>
        <v>43040</v>
      </c>
      <c r="M48" s="1574">
        <f t="shared" si="13"/>
        <v>43009</v>
      </c>
      <c r="N48" s="1574">
        <f t="shared" si="13"/>
        <v>42979</v>
      </c>
      <c r="O48" s="1574">
        <f t="shared" si="13"/>
        <v>42948</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2577</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2542</v>
      </c>
      <c r="B51" s="509"/>
      <c r="C51" s="521" t="s">
        <v>2644</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2580</v>
      </c>
      <c r="B53" s="527" t="s">
        <v>2546</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2595</v>
      </c>
      <c r="C65" s="577" t="s">
        <v>2589</v>
      </c>
      <c r="D65" s="577" t="s">
        <v>2590</v>
      </c>
      <c r="E65" s="577" t="s">
        <v>2591</v>
      </c>
      <c r="F65" s="577" t="s">
        <v>2592</v>
      </c>
      <c r="G65" s="577" t="s">
        <v>2593</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2681</v>
      </c>
      <c r="C67" s="659" t="s">
        <v>2667</v>
      </c>
      <c r="D67" s="659" t="s">
        <v>2668</v>
      </c>
      <c r="E67" s="659" t="s">
        <v>2669</v>
      </c>
      <c r="F67" s="659" t="s">
        <v>2670</v>
      </c>
      <c r="G67" s="659" t="s">
        <v>2671</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2601</v>
      </c>
      <c r="C69" s="577" t="s">
        <v>2589</v>
      </c>
      <c r="D69" s="577" t="s">
        <v>2590</v>
      </c>
      <c r="E69" s="577" t="s">
        <v>2591</v>
      </c>
      <c r="F69" s="577" t="s">
        <v>2592</v>
      </c>
      <c r="G69" s="577" t="s">
        <v>2593</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2721</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2555</v>
      </c>
      <c r="B79" s="527" t="s">
        <v>2722</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2723</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2608</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2725</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2726</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2727</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2728</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IF(C2="——",ROUND(C37*D3/10000,0),ROUND(C37*D3/10000,0)-D2)</f>
        <v>#DIV/0!</v>
      </c>
      <c r="C2" s="2583"/>
      <c r="D2" s="1123" t="e">
        <f ca="1">SUMIF(INDIRECT("'"&amp;F2&amp;"'"&amp;"!A:A"),"承租人权益价值",INDIRECT("'"&amp;F2&amp;"'"&amp;"!c:c"))</f>
        <v>#REF!</v>
      </c>
      <c r="E2" s="2584" t="s">
        <v>2323</v>
      </c>
      <c r="F2" s="258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2636</v>
      </c>
      <c r="D3" s="398">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50" t="s">
        <v>2640</v>
      </c>
      <c r="AC4" s="3249" t="s">
        <v>2641</v>
      </c>
    </row>
    <row r="5" spans="1:29" ht="15">
      <c r="A5" s="403"/>
      <c r="B5" s="404"/>
      <c r="C5" s="3260" t="s">
        <v>2534</v>
      </c>
      <c r="D5" s="3261"/>
      <c r="E5" s="3330" t="s">
        <v>2535</v>
      </c>
      <c r="F5" s="3259"/>
      <c r="G5" s="3260" t="s">
        <v>2536</v>
      </c>
      <c r="H5" s="3261"/>
      <c r="I5" s="3260" t="s">
        <v>2537</v>
      </c>
      <c r="J5" s="3261"/>
      <c r="K5" s="609"/>
      <c r="L5" s="1129"/>
      <c r="M5" s="1130"/>
      <c r="N5" s="1130"/>
      <c r="O5" s="1130"/>
      <c r="P5" s="3275"/>
      <c r="Q5" s="3276"/>
      <c r="R5" s="3256"/>
      <c r="S5" s="3257"/>
      <c r="T5" s="3256"/>
      <c r="U5" s="3257"/>
      <c r="V5" s="3281"/>
      <c r="W5" s="3281"/>
      <c r="X5" s="1812"/>
      <c r="Y5" s="3256"/>
      <c r="Z5" s="3257"/>
      <c r="AA5" s="3250"/>
      <c r="AB5" s="3250"/>
      <c r="AC5" s="3250"/>
    </row>
    <row r="6" spans="1:29" ht="15.75" thickBot="1">
      <c r="A6" s="405"/>
      <c r="B6" s="406"/>
      <c r="C6" s="3262" t="s">
        <v>2538</v>
      </c>
      <c r="D6" s="3263"/>
      <c r="E6" s="3294" t="s">
        <v>2538</v>
      </c>
      <c r="F6" s="3266"/>
      <c r="G6" s="3262" t="s">
        <v>2538</v>
      </c>
      <c r="H6" s="3263"/>
      <c r="I6" s="3262" t="s">
        <v>2538</v>
      </c>
      <c r="J6" s="3263"/>
      <c r="K6" s="609" t="s">
        <v>2539</v>
      </c>
      <c r="L6" s="1129"/>
      <c r="M6" s="1130"/>
      <c r="N6" s="1130"/>
      <c r="O6" s="1130"/>
      <c r="P6" s="3277"/>
      <c r="Q6" s="3278"/>
      <c r="R6" s="3256"/>
      <c r="S6" s="3257"/>
      <c r="T6" s="3279"/>
      <c r="U6" s="3280"/>
      <c r="V6" s="3281"/>
      <c r="W6" s="3281"/>
      <c r="X6" s="1812"/>
      <c r="Y6" s="3279"/>
      <c r="Z6" s="3280"/>
      <c r="AA6" s="3251"/>
      <c r="AB6" s="3251"/>
      <c r="AC6" s="3251"/>
    </row>
    <row r="7" spans="1:29" s="117" customFormat="1" ht="15.75" thickBot="1">
      <c r="A7" s="407" t="s">
        <v>2540</v>
      </c>
      <c r="B7" s="408"/>
      <c r="C7" s="409">
        <f>'数据-取费表'!B2</f>
        <v>43321</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52" t="s">
        <v>2541</v>
      </c>
      <c r="Q7" s="3282"/>
      <c r="R7" s="768" t="s">
        <v>17</v>
      </c>
      <c r="S7" s="769">
        <f t="shared" ref="S7:S14" si="0">F7</f>
        <v>0</v>
      </c>
      <c r="T7" s="768" t="s">
        <v>17</v>
      </c>
      <c r="U7" s="769">
        <f t="shared" ref="U7:U14" si="1">H7</f>
        <v>0</v>
      </c>
      <c r="V7" s="768" t="s">
        <v>17</v>
      </c>
      <c r="W7" s="769">
        <f t="shared" ref="W7:W14" si="2">J7</f>
        <v>0</v>
      </c>
      <c r="X7" s="770"/>
      <c r="Y7" s="3252" t="s">
        <v>2541</v>
      </c>
      <c r="Z7" s="3253"/>
      <c r="AA7" s="771" t="e">
        <f>D7/F7</f>
        <v>#DIV/0!</v>
      </c>
      <c r="AB7" s="771" t="e">
        <f>D7/H7</f>
        <v>#DIV/0!</v>
      </c>
      <c r="AC7" s="771"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52" t="s">
        <v>2544</v>
      </c>
      <c r="Q8" s="3253"/>
      <c r="R8" s="768" t="s">
        <v>17</v>
      </c>
      <c r="S8" s="769">
        <f t="shared" si="0"/>
        <v>0</v>
      </c>
      <c r="T8" s="768" t="s">
        <v>17</v>
      </c>
      <c r="U8" s="769">
        <f t="shared" si="1"/>
        <v>0</v>
      </c>
      <c r="V8" s="768" t="s">
        <v>17</v>
      </c>
      <c r="W8" s="769">
        <f t="shared" si="2"/>
        <v>0</v>
      </c>
      <c r="X8" s="770"/>
      <c r="Y8" s="3252" t="s">
        <v>2544</v>
      </c>
      <c r="Z8" s="3253"/>
      <c r="AA8" s="771" t="e">
        <f t="shared" ref="AA8:AA34" si="3">D8/F8</f>
        <v>#DIV/0!</v>
      </c>
      <c r="AB8" s="771" t="e">
        <f t="shared" ref="AB8:AB34" si="4">D8/H8</f>
        <v>#DIV/0!</v>
      </c>
      <c r="AC8" s="771" t="e">
        <f t="shared" ref="AC8:AC34" si="5">D8/J8</f>
        <v>#DIV/0!</v>
      </c>
    </row>
    <row r="9" spans="1:29" s="117"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68" t="s">
        <v>2547</v>
      </c>
      <c r="Q9" s="1794" t="str">
        <f t="shared" ref="Q9:Q14" si="6">B9</f>
        <v>用途</v>
      </c>
      <c r="R9" s="768" t="s">
        <v>17</v>
      </c>
      <c r="S9" s="769">
        <f t="shared" si="0"/>
        <v>100</v>
      </c>
      <c r="T9" s="768" t="s">
        <v>17</v>
      </c>
      <c r="U9" s="769">
        <f t="shared" si="1"/>
        <v>100</v>
      </c>
      <c r="V9" s="768" t="s">
        <v>17</v>
      </c>
      <c r="W9" s="769">
        <f t="shared" si="2"/>
        <v>100</v>
      </c>
      <c r="X9" s="770"/>
      <c r="Y9" s="3123"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68"/>
      <c r="Q10" s="1794"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68"/>
      <c r="Q11" s="1794">
        <f t="shared" si="6"/>
        <v>111</v>
      </c>
      <c r="R11" s="768" t="s">
        <v>17</v>
      </c>
      <c r="S11" s="769">
        <f t="shared" si="0"/>
        <v>100</v>
      </c>
      <c r="T11" s="768" t="s">
        <v>17</v>
      </c>
      <c r="U11" s="769">
        <f t="shared" si="1"/>
        <v>100</v>
      </c>
      <c r="V11" s="768" t="s">
        <v>17</v>
      </c>
      <c r="W11" s="769">
        <f t="shared" si="2"/>
        <v>100</v>
      </c>
      <c r="X11" s="770"/>
      <c r="Y11" s="3123"/>
      <c r="Z11" s="55">
        <f t="shared" si="7"/>
        <v>111</v>
      </c>
      <c r="AA11" s="771">
        <f t="shared" si="3"/>
        <v>1</v>
      </c>
      <c r="AB11" s="771">
        <f t="shared" si="4"/>
        <v>1</v>
      </c>
      <c r="AC11" s="771">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68"/>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75" thickBot="1">
      <c r="A13" s="427"/>
      <c r="B13" s="2597">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68"/>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
      <c r="A14" s="439" t="s">
        <v>2551</v>
      </c>
      <c r="B14" s="69" t="s">
        <v>2701</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83" t="s">
        <v>2552</v>
      </c>
      <c r="Q14" s="1809" t="str">
        <f t="shared" si="6"/>
        <v>交通便捷度</v>
      </c>
      <c r="R14" s="772" t="s">
        <v>17</v>
      </c>
      <c r="S14" s="773">
        <f t="shared" si="0"/>
        <v>100</v>
      </c>
      <c r="T14" s="772" t="s">
        <v>17</v>
      </c>
      <c r="U14" s="773">
        <f t="shared" si="1"/>
        <v>100</v>
      </c>
      <c r="V14" s="772" t="s">
        <v>17</v>
      </c>
      <c r="W14" s="773">
        <f t="shared" si="2"/>
        <v>100</v>
      </c>
      <c r="X14" s="1812"/>
      <c r="Y14" s="3283" t="s">
        <v>2552</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84"/>
      <c r="Q15" s="1809"/>
      <c r="R15" s="772"/>
      <c r="S15" s="773"/>
      <c r="T15" s="772"/>
      <c r="U15" s="773"/>
      <c r="V15" s="772"/>
      <c r="W15" s="773"/>
      <c r="X15" s="1812"/>
      <c r="Y15" s="3284"/>
      <c r="Z15" s="1813"/>
      <c r="AA15" s="1810">
        <v>1</v>
      </c>
      <c r="AB15" s="1810">
        <v>1</v>
      </c>
      <c r="AC15" s="1810">
        <v>1</v>
      </c>
    </row>
    <row r="16" spans="1:29" ht="15">
      <c r="A16" s="427"/>
      <c r="B16" s="450" t="s">
        <v>2680</v>
      </c>
      <c r="C16" s="2604">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84"/>
      <c r="Q16" s="1809" t="str">
        <f>B16</f>
        <v>公共配套设施</v>
      </c>
      <c r="R16" s="772" t="s">
        <v>17</v>
      </c>
      <c r="S16" s="773">
        <f>F16</f>
        <v>100</v>
      </c>
      <c r="T16" s="772" t="s">
        <v>17</v>
      </c>
      <c r="U16" s="773">
        <f>H16</f>
        <v>100</v>
      </c>
      <c r="V16" s="772" t="s">
        <v>17</v>
      </c>
      <c r="W16" s="773">
        <f>J16</f>
        <v>100</v>
      </c>
      <c r="X16" s="1812"/>
      <c r="Y16" s="3284"/>
      <c r="Z16" s="1813" t="str">
        <f>Q16</f>
        <v>公共配套设施</v>
      </c>
      <c r="AA16" s="1810">
        <f t="shared" si="3"/>
        <v>1</v>
      </c>
      <c r="AB16" s="1810">
        <f t="shared" si="4"/>
        <v>1</v>
      </c>
      <c r="AC16" s="1810">
        <f t="shared" si="5"/>
        <v>1</v>
      </c>
    </row>
    <row r="17" spans="1:29" ht="15">
      <c r="A17" s="427"/>
      <c r="B17" s="455"/>
      <c r="C17" s="2605"/>
      <c r="D17" s="447"/>
      <c r="E17" s="446"/>
      <c r="F17" s="448"/>
      <c r="G17" s="446"/>
      <c r="H17" s="447"/>
      <c r="I17" s="446"/>
      <c r="J17" s="447"/>
      <c r="K17" s="614"/>
      <c r="L17" s="1139"/>
      <c r="M17" s="1130"/>
      <c r="N17" s="1130"/>
      <c r="O17" s="1138"/>
      <c r="P17" s="3284"/>
      <c r="Q17" s="1809"/>
      <c r="R17" s="772"/>
      <c r="S17" s="773"/>
      <c r="T17" s="772"/>
      <c r="U17" s="773"/>
      <c r="V17" s="772"/>
      <c r="W17" s="773"/>
      <c r="X17" s="1812"/>
      <c r="Y17" s="3284"/>
      <c r="Z17" s="1813"/>
      <c r="AA17" s="1810">
        <v>1</v>
      </c>
      <c r="AB17" s="1810">
        <v>1</v>
      </c>
      <c r="AC17" s="1810">
        <v>1</v>
      </c>
    </row>
    <row r="18" spans="1:29" ht="15">
      <c r="A18" s="427"/>
      <c r="B18" s="1383" t="s">
        <v>2681</v>
      </c>
      <c r="C18" s="2604">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84"/>
      <c r="Q18" s="1809" t="str">
        <f>B18</f>
        <v>基础设施水平</v>
      </c>
      <c r="R18" s="772" t="s">
        <v>17</v>
      </c>
      <c r="S18" s="773">
        <f>F18</f>
        <v>100</v>
      </c>
      <c r="T18" s="772" t="s">
        <v>17</v>
      </c>
      <c r="U18" s="773">
        <f>H18</f>
        <v>100</v>
      </c>
      <c r="V18" s="772" t="s">
        <v>17</v>
      </c>
      <c r="W18" s="773">
        <f>J18</f>
        <v>100</v>
      </c>
      <c r="X18" s="1812"/>
      <c r="Y18" s="3284"/>
      <c r="Z18" s="1813" t="str">
        <f>Q18</f>
        <v>基础设施水平</v>
      </c>
      <c r="AA18" s="1810">
        <f>D18/F18</f>
        <v>1</v>
      </c>
      <c r="AB18" s="1810">
        <f>D18/H18</f>
        <v>1</v>
      </c>
      <c r="AC18" s="1810">
        <f>D18/J18</f>
        <v>1</v>
      </c>
    </row>
    <row r="19" spans="1:29" ht="15">
      <c r="A19" s="427"/>
      <c r="B19" s="1383"/>
      <c r="C19" s="2605"/>
      <c r="D19" s="449"/>
      <c r="E19" s="2605"/>
      <c r="F19" s="452"/>
      <c r="G19" s="2605"/>
      <c r="H19" s="447"/>
      <c r="I19" s="446"/>
      <c r="J19" s="447"/>
      <c r="K19" s="1382"/>
      <c r="L19" s="1139"/>
      <c r="M19" s="1130"/>
      <c r="N19" s="1130"/>
      <c r="O19" s="1138"/>
      <c r="P19" s="3284"/>
      <c r="Q19" s="1809"/>
      <c r="R19" s="772"/>
      <c r="S19" s="773"/>
      <c r="T19" s="772"/>
      <c r="U19" s="773"/>
      <c r="V19" s="772"/>
      <c r="W19" s="773"/>
      <c r="X19" s="1812"/>
      <c r="Y19" s="3284"/>
      <c r="Z19" s="1813"/>
      <c r="AA19" s="1810">
        <v>1</v>
      </c>
      <c r="AB19" s="1810">
        <v>1</v>
      </c>
      <c r="AC19" s="1810">
        <v>1</v>
      </c>
    </row>
    <row r="20" spans="1:29" ht="15">
      <c r="A20" s="427"/>
      <c r="B20" s="450" t="s">
        <v>2702</v>
      </c>
      <c r="C20" s="2604">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84"/>
      <c r="Q20" s="1809" t="str">
        <f>B20</f>
        <v>自然及人文环境</v>
      </c>
      <c r="R20" s="772" t="s">
        <v>17</v>
      </c>
      <c r="S20" s="773">
        <f>F20</f>
        <v>100</v>
      </c>
      <c r="T20" s="772" t="s">
        <v>17</v>
      </c>
      <c r="U20" s="773">
        <f>H20</f>
        <v>100</v>
      </c>
      <c r="V20" s="772" t="s">
        <v>17</v>
      </c>
      <c r="W20" s="773">
        <f>J20</f>
        <v>100</v>
      </c>
      <c r="X20" s="1812"/>
      <c r="Y20" s="3284"/>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84"/>
      <c r="Q21" s="1809"/>
      <c r="R21" s="772"/>
      <c r="S21" s="773"/>
      <c r="T21" s="772"/>
      <c r="U21" s="773"/>
      <c r="V21" s="772"/>
      <c r="W21" s="773"/>
      <c r="X21" s="1812"/>
      <c r="Y21" s="3284"/>
      <c r="Z21" s="1813"/>
      <c r="AA21" s="1810">
        <v>1</v>
      </c>
      <c r="AB21" s="1810">
        <v>1</v>
      </c>
      <c r="AC21" s="1810">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84"/>
      <c r="Q22" s="1809" t="str">
        <f>B22</f>
        <v>楼层</v>
      </c>
      <c r="R22" s="772" t="s">
        <v>17</v>
      </c>
      <c r="S22" s="773">
        <f>F22</f>
        <v>100</v>
      </c>
      <c r="T22" s="772" t="s">
        <v>17</v>
      </c>
      <c r="U22" s="773">
        <f>H22</f>
        <v>100</v>
      </c>
      <c r="V22" s="772" t="s">
        <v>17</v>
      </c>
      <c r="W22" s="773">
        <f>J22</f>
        <v>100</v>
      </c>
      <c r="X22" s="1812"/>
      <c r="Y22" s="3284"/>
      <c r="Z22" s="1813" t="str">
        <f>Q22</f>
        <v>楼层</v>
      </c>
      <c r="AA22" s="1810">
        <f t="shared" si="3"/>
        <v>1</v>
      </c>
      <c r="AB22" s="1810">
        <f t="shared" si="4"/>
        <v>1</v>
      </c>
      <c r="AC22" s="1810">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84"/>
      <c r="Q23" s="1809">
        <f>B23</f>
        <v>111</v>
      </c>
      <c r="R23" s="772" t="s">
        <v>17</v>
      </c>
      <c r="S23" s="773">
        <f>F23</f>
        <v>100</v>
      </c>
      <c r="T23" s="772" t="s">
        <v>17</v>
      </c>
      <c r="U23" s="773">
        <f>H23</f>
        <v>100</v>
      </c>
      <c r="V23" s="772" t="s">
        <v>17</v>
      </c>
      <c r="W23" s="773">
        <f>J23</f>
        <v>100</v>
      </c>
      <c r="X23" s="1812"/>
      <c r="Y23" s="3284"/>
      <c r="Z23" s="1813">
        <f>Q23</f>
        <v>111</v>
      </c>
      <c r="AA23" s="1810">
        <f t="shared" si="3"/>
        <v>1</v>
      </c>
      <c r="AB23" s="1810">
        <f t="shared" si="4"/>
        <v>1</v>
      </c>
      <c r="AC23" s="1810">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84"/>
      <c r="Q24" s="1809">
        <f t="shared" ref="Q24:Q34" si="8">B24</f>
        <v>111</v>
      </c>
      <c r="R24" s="772" t="s">
        <v>17</v>
      </c>
      <c r="S24" s="773">
        <f>F24</f>
        <v>100</v>
      </c>
      <c r="T24" s="772" t="s">
        <v>17</v>
      </c>
      <c r="U24" s="773">
        <f>H24</f>
        <v>100</v>
      </c>
      <c r="V24" s="772" t="s">
        <v>17</v>
      </c>
      <c r="W24" s="773">
        <f>J24</f>
        <v>100</v>
      </c>
      <c r="X24" s="1812"/>
      <c r="Y24" s="3284"/>
      <c r="Z24" s="1813">
        <f>Q24</f>
        <v>111</v>
      </c>
      <c r="AA24" s="1810">
        <f t="shared" si="3"/>
        <v>1</v>
      </c>
      <c r="AB24" s="1810">
        <f t="shared" si="4"/>
        <v>1</v>
      </c>
      <c r="AC24" s="1810">
        <f t="shared" si="5"/>
        <v>1</v>
      </c>
    </row>
    <row r="25" spans="1:29" s="117" customFormat="1" ht="15.75" thickBot="1">
      <c r="A25" s="430"/>
      <c r="B25" s="2597">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84"/>
      <c r="Q25" s="1794">
        <f t="shared" si="8"/>
        <v>111</v>
      </c>
      <c r="R25" s="768" t="s">
        <v>17</v>
      </c>
      <c r="S25" s="769">
        <f>F25</f>
        <v>100</v>
      </c>
      <c r="T25" s="768" t="s">
        <v>17</v>
      </c>
      <c r="U25" s="769">
        <f>H25</f>
        <v>100</v>
      </c>
      <c r="V25" s="768" t="s">
        <v>17</v>
      </c>
      <c r="W25" s="769">
        <f>J25</f>
        <v>100</v>
      </c>
      <c r="X25" s="770"/>
      <c r="Y25" s="3284"/>
      <c r="Z25" s="55">
        <f>Q25</f>
        <v>111</v>
      </c>
      <c r="AA25" s="1810">
        <f>D25/F25</f>
        <v>1</v>
      </c>
      <c r="AB25" s="1810">
        <f>D25/H25</f>
        <v>1</v>
      </c>
      <c r="AC25" s="1810">
        <f>D25/J25</f>
        <v>1</v>
      </c>
    </row>
    <row r="26" spans="1:29" ht="15">
      <c r="A26" s="465" t="s">
        <v>2555</v>
      </c>
      <c r="B26" s="71" t="s">
        <v>2706</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85" t="s">
        <v>2557</v>
      </c>
      <c r="Q26" s="1809" t="str">
        <f t="shared" si="8"/>
        <v>公共部分装修</v>
      </c>
      <c r="R26" s="772" t="s">
        <v>17</v>
      </c>
      <c r="S26" s="773">
        <f t="shared" ref="S26:S34" si="9">F26</f>
        <v>100</v>
      </c>
      <c r="T26" s="772" t="s">
        <v>17</v>
      </c>
      <c r="U26" s="773">
        <f t="shared" ref="U26:U34" si="10">H26</f>
        <v>100</v>
      </c>
      <c r="V26" s="772" t="s">
        <v>17</v>
      </c>
      <c r="W26" s="773">
        <f t="shared" ref="W26:W34" si="11">J26</f>
        <v>100</v>
      </c>
      <c r="X26" s="1812"/>
      <c r="Y26" s="3286" t="s">
        <v>2557</v>
      </c>
      <c r="Z26" s="1813" t="str">
        <f t="shared" ref="Z26:Z34" si="12">Q26</f>
        <v>公共部分装修</v>
      </c>
      <c r="AA26" s="1810">
        <f t="shared" si="3"/>
        <v>1</v>
      </c>
      <c r="AB26" s="1810">
        <f t="shared" si="4"/>
        <v>1</v>
      </c>
      <c r="AC26" s="1810">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6"/>
      <c r="Q27" s="774" t="str">
        <f t="shared" si="8"/>
        <v>成新率</v>
      </c>
      <c r="R27" s="775" t="s">
        <v>17</v>
      </c>
      <c r="S27" s="776" t="e">
        <f t="shared" si="9"/>
        <v>#N/A</v>
      </c>
      <c r="T27" s="775" t="s">
        <v>17</v>
      </c>
      <c r="U27" s="776" t="e">
        <f t="shared" si="10"/>
        <v>#N/A</v>
      </c>
      <c r="V27" s="775" t="s">
        <v>17</v>
      </c>
      <c r="W27" s="776" t="e">
        <f t="shared" si="11"/>
        <v>#N/A</v>
      </c>
      <c r="X27" s="777"/>
      <c r="Y27" s="3286"/>
      <c r="Z27" s="778" t="str">
        <f t="shared" si="12"/>
        <v>成新率</v>
      </c>
      <c r="AA27" s="1810" t="e">
        <f t="shared" si="3"/>
        <v>#N/A</v>
      </c>
      <c r="AB27" s="1810" t="e">
        <f t="shared" si="4"/>
        <v>#N/A</v>
      </c>
      <c r="AC27" s="1810"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6"/>
      <c r="Q28" s="1809" t="str">
        <f t="shared" si="8"/>
        <v>物业等级</v>
      </c>
      <c r="R28" s="772" t="s">
        <v>17</v>
      </c>
      <c r="S28" s="773">
        <f t="shared" si="9"/>
        <v>100</v>
      </c>
      <c r="T28" s="772" t="s">
        <v>17</v>
      </c>
      <c r="U28" s="773">
        <f t="shared" si="10"/>
        <v>100</v>
      </c>
      <c r="V28" s="772" t="s">
        <v>17</v>
      </c>
      <c r="W28" s="773">
        <f t="shared" si="11"/>
        <v>100</v>
      </c>
      <c r="X28" s="1812"/>
      <c r="Y28" s="3286"/>
      <c r="Z28" s="1813" t="str">
        <f t="shared" si="12"/>
        <v>物业等级</v>
      </c>
      <c r="AA28" s="1810">
        <f t="shared" si="3"/>
        <v>1</v>
      </c>
      <c r="AB28" s="1810">
        <f t="shared" si="4"/>
        <v>1</v>
      </c>
      <c r="AC28" s="1810">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6"/>
      <c r="Q29" s="1809" t="str">
        <f t="shared" si="8"/>
        <v>有无电梯</v>
      </c>
      <c r="R29" s="772" t="s">
        <v>17</v>
      </c>
      <c r="S29" s="773">
        <f t="shared" si="9"/>
        <v>100</v>
      </c>
      <c r="T29" s="772" t="s">
        <v>17</v>
      </c>
      <c r="U29" s="773">
        <f t="shared" si="10"/>
        <v>100</v>
      </c>
      <c r="V29" s="772" t="s">
        <v>17</v>
      </c>
      <c r="W29" s="773">
        <f t="shared" si="11"/>
        <v>100</v>
      </c>
      <c r="X29" s="1812"/>
      <c r="Y29" s="3286"/>
      <c r="Z29" s="1813" t="str">
        <f t="shared" si="12"/>
        <v>有无电梯</v>
      </c>
      <c r="AA29" s="1810">
        <f t="shared" si="3"/>
        <v>1</v>
      </c>
      <c r="AB29" s="1810">
        <f t="shared" si="4"/>
        <v>1</v>
      </c>
      <c r="AC29" s="1810">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6"/>
      <c r="Q30" s="1809" t="str">
        <f t="shared" si="8"/>
        <v>建筑面积</v>
      </c>
      <c r="R30" s="772" t="s">
        <v>17</v>
      </c>
      <c r="S30" s="773" t="e">
        <f t="shared" si="9"/>
        <v>#N/A</v>
      </c>
      <c r="T30" s="772" t="s">
        <v>17</v>
      </c>
      <c r="U30" s="773" t="e">
        <f t="shared" si="10"/>
        <v>#N/A</v>
      </c>
      <c r="V30" s="772" t="s">
        <v>17</v>
      </c>
      <c r="W30" s="773" t="e">
        <f t="shared" si="11"/>
        <v>#N/A</v>
      </c>
      <c r="X30" s="1812"/>
      <c r="Y30" s="3286"/>
      <c r="Z30" s="1813" t="str">
        <f t="shared" si="12"/>
        <v>建筑面积</v>
      </c>
      <c r="AA30" s="1810" t="e">
        <f t="shared" si="3"/>
        <v>#N/A</v>
      </c>
      <c r="AB30" s="1810" t="e">
        <f t="shared" si="4"/>
        <v>#N/A</v>
      </c>
      <c r="AC30" s="1810" t="e">
        <f t="shared" si="5"/>
        <v>#N/A</v>
      </c>
    </row>
    <row r="31" spans="1:29" s="117"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6"/>
      <c r="Q31" s="1794" t="str">
        <f t="shared" si="8"/>
        <v>是否封闭</v>
      </c>
      <c r="R31" s="768" t="s">
        <v>17</v>
      </c>
      <c r="S31" s="769">
        <f t="shared" si="9"/>
        <v>100</v>
      </c>
      <c r="T31" s="768" t="s">
        <v>17</v>
      </c>
      <c r="U31" s="769">
        <f t="shared" si="10"/>
        <v>100</v>
      </c>
      <c r="V31" s="768" t="s">
        <v>17</v>
      </c>
      <c r="W31" s="769">
        <f t="shared" si="11"/>
        <v>100</v>
      </c>
      <c r="X31" s="770"/>
      <c r="Y31" s="3286"/>
      <c r="Z31" s="55" t="str">
        <f t="shared" si="12"/>
        <v>是否封闭</v>
      </c>
      <c r="AA31" s="771">
        <f t="shared" si="3"/>
        <v>1</v>
      </c>
      <c r="AB31" s="771">
        <f t="shared" si="4"/>
        <v>1</v>
      </c>
      <c r="AC31" s="771">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6" t="s">
        <v>2557</v>
      </c>
      <c r="Q32" s="1809">
        <f t="shared" si="8"/>
        <v>111</v>
      </c>
      <c r="R32" s="772" t="s">
        <v>17</v>
      </c>
      <c r="S32" s="773">
        <f t="shared" si="9"/>
        <v>100</v>
      </c>
      <c r="T32" s="772" t="s">
        <v>17</v>
      </c>
      <c r="U32" s="773">
        <f t="shared" si="10"/>
        <v>100</v>
      </c>
      <c r="V32" s="772" t="s">
        <v>17</v>
      </c>
      <c r="W32" s="773">
        <f t="shared" si="11"/>
        <v>100</v>
      </c>
      <c r="X32" s="1812"/>
      <c r="Y32" s="3286" t="s">
        <v>2557</v>
      </c>
      <c r="Z32" s="1813">
        <f t="shared" si="12"/>
        <v>111</v>
      </c>
      <c r="AA32" s="1810">
        <f t="shared" si="3"/>
        <v>1</v>
      </c>
      <c r="AB32" s="1810">
        <f t="shared" si="4"/>
        <v>1</v>
      </c>
      <c r="AC32" s="1810">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6"/>
      <c r="Q33" s="1809">
        <f t="shared" si="8"/>
        <v>111</v>
      </c>
      <c r="R33" s="772" t="s">
        <v>17</v>
      </c>
      <c r="S33" s="773">
        <f t="shared" si="9"/>
        <v>100</v>
      </c>
      <c r="T33" s="772" t="s">
        <v>17</v>
      </c>
      <c r="U33" s="773">
        <f t="shared" si="10"/>
        <v>100</v>
      </c>
      <c r="V33" s="772" t="s">
        <v>17</v>
      </c>
      <c r="W33" s="773">
        <f t="shared" si="11"/>
        <v>100</v>
      </c>
      <c r="X33" s="1812"/>
      <c r="Y33" s="3286"/>
      <c r="Z33" s="1813">
        <f t="shared" si="12"/>
        <v>111</v>
      </c>
      <c r="AA33" s="1810">
        <f t="shared" si="3"/>
        <v>1</v>
      </c>
      <c r="AB33" s="1810">
        <f t="shared" si="4"/>
        <v>1</v>
      </c>
      <c r="AC33" s="1810">
        <f t="shared" si="5"/>
        <v>1</v>
      </c>
    </row>
    <row r="34" spans="1:29" ht="15.75" thickBot="1">
      <c r="A34" s="477"/>
      <c r="B34" s="2599">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86"/>
      <c r="Q34" s="1809">
        <f t="shared" si="8"/>
        <v>111</v>
      </c>
      <c r="R34" s="772" t="s">
        <v>17</v>
      </c>
      <c r="S34" s="773">
        <f t="shared" si="9"/>
        <v>100</v>
      </c>
      <c r="T34" s="772" t="s">
        <v>17</v>
      </c>
      <c r="U34" s="773">
        <f t="shared" si="10"/>
        <v>100</v>
      </c>
      <c r="V34" s="772" t="s">
        <v>17</v>
      </c>
      <c r="W34" s="773">
        <f t="shared" si="11"/>
        <v>100</v>
      </c>
      <c r="X34" s="1812"/>
      <c r="Y34" s="3286"/>
      <c r="Z34" s="1813">
        <f t="shared" si="12"/>
        <v>111</v>
      </c>
      <c r="AA34" s="1810">
        <f t="shared" si="3"/>
        <v>1</v>
      </c>
      <c r="AB34" s="1810">
        <f t="shared" si="4"/>
        <v>1</v>
      </c>
      <c r="AC34" s="1810">
        <f t="shared" si="5"/>
        <v>1</v>
      </c>
    </row>
    <row r="35" spans="1:29" ht="15">
      <c r="A35" s="478" t="s">
        <v>2569</v>
      </c>
      <c r="B35" s="479"/>
      <c r="C35" s="1406" t="s">
        <v>1</v>
      </c>
      <c r="D35" s="1407"/>
      <c r="E35" s="1408"/>
      <c r="F35" s="1409"/>
      <c r="G35" s="1410"/>
      <c r="H35" s="1411"/>
      <c r="I35" s="1408"/>
      <c r="J35" s="1411"/>
      <c r="K35" s="781"/>
      <c r="L35" s="1142"/>
      <c r="M35" s="1143"/>
      <c r="N35" s="1130"/>
      <c r="O35" s="1143"/>
      <c r="P35" s="3268" t="str">
        <f>A35</f>
        <v>成交单价（元/平方米）</v>
      </c>
      <c r="Q35" s="3268"/>
      <c r="R35" s="3301">
        <f>E35</f>
        <v>0</v>
      </c>
      <c r="S35" s="3301"/>
      <c r="T35" s="3301">
        <f>G35</f>
        <v>0</v>
      </c>
      <c r="U35" s="3301"/>
      <c r="V35" s="3301">
        <f>I35</f>
        <v>0</v>
      </c>
      <c r="W35" s="3301"/>
      <c r="X35" s="757"/>
      <c r="Y35" s="779"/>
      <c r="Z35" s="757"/>
      <c r="AA35" s="757"/>
      <c r="AB35" s="757"/>
      <c r="AC35" s="757"/>
    </row>
    <row r="36" spans="1:29" ht="15.75" thickBot="1">
      <c r="A36" s="485" t="s">
        <v>2661</v>
      </c>
      <c r="B36" s="486"/>
      <c r="C36" s="1412" t="e">
        <f>R37</f>
        <v>#DIV/0!</v>
      </c>
      <c r="D36" s="1413"/>
      <c r="E36" s="1414" t="e">
        <f>R36</f>
        <v>#DIV/0!</v>
      </c>
      <c r="F36" s="1414"/>
      <c r="G36" s="1412" t="e">
        <f>T36</f>
        <v>#DIV/0!</v>
      </c>
      <c r="H36" s="1413"/>
      <c r="I36" s="1414" t="e">
        <f>V36</f>
        <v>#DIV/0!</v>
      </c>
      <c r="J36" s="1413"/>
      <c r="K36" s="782"/>
      <c r="L36" s="1142"/>
      <c r="M36" s="1143"/>
      <c r="N36" s="1130"/>
      <c r="O36" s="1143"/>
      <c r="P36" s="3268" t="str">
        <f>A36</f>
        <v>比较价值（元/平方米）</v>
      </c>
      <c r="Q36" s="3268"/>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7"/>
      <c r="Y36" s="757"/>
      <c r="Z36" s="757"/>
      <c r="AA36" s="757"/>
      <c r="AB36" s="757"/>
      <c r="AC36" s="757"/>
    </row>
    <row r="37" spans="1:29" ht="15.75" thickBot="1">
      <c r="A37" s="491" t="s">
        <v>2662</v>
      </c>
      <c r="B37" s="492"/>
      <c r="C37" s="1416" t="e">
        <f>R37</f>
        <v>#DIV/0!</v>
      </c>
      <c r="D37" s="1416"/>
      <c r="E37" s="1416"/>
      <c r="F37" s="1416"/>
      <c r="G37" s="1416"/>
      <c r="H37" s="1416"/>
      <c r="I37" s="1416"/>
      <c r="J37" s="1416"/>
      <c r="K37" s="783"/>
      <c r="L37" s="1142"/>
      <c r="M37" s="1143"/>
      <c r="N37" s="1143"/>
      <c r="O37" s="1143"/>
      <c r="P37" s="3288" t="str">
        <f>A37</f>
        <v>估价对象XX用房的比较价值（楼面单价，元/平方米）</v>
      </c>
      <c r="Q37" s="3289"/>
      <c r="R37" s="3302" t="e">
        <f>IF(F1="售价",ROUND(AVERAGE(R36:V36),0),ROUND(AVERAGE(R36:V36),1))</f>
        <v>#DIV/0!</v>
      </c>
      <c r="S37" s="3302"/>
      <c r="T37" s="3302"/>
      <c r="U37" s="3302"/>
      <c r="V37" s="3302"/>
      <c r="W37" s="3302"/>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3" t="str">
        <f>YEAR(C7)&amp;"-"&amp;MONTH(C7)</f>
        <v>2018-8</v>
      </c>
      <c r="D46" s="1574">
        <f>EDATE(C46,-1)</f>
        <v>43282</v>
      </c>
      <c r="E46" s="1574">
        <f t="shared" ref="E46:O46" si="13">EDATE(D46,-1)</f>
        <v>43252</v>
      </c>
      <c r="F46" s="1574">
        <f t="shared" si="13"/>
        <v>43221</v>
      </c>
      <c r="G46" s="1574">
        <f t="shared" si="13"/>
        <v>43191</v>
      </c>
      <c r="H46" s="1574">
        <f t="shared" si="13"/>
        <v>43160</v>
      </c>
      <c r="I46" s="1574">
        <f t="shared" si="13"/>
        <v>43132</v>
      </c>
      <c r="J46" s="1574">
        <f t="shared" si="13"/>
        <v>43101</v>
      </c>
      <c r="K46" s="1574">
        <f t="shared" si="13"/>
        <v>43070</v>
      </c>
      <c r="L46" s="1574">
        <f t="shared" si="13"/>
        <v>43040</v>
      </c>
      <c r="M46" s="1574">
        <f t="shared" si="13"/>
        <v>43009</v>
      </c>
      <c r="N46" s="1574">
        <f t="shared" si="13"/>
        <v>42979</v>
      </c>
      <c r="O46" s="1574">
        <f t="shared" si="13"/>
        <v>42948</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2580</v>
      </c>
      <c r="B51" s="527" t="s">
        <v>2546</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2721</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2555</v>
      </c>
      <c r="B77" s="527" t="s">
        <v>2608</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2"/>
      <c r="O78" s="1152"/>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2"/>
      <c r="O81" s="1152"/>
      <c r="P81" s="557"/>
      <c r="Q81" s="558"/>
    </row>
    <row r="82" spans="1:17" ht="15" thickTop="1">
      <c r="A82" s="598"/>
      <c r="B82" s="545" t="s">
        <v>2725</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2"/>
      <c r="O83" s="1152"/>
      <c r="P83" s="45"/>
      <c r="Q83" s="503"/>
    </row>
    <row r="84" spans="1:17" ht="15" thickTop="1">
      <c r="A84" s="598"/>
      <c r="B84" s="537" t="s">
        <v>2733</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2"/>
      <c r="O85" s="1152"/>
      <c r="P85" s="45"/>
      <c r="Q85" s="503"/>
    </row>
    <row r="86" spans="1:17" ht="15" thickTop="1">
      <c r="A86" s="598"/>
      <c r="B86" s="545" t="s">
        <v>2734</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2735</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2738</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400" t="s">
        <v>2637</v>
      </c>
      <c r="B4" s="401"/>
      <c r="C4" s="3269" t="s">
        <v>2638</v>
      </c>
      <c r="D4" s="3270"/>
      <c r="E4" s="3271" t="s">
        <v>2639</v>
      </c>
      <c r="F4" s="3272"/>
      <c r="G4" s="3269" t="s">
        <v>2640</v>
      </c>
      <c r="H4" s="3270"/>
      <c r="I4" s="3269" t="s">
        <v>2641</v>
      </c>
      <c r="J4" s="3270"/>
      <c r="K4" s="609" t="s">
        <v>2642</v>
      </c>
      <c r="L4" s="1129"/>
      <c r="M4" s="1130"/>
      <c r="N4" s="1130"/>
      <c r="O4" s="1130"/>
      <c r="P4" s="3273" t="s">
        <v>2643</v>
      </c>
      <c r="Q4" s="3274"/>
      <c r="R4" s="3254" t="s">
        <v>2639</v>
      </c>
      <c r="S4" s="3255"/>
      <c r="T4" s="3254" t="s">
        <v>2640</v>
      </c>
      <c r="U4" s="3255"/>
      <c r="V4" s="3281" t="s">
        <v>2641</v>
      </c>
      <c r="W4" s="3281"/>
      <c r="X4" s="1812"/>
      <c r="Y4" s="3254" t="s">
        <v>2643</v>
      </c>
      <c r="Z4" s="3255"/>
      <c r="AA4" s="3249" t="s">
        <v>2639</v>
      </c>
      <c r="AB4" s="3250" t="s">
        <v>2640</v>
      </c>
      <c r="AC4" s="3249" t="s">
        <v>2641</v>
      </c>
    </row>
    <row r="5" spans="1:29" ht="15">
      <c r="A5" s="403"/>
      <c r="B5" s="404"/>
      <c r="C5" s="3260" t="s">
        <v>2534</v>
      </c>
      <c r="D5" s="3261"/>
      <c r="E5" s="3330" t="s">
        <v>2535</v>
      </c>
      <c r="F5" s="3259"/>
      <c r="G5" s="3260" t="s">
        <v>2536</v>
      </c>
      <c r="H5" s="3261"/>
      <c r="I5" s="3260" t="s">
        <v>2537</v>
      </c>
      <c r="J5" s="3261"/>
      <c r="K5" s="609"/>
      <c r="L5" s="1129"/>
      <c r="M5" s="1130"/>
      <c r="N5" s="1130"/>
      <c r="O5" s="1130"/>
      <c r="P5" s="3275"/>
      <c r="Q5" s="3276"/>
      <c r="R5" s="3256"/>
      <c r="S5" s="3257"/>
      <c r="T5" s="3256"/>
      <c r="U5" s="3257"/>
      <c r="V5" s="3281"/>
      <c r="W5" s="3281"/>
      <c r="X5" s="1812"/>
      <c r="Y5" s="3256"/>
      <c r="Z5" s="3257"/>
      <c r="AA5" s="3250"/>
      <c r="AB5" s="3250"/>
      <c r="AC5" s="3250"/>
    </row>
    <row r="6" spans="1:29" ht="15.75" thickBot="1">
      <c r="A6" s="405"/>
      <c r="B6" s="406"/>
      <c r="C6" s="3346" t="s">
        <v>2788</v>
      </c>
      <c r="D6" s="3347"/>
      <c r="E6" s="3348" t="s">
        <v>2788</v>
      </c>
      <c r="F6" s="3349"/>
      <c r="G6" s="3346" t="s">
        <v>2788</v>
      </c>
      <c r="H6" s="3347"/>
      <c r="I6" s="3346" t="s">
        <v>2788</v>
      </c>
      <c r="J6" s="3347"/>
      <c r="K6" s="609" t="s">
        <v>2539</v>
      </c>
      <c r="L6" s="1129"/>
      <c r="M6" s="1130"/>
      <c r="N6" s="1130"/>
      <c r="O6" s="1130"/>
      <c r="P6" s="3277"/>
      <c r="Q6" s="3278"/>
      <c r="R6" s="3256"/>
      <c r="S6" s="3257"/>
      <c r="T6" s="3279"/>
      <c r="U6" s="3280"/>
      <c r="V6" s="3281"/>
      <c r="W6" s="3281"/>
      <c r="X6" s="1812"/>
      <c r="Y6" s="3279"/>
      <c r="Z6" s="3280"/>
      <c r="AA6" s="3251"/>
      <c r="AB6" s="3251"/>
      <c r="AC6" s="3251"/>
    </row>
    <row r="7" spans="1:29" s="117" customFormat="1" ht="15.75" thickBot="1">
      <c r="A7" s="407" t="s">
        <v>2540</v>
      </c>
      <c r="B7" s="408"/>
      <c r="C7" s="409">
        <f>'数据-取费表'!B2</f>
        <v>43321</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52" t="s">
        <v>2541</v>
      </c>
      <c r="Q7" s="3282"/>
      <c r="R7" s="768" t="s">
        <v>17</v>
      </c>
      <c r="S7" s="769">
        <f t="shared" ref="S7:S15" si="0">F7</f>
        <v>0</v>
      </c>
      <c r="T7" s="768" t="s">
        <v>17</v>
      </c>
      <c r="U7" s="769">
        <f t="shared" ref="U7:U15" si="1">H7</f>
        <v>0</v>
      </c>
      <c r="V7" s="768" t="s">
        <v>17</v>
      </c>
      <c r="W7" s="769">
        <f t="shared" ref="W7:W15" si="2">J7</f>
        <v>0</v>
      </c>
      <c r="X7" s="770"/>
      <c r="Y7" s="3252" t="s">
        <v>2541</v>
      </c>
      <c r="Z7" s="3253"/>
      <c r="AA7" s="771" t="e">
        <f>D7/F7</f>
        <v>#DIV/0!</v>
      </c>
      <c r="AB7" s="771" t="e">
        <f>D7/H7</f>
        <v>#DIV/0!</v>
      </c>
      <c r="AC7" s="771"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52" t="s">
        <v>2544</v>
      </c>
      <c r="Q8" s="3253"/>
      <c r="R8" s="768" t="s">
        <v>17</v>
      </c>
      <c r="S8" s="769">
        <f t="shared" si="0"/>
        <v>0</v>
      </c>
      <c r="T8" s="768" t="s">
        <v>17</v>
      </c>
      <c r="U8" s="769">
        <f t="shared" si="1"/>
        <v>0</v>
      </c>
      <c r="V8" s="768" t="s">
        <v>17</v>
      </c>
      <c r="W8" s="769">
        <f t="shared" si="2"/>
        <v>0</v>
      </c>
      <c r="X8" s="770"/>
      <c r="Y8" s="3252" t="s">
        <v>2544</v>
      </c>
      <c r="Z8" s="3253"/>
      <c r="AA8" s="771" t="e">
        <f t="shared" ref="AA8:AA40" si="3">D8/F8</f>
        <v>#DIV/0!</v>
      </c>
      <c r="AB8" s="771" t="e">
        <f t="shared" ref="AB8:AB40" si="4">D8/H8</f>
        <v>#DIV/0!</v>
      </c>
      <c r="AC8" s="771" t="e">
        <f t="shared" ref="AC8:AC40" si="5">D8/J8</f>
        <v>#DIV/0!</v>
      </c>
    </row>
    <row r="9" spans="1:29" s="117" customFormat="1">
      <c r="A9" s="414" t="s">
        <v>2545</v>
      </c>
      <c r="B9" s="71" t="s">
        <v>2546</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68" t="s">
        <v>2547</v>
      </c>
      <c r="Q9" s="1794" t="str">
        <f t="shared" ref="Q9:Q15" si="6">B9</f>
        <v>用途</v>
      </c>
      <c r="R9" s="768" t="s">
        <v>17</v>
      </c>
      <c r="S9" s="769">
        <f t="shared" si="0"/>
        <v>100</v>
      </c>
      <c r="T9" s="768" t="s">
        <v>17</v>
      </c>
      <c r="U9" s="769">
        <f t="shared" si="1"/>
        <v>100</v>
      </c>
      <c r="V9" s="768" t="s">
        <v>17</v>
      </c>
      <c r="W9" s="769">
        <f t="shared" si="2"/>
        <v>100</v>
      </c>
      <c r="X9" s="770"/>
      <c r="Y9" s="3123"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103</v>
      </c>
      <c r="G10" s="431"/>
      <c r="H10" s="135">
        <f>ROUND(100/'数据-取费表'!G16,0)</f>
        <v>103</v>
      </c>
      <c r="I10" s="431"/>
      <c r="J10" s="135">
        <f>ROUND(100/'数据-取费表'!G16,0)</f>
        <v>103</v>
      </c>
      <c r="K10" s="671"/>
      <c r="L10" s="1134"/>
      <c r="M10" s="1135"/>
      <c r="N10" s="1135"/>
      <c r="O10" s="1136"/>
      <c r="P10" s="3268"/>
      <c r="Q10" s="1794" t="str">
        <f t="shared" si="6"/>
        <v>土地使用年限（年）</v>
      </c>
      <c r="R10" s="768" t="s">
        <v>17</v>
      </c>
      <c r="S10" s="769">
        <f t="shared" si="0"/>
        <v>103</v>
      </c>
      <c r="T10" s="768" t="s">
        <v>17</v>
      </c>
      <c r="U10" s="769">
        <f t="shared" si="1"/>
        <v>103</v>
      </c>
      <c r="V10" s="768" t="s">
        <v>17</v>
      </c>
      <c r="W10" s="769">
        <f t="shared" si="2"/>
        <v>103</v>
      </c>
      <c r="X10" s="770"/>
      <c r="Y10" s="3123"/>
      <c r="Z10" s="55" t="str">
        <f t="shared" si="7"/>
        <v>土地使用年限（年）</v>
      </c>
      <c r="AA10" s="771">
        <f t="shared" si="3"/>
        <v>0.970873786407767</v>
      </c>
      <c r="AB10" s="771">
        <f t="shared" si="4"/>
        <v>0.970873786407767</v>
      </c>
      <c r="AC10" s="771">
        <f t="shared" si="5"/>
        <v>0.970873786407767</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68"/>
      <c r="Q11" s="1794"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68"/>
      <c r="Q12" s="1794">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68"/>
      <c r="Q13" s="1794">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8"/>
      <c r="Q14" s="1794">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15">
      <c r="A15" s="439" t="s">
        <v>2551</v>
      </c>
      <c r="B15" s="628" t="s">
        <v>2789</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83" t="s">
        <v>2552</v>
      </c>
      <c r="Q15" s="1809" t="str">
        <f t="shared" si="6"/>
        <v>产业集聚程度</v>
      </c>
      <c r="R15" s="772" t="s">
        <v>17</v>
      </c>
      <c r="S15" s="773">
        <f t="shared" si="0"/>
        <v>100</v>
      </c>
      <c r="T15" s="772" t="s">
        <v>17</v>
      </c>
      <c r="U15" s="773">
        <f t="shared" si="1"/>
        <v>100</v>
      </c>
      <c r="V15" s="772" t="s">
        <v>17</v>
      </c>
      <c r="W15" s="773">
        <f t="shared" si="2"/>
        <v>100</v>
      </c>
      <c r="X15" s="1812"/>
      <c r="Y15" s="3283" t="s">
        <v>2552</v>
      </c>
      <c r="Z15" s="1813" t="str">
        <f t="shared" si="7"/>
        <v>产业集聚程度</v>
      </c>
      <c r="AA15" s="1810">
        <f t="shared" si="3"/>
        <v>1</v>
      </c>
      <c r="AB15" s="1810">
        <f t="shared" si="4"/>
        <v>1</v>
      </c>
      <c r="AC15" s="1810">
        <f t="shared" si="5"/>
        <v>1</v>
      </c>
    </row>
    <row r="16" spans="1:29" ht="15">
      <c r="A16" s="427"/>
      <c r="B16" s="629"/>
      <c r="C16" s="446"/>
      <c r="D16" s="447"/>
      <c r="E16" s="2608"/>
      <c r="F16" s="447"/>
      <c r="G16" s="2608"/>
      <c r="H16" s="449"/>
      <c r="I16" s="2608"/>
      <c r="J16" s="447"/>
      <c r="K16" s="671"/>
      <c r="L16" s="1139"/>
      <c r="M16" s="1130"/>
      <c r="N16" s="1130"/>
      <c r="O16" s="1138"/>
      <c r="P16" s="3284"/>
      <c r="Q16" s="1809"/>
      <c r="R16" s="772"/>
      <c r="S16" s="773"/>
      <c r="T16" s="772"/>
      <c r="U16" s="773"/>
      <c r="V16" s="772"/>
      <c r="W16" s="773"/>
      <c r="X16" s="1812"/>
      <c r="Y16" s="3284"/>
      <c r="Z16" s="1813"/>
      <c r="AA16" s="1810">
        <v>1</v>
      </c>
      <c r="AB16" s="1810">
        <v>1</v>
      </c>
      <c r="AC16" s="1810">
        <v>1</v>
      </c>
    </row>
    <row r="17" spans="1:29" ht="15">
      <c r="A17" s="427"/>
      <c r="B17" s="630" t="s">
        <v>2701</v>
      </c>
      <c r="C17" s="2604">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84"/>
      <c r="Q17" s="1809" t="str">
        <f>B17</f>
        <v>交通便捷度</v>
      </c>
      <c r="R17" s="772" t="s">
        <v>17</v>
      </c>
      <c r="S17" s="773">
        <f>F17</f>
        <v>100</v>
      </c>
      <c r="T17" s="772" t="s">
        <v>17</v>
      </c>
      <c r="U17" s="773">
        <f>H17</f>
        <v>100</v>
      </c>
      <c r="V17" s="772" t="s">
        <v>17</v>
      </c>
      <c r="W17" s="773">
        <f>J17</f>
        <v>100</v>
      </c>
      <c r="X17" s="1812"/>
      <c r="Y17" s="3284"/>
      <c r="Z17" s="1813" t="str">
        <f>Q17</f>
        <v>交通便捷度</v>
      </c>
      <c r="AA17" s="1810">
        <f t="shared" si="3"/>
        <v>1</v>
      </c>
      <c r="AB17" s="1810">
        <f t="shared" si="4"/>
        <v>1</v>
      </c>
      <c r="AC17" s="1810">
        <f t="shared" si="5"/>
        <v>1</v>
      </c>
    </row>
    <row r="18" spans="1:29" ht="15">
      <c r="A18" s="427"/>
      <c r="B18" s="631"/>
      <c r="C18" s="446"/>
      <c r="D18" s="447"/>
      <c r="E18" s="2602"/>
      <c r="F18" s="447"/>
      <c r="G18" s="2602"/>
      <c r="H18" s="447"/>
      <c r="I18" s="2601"/>
      <c r="J18" s="447"/>
      <c r="K18" s="671"/>
      <c r="L18" s="1139"/>
      <c r="M18" s="1130"/>
      <c r="N18" s="1130"/>
      <c r="O18" s="1138"/>
      <c r="P18" s="3284"/>
      <c r="Q18" s="1809"/>
      <c r="R18" s="772"/>
      <c r="S18" s="773"/>
      <c r="T18" s="772"/>
      <c r="U18" s="773"/>
      <c r="V18" s="772"/>
      <c r="W18" s="773"/>
      <c r="X18" s="1812"/>
      <c r="Y18" s="3284"/>
      <c r="Z18" s="1813"/>
      <c r="AA18" s="1810">
        <v>1</v>
      </c>
      <c r="AB18" s="1810">
        <v>1</v>
      </c>
      <c r="AC18" s="1810">
        <v>1</v>
      </c>
    </row>
    <row r="19" spans="1:29" ht="15">
      <c r="A19" s="427"/>
      <c r="B19" s="630" t="s">
        <v>2739</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84"/>
      <c r="Q19" s="1809" t="str">
        <f t="shared" ref="Q19:Q33" si="8">B19</f>
        <v>区域土地利用方向</v>
      </c>
      <c r="R19" s="772" t="s">
        <v>17</v>
      </c>
      <c r="S19" s="773">
        <f>F19</f>
        <v>100</v>
      </c>
      <c r="T19" s="772" t="s">
        <v>17</v>
      </c>
      <c r="U19" s="773">
        <f>H19</f>
        <v>100</v>
      </c>
      <c r="V19" s="772" t="s">
        <v>17</v>
      </c>
      <c r="W19" s="773">
        <f>J19</f>
        <v>100</v>
      </c>
      <c r="X19" s="1812"/>
      <c r="Y19" s="3284"/>
      <c r="Z19" s="1813" t="str">
        <f>Q19</f>
        <v>区域土地利用方向</v>
      </c>
      <c r="AA19" s="1810">
        <f t="shared" si="3"/>
        <v>1</v>
      </c>
      <c r="AB19" s="1810">
        <f t="shared" si="4"/>
        <v>1</v>
      </c>
      <c r="AC19" s="1810">
        <f t="shared" si="5"/>
        <v>1</v>
      </c>
    </row>
    <row r="20" spans="1:29" ht="15">
      <c r="A20" s="403"/>
      <c r="B20" s="631"/>
      <c r="C20" s="446"/>
      <c r="D20" s="447"/>
      <c r="E20" s="2602"/>
      <c r="F20" s="447"/>
      <c r="G20" s="2602"/>
      <c r="H20" s="447"/>
      <c r="I20" s="2602"/>
      <c r="J20" s="447"/>
      <c r="K20" s="808"/>
      <c r="L20" s="1139"/>
      <c r="M20" s="1130"/>
      <c r="N20" s="1130"/>
      <c r="O20" s="1138"/>
      <c r="P20" s="3284"/>
      <c r="Q20" s="1809"/>
      <c r="R20" s="772"/>
      <c r="S20" s="773"/>
      <c r="T20" s="772"/>
      <c r="U20" s="773"/>
      <c r="V20" s="772"/>
      <c r="W20" s="773"/>
      <c r="X20" s="1812"/>
      <c r="Y20" s="3284"/>
      <c r="Z20" s="1813"/>
      <c r="AA20" s="1810"/>
      <c r="AB20" s="1810"/>
      <c r="AC20" s="1810"/>
    </row>
    <row r="21" spans="1:29" ht="15">
      <c r="A21" s="403"/>
      <c r="B21" s="630" t="s">
        <v>2790</v>
      </c>
      <c r="C21" s="2604">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84"/>
      <c r="Q21" s="1809" t="str">
        <f t="shared" si="8"/>
        <v>环境状况</v>
      </c>
      <c r="R21" s="772" t="s">
        <v>17</v>
      </c>
      <c r="S21" s="773">
        <f>F21</f>
        <v>100</v>
      </c>
      <c r="T21" s="772" t="s">
        <v>17</v>
      </c>
      <c r="U21" s="773">
        <f>H21</f>
        <v>100</v>
      </c>
      <c r="V21" s="772" t="s">
        <v>17</v>
      </c>
      <c r="W21" s="773">
        <f>J21</f>
        <v>100</v>
      </c>
      <c r="X21" s="1812"/>
      <c r="Y21" s="3284"/>
      <c r="Z21" s="1813" t="str">
        <f>Q21</f>
        <v>环境状况</v>
      </c>
      <c r="AA21" s="1810">
        <f t="shared" si="3"/>
        <v>1</v>
      </c>
      <c r="AB21" s="1810">
        <f t="shared" si="4"/>
        <v>1</v>
      </c>
      <c r="AC21" s="1810">
        <f t="shared" si="5"/>
        <v>1</v>
      </c>
    </row>
    <row r="22" spans="1:29" ht="15">
      <c r="A22" s="403"/>
      <c r="B22" s="631"/>
      <c r="C22" s="446"/>
      <c r="D22" s="447"/>
      <c r="E22" s="2608"/>
      <c r="F22" s="447"/>
      <c r="G22" s="2608"/>
      <c r="H22" s="447"/>
      <c r="I22" s="446"/>
      <c r="J22" s="447"/>
      <c r="K22" s="671"/>
      <c r="L22" s="1139"/>
      <c r="M22" s="1130"/>
      <c r="N22" s="1130"/>
      <c r="O22" s="1138"/>
      <c r="P22" s="3284"/>
      <c r="Q22" s="1809"/>
      <c r="R22" s="772"/>
      <c r="S22" s="773"/>
      <c r="T22" s="772"/>
      <c r="U22" s="773"/>
      <c r="V22" s="772"/>
      <c r="W22" s="773"/>
      <c r="X22" s="1812"/>
      <c r="Y22" s="3284"/>
      <c r="Z22" s="1813"/>
      <c r="AA22" s="1810">
        <v>1</v>
      </c>
      <c r="AB22" s="1810">
        <v>1</v>
      </c>
      <c r="AC22" s="1810">
        <v>1</v>
      </c>
    </row>
    <row r="23" spans="1:29" s="117" customFormat="1" ht="15">
      <c r="A23" s="648"/>
      <c r="B23" s="632" t="s">
        <v>2646</v>
      </c>
      <c r="C23" s="2604">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84"/>
      <c r="Q23" s="1794" t="str">
        <f t="shared" si="8"/>
        <v>公共配套设施</v>
      </c>
      <c r="R23" s="768" t="s">
        <v>17</v>
      </c>
      <c r="S23" s="769">
        <f>F23</f>
        <v>100</v>
      </c>
      <c r="T23" s="768" t="s">
        <v>17</v>
      </c>
      <c r="U23" s="769">
        <f>H23</f>
        <v>100</v>
      </c>
      <c r="V23" s="768" t="s">
        <v>17</v>
      </c>
      <c r="W23" s="769">
        <f>J23</f>
        <v>100</v>
      </c>
      <c r="X23" s="770"/>
      <c r="Y23" s="3284"/>
      <c r="Z23" s="55" t="str">
        <f>Q23</f>
        <v>公共配套设施</v>
      </c>
      <c r="AA23" s="1810">
        <f>D23/F23</f>
        <v>1</v>
      </c>
      <c r="AB23" s="1810">
        <f>D23/H23</f>
        <v>1</v>
      </c>
      <c r="AC23" s="1810">
        <f>D23/J23</f>
        <v>1</v>
      </c>
    </row>
    <row r="24" spans="1:29" s="117" customFormat="1" ht="15">
      <c r="A24" s="648"/>
      <c r="B24" s="631"/>
      <c r="C24" s="2696"/>
      <c r="D24" s="447"/>
      <c r="E24" s="2608"/>
      <c r="F24" s="447"/>
      <c r="G24" s="2608"/>
      <c r="H24" s="447"/>
      <c r="I24" s="446"/>
      <c r="J24" s="447"/>
      <c r="K24" s="671"/>
      <c r="L24" s="1131"/>
      <c r="M24" s="1132"/>
      <c r="N24" s="1132"/>
      <c r="O24" s="1133"/>
      <c r="P24" s="3284"/>
      <c r="Q24" s="1794"/>
      <c r="R24" s="768"/>
      <c r="S24" s="769"/>
      <c r="T24" s="768"/>
      <c r="U24" s="769"/>
      <c r="V24" s="768"/>
      <c r="W24" s="769"/>
      <c r="X24" s="770"/>
      <c r="Y24" s="3284"/>
      <c r="Z24" s="55"/>
      <c r="AA24" s="771">
        <v>1</v>
      </c>
      <c r="AB24" s="771">
        <v>1</v>
      </c>
      <c r="AC24" s="771">
        <v>1</v>
      </c>
    </row>
    <row r="25" spans="1:29" s="117" customFormat="1" ht="15">
      <c r="A25" s="648"/>
      <c r="B25" s="632" t="s">
        <v>2647</v>
      </c>
      <c r="C25" s="2604">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84"/>
      <c r="Q25" s="1794" t="str">
        <f>B25</f>
        <v>基础设施水平</v>
      </c>
      <c r="R25" s="768" t="s">
        <v>17</v>
      </c>
      <c r="S25" s="769">
        <f>F25</f>
        <v>100</v>
      </c>
      <c r="T25" s="768" t="s">
        <v>17</v>
      </c>
      <c r="U25" s="769">
        <f>H25</f>
        <v>100</v>
      </c>
      <c r="V25" s="768" t="s">
        <v>17</v>
      </c>
      <c r="W25" s="769">
        <f>J25</f>
        <v>100</v>
      </c>
      <c r="X25" s="770"/>
      <c r="Y25" s="3284"/>
      <c r="Z25" s="55" t="str">
        <f>Q25</f>
        <v>基础设施水平</v>
      </c>
      <c r="AA25" s="1810">
        <f>D25/F25</f>
        <v>1</v>
      </c>
      <c r="AB25" s="1810">
        <f>D25/H25</f>
        <v>1</v>
      </c>
      <c r="AC25" s="1810">
        <f>D25/J25</f>
        <v>1</v>
      </c>
    </row>
    <row r="26" spans="1:29" s="117" customFormat="1" ht="15">
      <c r="A26" s="648"/>
      <c r="B26" s="631"/>
      <c r="C26" s="2696"/>
      <c r="D26" s="447"/>
      <c r="E26" s="2697"/>
      <c r="F26" s="447"/>
      <c r="G26" s="2697"/>
      <c r="H26" s="447"/>
      <c r="I26" s="2697"/>
      <c r="J26" s="447"/>
      <c r="K26" s="671"/>
      <c r="L26" s="1131"/>
      <c r="M26" s="1132"/>
      <c r="N26" s="1132"/>
      <c r="O26" s="1133"/>
      <c r="P26" s="3284"/>
      <c r="Q26" s="1794"/>
      <c r="R26" s="768"/>
      <c r="S26" s="769"/>
      <c r="T26" s="768"/>
      <c r="U26" s="769"/>
      <c r="V26" s="768"/>
      <c r="W26" s="769"/>
      <c r="X26" s="770"/>
      <c r="Y26" s="3284"/>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84"/>
      <c r="Q27" s="1809" t="str">
        <f t="shared" si="8"/>
        <v>临街状况</v>
      </c>
      <c r="R27" s="772" t="s">
        <v>17</v>
      </c>
      <c r="S27" s="773">
        <f t="shared" ref="S27:S40" si="9">F27</f>
        <v>100</v>
      </c>
      <c r="T27" s="772" t="s">
        <v>17</v>
      </c>
      <c r="U27" s="773">
        <f t="shared" ref="U27:U40" si="10">H27</f>
        <v>100</v>
      </c>
      <c r="V27" s="772" t="s">
        <v>17</v>
      </c>
      <c r="W27" s="773">
        <f t="shared" ref="W27:W40" si="11">J27</f>
        <v>100</v>
      </c>
      <c r="X27" s="1812"/>
      <c r="Y27" s="3284"/>
      <c r="Z27" s="1813" t="str">
        <f t="shared" ref="Z27:Z40" si="12">Q27</f>
        <v>临街状况</v>
      </c>
      <c r="AA27" s="1810">
        <f t="shared" si="3"/>
        <v>1</v>
      </c>
      <c r="AB27" s="1810">
        <f t="shared" si="4"/>
        <v>1</v>
      </c>
      <c r="AC27" s="1810">
        <f t="shared" si="5"/>
        <v>1</v>
      </c>
    </row>
    <row r="28" spans="1:29" ht="27">
      <c r="A28" s="427"/>
      <c r="B28" s="632" t="s">
        <v>2683</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84"/>
      <c r="Q28" s="1809" t="str">
        <f t="shared" si="8"/>
        <v>毗邻道路的类型与等级</v>
      </c>
      <c r="R28" s="772" t="s">
        <v>17</v>
      </c>
      <c r="S28" s="773">
        <f t="shared" si="9"/>
        <v>100</v>
      </c>
      <c r="T28" s="772" t="s">
        <v>17</v>
      </c>
      <c r="U28" s="773">
        <f t="shared" si="10"/>
        <v>100</v>
      </c>
      <c r="V28" s="772" t="s">
        <v>17</v>
      </c>
      <c r="W28" s="773">
        <f t="shared" si="11"/>
        <v>100</v>
      </c>
      <c r="X28" s="1812"/>
      <c r="Y28" s="3284"/>
      <c r="Z28" s="1813" t="str">
        <f t="shared" si="12"/>
        <v>毗邻道路的类型与等级</v>
      </c>
      <c r="AA28" s="1810">
        <f t="shared" si="3"/>
        <v>1</v>
      </c>
      <c r="AB28" s="1810">
        <f t="shared" si="4"/>
        <v>1</v>
      </c>
      <c r="AC28" s="1810">
        <f t="shared" si="5"/>
        <v>1</v>
      </c>
    </row>
    <row r="29" spans="1:29" ht="15">
      <c r="A29" s="427"/>
      <c r="B29" s="631"/>
      <c r="C29" s="446"/>
      <c r="D29" s="447"/>
      <c r="E29" s="2608"/>
      <c r="F29" s="447"/>
      <c r="G29" s="2608"/>
      <c r="H29" s="447"/>
      <c r="I29" s="2608"/>
      <c r="J29" s="447"/>
      <c r="K29" s="612"/>
      <c r="L29" s="1139"/>
      <c r="M29" s="1130"/>
      <c r="N29" s="1130"/>
      <c r="O29" s="1138"/>
      <c r="P29" s="3284"/>
      <c r="Q29" s="1809"/>
      <c r="R29" s="772"/>
      <c r="S29" s="773"/>
      <c r="T29" s="772"/>
      <c r="U29" s="773"/>
      <c r="V29" s="772"/>
      <c r="W29" s="773"/>
      <c r="X29" s="1812"/>
      <c r="Y29" s="3284"/>
      <c r="Z29" s="1813"/>
      <c r="AA29" s="1810">
        <v>1</v>
      </c>
      <c r="AB29" s="1810">
        <v>1</v>
      </c>
      <c r="AC29" s="1810">
        <v>1</v>
      </c>
    </row>
    <row r="30" spans="1:29" ht="15">
      <c r="A30" s="427"/>
      <c r="B30" s="653" t="s">
        <v>2741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84"/>
      <c r="Q30" s="1809" t="str">
        <f t="shared" si="8"/>
        <v>土地级别</v>
      </c>
      <c r="R30" s="772" t="s">
        <v>17</v>
      </c>
      <c r="S30" s="773">
        <f t="shared" si="9"/>
        <v>100</v>
      </c>
      <c r="T30" s="772" t="s">
        <v>17</v>
      </c>
      <c r="U30" s="773">
        <f t="shared" si="10"/>
        <v>100</v>
      </c>
      <c r="V30" s="772" t="s">
        <v>17</v>
      </c>
      <c r="W30" s="773">
        <f t="shared" si="11"/>
        <v>100</v>
      </c>
      <c r="X30" s="1812"/>
      <c r="Y30" s="3284"/>
      <c r="Z30" s="1813" t="str">
        <f t="shared" si="12"/>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84"/>
      <c r="Q31" s="1809">
        <f t="shared" si="8"/>
        <v>111</v>
      </c>
      <c r="R31" s="772" t="s">
        <v>17</v>
      </c>
      <c r="S31" s="773">
        <f t="shared" si="9"/>
        <v>100</v>
      </c>
      <c r="T31" s="772" t="s">
        <v>17</v>
      </c>
      <c r="U31" s="773">
        <f t="shared" si="10"/>
        <v>100</v>
      </c>
      <c r="V31" s="772" t="s">
        <v>17</v>
      </c>
      <c r="W31" s="773">
        <f t="shared" si="11"/>
        <v>100</v>
      </c>
      <c r="X31" s="1812"/>
      <c r="Y31" s="3284"/>
      <c r="Z31" s="1813">
        <f t="shared" si="12"/>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5" t="s">
        <v>2557</v>
      </c>
      <c r="Q32" s="1809">
        <f t="shared" si="8"/>
        <v>111</v>
      </c>
      <c r="R32" s="772" t="s">
        <v>17</v>
      </c>
      <c r="S32" s="773">
        <f t="shared" si="9"/>
        <v>100</v>
      </c>
      <c r="T32" s="772" t="s">
        <v>17</v>
      </c>
      <c r="U32" s="773">
        <f t="shared" si="10"/>
        <v>100</v>
      </c>
      <c r="V32" s="772" t="s">
        <v>17</v>
      </c>
      <c r="W32" s="773">
        <f t="shared" si="11"/>
        <v>100</v>
      </c>
      <c r="X32" s="1812"/>
      <c r="Y32" s="3286" t="s">
        <v>2557</v>
      </c>
      <c r="Z32" s="1813">
        <f t="shared" si="12"/>
        <v>111</v>
      </c>
      <c r="AA32" s="1810">
        <f t="shared" si="3"/>
        <v>1</v>
      </c>
      <c r="AB32" s="1810">
        <f t="shared" si="4"/>
        <v>1</v>
      </c>
      <c r="AC32" s="1810">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6"/>
      <c r="Q33" s="1809">
        <f t="shared" si="8"/>
        <v>111</v>
      </c>
      <c r="R33" s="775" t="s">
        <v>17</v>
      </c>
      <c r="S33" s="776">
        <f t="shared" si="9"/>
        <v>100</v>
      </c>
      <c r="T33" s="775" t="s">
        <v>17</v>
      </c>
      <c r="U33" s="776">
        <f t="shared" si="10"/>
        <v>100</v>
      </c>
      <c r="V33" s="775" t="s">
        <v>17</v>
      </c>
      <c r="W33" s="776">
        <f t="shared" si="11"/>
        <v>100</v>
      </c>
      <c r="X33" s="777"/>
      <c r="Y33" s="3286"/>
      <c r="Z33" s="778">
        <f t="shared" si="12"/>
        <v>111</v>
      </c>
      <c r="AA33" s="1810">
        <f t="shared" si="3"/>
        <v>1</v>
      </c>
      <c r="AB33" s="1810">
        <f t="shared" si="4"/>
        <v>1</v>
      </c>
      <c r="AC33" s="1810">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6"/>
      <c r="Q34" s="1809" t="str">
        <f>B34</f>
        <v>宗地面积</v>
      </c>
      <c r="R34" s="772" t="s">
        <v>17</v>
      </c>
      <c r="S34" s="773" t="e">
        <f t="shared" si="9"/>
        <v>#N/A</v>
      </c>
      <c r="T34" s="772" t="s">
        <v>17</v>
      </c>
      <c r="U34" s="773" t="e">
        <f t="shared" si="10"/>
        <v>#N/A</v>
      </c>
      <c r="V34" s="772" t="s">
        <v>17</v>
      </c>
      <c r="W34" s="773" t="e">
        <f t="shared" si="11"/>
        <v>#N/A</v>
      </c>
      <c r="X34" s="1812"/>
      <c r="Y34" s="3286"/>
      <c r="Z34" s="1813" t="str">
        <f t="shared" si="12"/>
        <v>宗地面积</v>
      </c>
      <c r="AA34" s="1810" t="e">
        <f t="shared" si="3"/>
        <v>#N/A</v>
      </c>
      <c r="AB34" s="1810" t="e">
        <f t="shared" si="4"/>
        <v>#N/A</v>
      </c>
      <c r="AC34" s="1810" t="e">
        <f t="shared" si="5"/>
        <v>#N/A</v>
      </c>
    </row>
    <row r="35" spans="1:29" ht="15">
      <c r="A35" s="471"/>
      <c r="B35" s="421" t="s">
        <v>2743</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9"/>
      <c r="M35" s="1130"/>
      <c r="N35" s="1130"/>
      <c r="O35" s="1138"/>
      <c r="P35" s="3286"/>
      <c r="Q35" s="1809" t="str">
        <f t="shared" ref="Q35:Q40" si="13">B35</f>
        <v>宗地形状</v>
      </c>
      <c r="R35" s="772" t="s">
        <v>17</v>
      </c>
      <c r="S35" s="773">
        <f t="shared" si="9"/>
        <v>100</v>
      </c>
      <c r="T35" s="772" t="s">
        <v>17</v>
      </c>
      <c r="U35" s="773">
        <f t="shared" si="10"/>
        <v>100</v>
      </c>
      <c r="V35" s="772" t="s">
        <v>17</v>
      </c>
      <c r="W35" s="773">
        <f t="shared" si="11"/>
        <v>100</v>
      </c>
      <c r="X35" s="1812"/>
      <c r="Y35" s="3286"/>
      <c r="Z35" s="1813" t="str">
        <f t="shared" si="12"/>
        <v>宗地形状</v>
      </c>
      <c r="AA35" s="1810">
        <f t="shared" si="3"/>
        <v>1</v>
      </c>
      <c r="AB35" s="1810">
        <f t="shared" si="4"/>
        <v>1</v>
      </c>
      <c r="AC35" s="1810">
        <f t="shared" si="5"/>
        <v>1</v>
      </c>
    </row>
    <row r="36" spans="1:29" s="117" customFormat="1" ht="15">
      <c r="A36" s="472"/>
      <c r="B36" s="421" t="s">
        <v>2745</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86"/>
      <c r="Q36" s="1809" t="str">
        <f t="shared" si="13"/>
        <v>宗地开发程度</v>
      </c>
      <c r="R36" s="768" t="s">
        <v>17</v>
      </c>
      <c r="S36" s="769">
        <f t="shared" si="9"/>
        <v>100</v>
      </c>
      <c r="T36" s="768" t="s">
        <v>17</v>
      </c>
      <c r="U36" s="769">
        <f t="shared" si="10"/>
        <v>100</v>
      </c>
      <c r="V36" s="768" t="s">
        <v>17</v>
      </c>
      <c r="W36" s="769">
        <f t="shared" si="11"/>
        <v>100</v>
      </c>
      <c r="X36" s="770"/>
      <c r="Y36" s="3286"/>
      <c r="Z36" s="55" t="str">
        <f t="shared" si="12"/>
        <v>宗地开发程度</v>
      </c>
      <c r="AA36" s="771">
        <f t="shared" si="3"/>
        <v>1</v>
      </c>
      <c r="AB36" s="771">
        <f t="shared" si="4"/>
        <v>1</v>
      </c>
      <c r="AC36" s="771">
        <f t="shared" si="5"/>
        <v>1</v>
      </c>
    </row>
    <row r="37" spans="1:29" ht="15">
      <c r="A37" s="471"/>
      <c r="B37" s="421" t="s">
        <v>2746</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9"/>
      <c r="M37" s="1130"/>
      <c r="N37" s="1130"/>
      <c r="O37" s="1138"/>
      <c r="P37" s="3286" t="s">
        <v>2557</v>
      </c>
      <c r="Q37" s="1809" t="str">
        <f t="shared" si="13"/>
        <v>工程地质条件</v>
      </c>
      <c r="R37" s="772" t="s">
        <v>17</v>
      </c>
      <c r="S37" s="773">
        <f t="shared" si="9"/>
        <v>100</v>
      </c>
      <c r="T37" s="772" t="s">
        <v>17</v>
      </c>
      <c r="U37" s="773">
        <f t="shared" si="10"/>
        <v>100</v>
      </c>
      <c r="V37" s="772" t="s">
        <v>17</v>
      </c>
      <c r="W37" s="773">
        <f t="shared" si="11"/>
        <v>100</v>
      </c>
      <c r="X37" s="1812"/>
      <c r="Y37" s="3286" t="s">
        <v>2557</v>
      </c>
      <c r="Z37" s="1813" t="str">
        <f t="shared" si="12"/>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6"/>
      <c r="Q38" s="1809">
        <f t="shared" si="13"/>
        <v>111</v>
      </c>
      <c r="R38" s="772" t="s">
        <v>17</v>
      </c>
      <c r="S38" s="773">
        <f t="shared" si="9"/>
        <v>100</v>
      </c>
      <c r="T38" s="772" t="s">
        <v>17</v>
      </c>
      <c r="U38" s="773">
        <f t="shared" si="10"/>
        <v>100</v>
      </c>
      <c r="V38" s="772" t="s">
        <v>17</v>
      </c>
      <c r="W38" s="773">
        <f t="shared" si="11"/>
        <v>100</v>
      </c>
      <c r="X38" s="1812"/>
      <c r="Y38" s="3286"/>
      <c r="Z38" s="1813">
        <f t="shared" si="12"/>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6"/>
      <c r="Q39" s="1809">
        <f t="shared" si="13"/>
        <v>111</v>
      </c>
      <c r="R39" s="772" t="s">
        <v>17</v>
      </c>
      <c r="S39" s="773">
        <f t="shared" si="9"/>
        <v>100</v>
      </c>
      <c r="T39" s="772" t="s">
        <v>17</v>
      </c>
      <c r="U39" s="773">
        <f t="shared" si="10"/>
        <v>100</v>
      </c>
      <c r="V39" s="772" t="s">
        <v>17</v>
      </c>
      <c r="W39" s="773">
        <f t="shared" si="11"/>
        <v>100</v>
      </c>
      <c r="X39" s="1812"/>
      <c r="Y39" s="3286"/>
      <c r="Z39" s="1813">
        <f t="shared" si="12"/>
        <v>111</v>
      </c>
      <c r="AA39" s="1810">
        <f t="shared" si="3"/>
        <v>1</v>
      </c>
      <c r="AB39" s="1810">
        <f t="shared" si="4"/>
        <v>1</v>
      </c>
      <c r="AC39" s="1810">
        <f t="shared" si="5"/>
        <v>1</v>
      </c>
    </row>
    <row r="40" spans="1:29" s="470" customFormat="1" ht="15.75" thickBot="1">
      <c r="A40" s="467"/>
      <c r="B40" s="1386">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6"/>
      <c r="Q40" s="1809">
        <f t="shared" si="13"/>
        <v>111</v>
      </c>
      <c r="R40" s="775" t="s">
        <v>17</v>
      </c>
      <c r="S40" s="776">
        <f t="shared" si="9"/>
        <v>100</v>
      </c>
      <c r="T40" s="775" t="s">
        <v>17</v>
      </c>
      <c r="U40" s="776">
        <f t="shared" si="10"/>
        <v>100</v>
      </c>
      <c r="V40" s="775" t="s">
        <v>17</v>
      </c>
      <c r="W40" s="776">
        <f t="shared" si="11"/>
        <v>100</v>
      </c>
      <c r="X40" s="777"/>
      <c r="Y40" s="3286"/>
      <c r="Z40" s="778">
        <f t="shared" si="12"/>
        <v>111</v>
      </c>
      <c r="AA40" s="1810">
        <f t="shared" si="3"/>
        <v>1</v>
      </c>
      <c r="AB40" s="1810">
        <f t="shared" si="4"/>
        <v>1</v>
      </c>
      <c r="AC40" s="1810">
        <f t="shared" si="5"/>
        <v>1</v>
      </c>
    </row>
    <row r="41" spans="1:29" ht="15">
      <c r="A41" s="478" t="s">
        <v>2712</v>
      </c>
      <c r="B41" s="2700" t="s">
        <v>2791</v>
      </c>
      <c r="C41" s="681" t="s">
        <v>1</v>
      </c>
      <c r="D41" s="480"/>
      <c r="E41" s="481"/>
      <c r="F41" s="482"/>
      <c r="G41" s="483"/>
      <c r="H41" s="484"/>
      <c r="I41" s="481"/>
      <c r="J41" s="484"/>
      <c r="K41" s="781"/>
      <c r="L41" s="1142"/>
      <c r="M41" s="1130"/>
      <c r="N41" s="1130"/>
      <c r="O41" s="1143"/>
      <c r="P41" s="3268" t="str">
        <f>A41</f>
        <v>成交单价</v>
      </c>
      <c r="Q41" s="3268"/>
      <c r="R41" s="3281">
        <f>E41</f>
        <v>0</v>
      </c>
      <c r="S41" s="3281"/>
      <c r="T41" s="3281">
        <f>G41</f>
        <v>0</v>
      </c>
      <c r="U41" s="3281"/>
      <c r="V41" s="3281">
        <f>I41</f>
        <v>0</v>
      </c>
      <c r="W41" s="3281"/>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42"/>
      <c r="M42" s="1130"/>
      <c r="N42" s="1130"/>
      <c r="O42" s="1143"/>
      <c r="P42" s="3268" t="str">
        <f>A42</f>
        <v>比较价值（元/平方米）</v>
      </c>
      <c r="Q42" s="3268"/>
      <c r="R42" s="3287" t="e">
        <f>ROUND(PRODUCT(R41,AA7:AA40),0)</f>
        <v>#DIV/0!</v>
      </c>
      <c r="S42" s="3287"/>
      <c r="T42" s="3287" t="e">
        <f>ROUND(PRODUCT(T41,AB7:AB40),0)</f>
        <v>#DIV/0!</v>
      </c>
      <c r="U42" s="3287"/>
      <c r="V42" s="3287" t="e">
        <f>ROUND(PRODUCT(V41,AC7:AC40),0)</f>
        <v>#DIV/0!</v>
      </c>
      <c r="W42" s="3287"/>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2"/>
      <c r="M43" s="1130"/>
      <c r="N43" s="1130"/>
      <c r="O43" s="1143"/>
      <c r="P43" s="3288" t="str">
        <f>A43</f>
        <v>估价对象XX用房的比较价值（楼面单价，元/平方米）</v>
      </c>
      <c r="Q43" s="3289"/>
      <c r="R43" s="3290" t="e">
        <f>ROUND(AVERAGE(R42:V42),0)</f>
        <v>#DIV/0!</v>
      </c>
      <c r="S43" s="3290"/>
      <c r="T43" s="3290"/>
      <c r="U43" s="3290"/>
      <c r="V43" s="3290"/>
      <c r="W43" s="3290"/>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0"/>
      <c r="D49" s="758"/>
      <c r="E49" s="758"/>
      <c r="F49" s="758"/>
      <c r="G49" s="758"/>
      <c r="H49" s="758"/>
      <c r="I49" s="758"/>
      <c r="J49" s="758"/>
      <c r="K49" s="1147"/>
      <c r="L49" s="1148"/>
      <c r="M49" s="1144"/>
      <c r="N49" s="1144"/>
      <c r="O49" s="1144"/>
    </row>
    <row r="50" spans="1:17" ht="27">
      <c r="A50" s="683" t="s">
        <v>2749</v>
      </c>
      <c r="B50" s="684" t="s">
        <v>2750</v>
      </c>
      <c r="C50" s="2701" t="s">
        <v>2751</v>
      </c>
      <c r="D50" s="2702" t="s">
        <v>2752</v>
      </c>
      <c r="E50" s="685" t="s">
        <v>2753</v>
      </c>
      <c r="F50" s="686" t="s">
        <v>2754</v>
      </c>
      <c r="G50" s="3269" t="s">
        <v>2755</v>
      </c>
      <c r="H50" s="3291"/>
      <c r="I50" s="1813" t="s">
        <v>2792</v>
      </c>
      <c r="J50" s="1813" t="str">
        <f>项目基本情况!F35</f>
        <v>广东省</v>
      </c>
      <c r="K50" s="2704" t="s">
        <v>2757</v>
      </c>
      <c r="L50" s="1105"/>
      <c r="M50" s="1143"/>
      <c r="N50" s="1143"/>
      <c r="O50" s="1143"/>
    </row>
    <row r="51" spans="1:17" s="691" customFormat="1">
      <c r="A51" s="687" t="s">
        <v>2758</v>
      </c>
      <c r="B51" s="688" t="e">
        <f>C43</f>
        <v>#DIV/0!</v>
      </c>
      <c r="C51" s="689">
        <v>1</v>
      </c>
      <c r="D51" s="1162">
        <v>1</v>
      </c>
      <c r="E51" s="689">
        <f>'数据-汇总表'!E8+'数据-汇总表'!E9</f>
        <v>73865.87</v>
      </c>
      <c r="F51" s="690" t="e">
        <f t="shared" ref="F51:F60" si="14">ROUND(B51*E51/10000,0)</f>
        <v>#DIV/0!</v>
      </c>
      <c r="G51" s="3292"/>
      <c r="H51" s="3268"/>
      <c r="I51" s="941">
        <v>1</v>
      </c>
      <c r="J51" s="941">
        <v>1</v>
      </c>
      <c r="K51" s="1144"/>
      <c r="L51" s="940"/>
      <c r="M51" s="940"/>
      <c r="N51" s="940"/>
      <c r="O51" s="940"/>
    </row>
    <row r="52" spans="1:17" s="691" customFormat="1">
      <c r="A52" s="692" t="s">
        <v>2759</v>
      </c>
      <c r="B52" s="261" t="e">
        <f>ROUND($C$43*C52*D52,0)</f>
        <v>#DIV/0!</v>
      </c>
      <c r="C52" s="199">
        <f t="shared" ref="C52:C60" si="15">IF($C$50="北京市系数",I52,J52)</f>
        <v>0</v>
      </c>
      <c r="D52" s="1163">
        <v>0.25</v>
      </c>
      <c r="E52" s="693"/>
      <c r="F52" s="690" t="e">
        <f t="shared" si="14"/>
        <v>#DIV/0!</v>
      </c>
      <c r="G52" s="3293" t="s">
        <v>2760</v>
      </c>
      <c r="H52" s="1103">
        <f>项目基本情况!B37</f>
        <v>0</v>
      </c>
      <c r="I52" s="941">
        <f>SUMIF(修正!A45:A56,H52,修正!B45:B56)</f>
        <v>0</v>
      </c>
      <c r="J52" s="942"/>
      <c r="K52" s="1143"/>
      <c r="L52" s="940"/>
      <c r="M52" s="940"/>
      <c r="N52" s="940"/>
      <c r="O52" s="940"/>
    </row>
    <row r="53" spans="1:17" s="691" customFormat="1">
      <c r="A53" s="692" t="s">
        <v>2761</v>
      </c>
      <c r="B53" s="261" t="e">
        <f t="shared" ref="B53:B60" si="16">ROUND($C$43*C53*D53,0)</f>
        <v>#DIV/0!</v>
      </c>
      <c r="C53" s="199">
        <f t="shared" si="15"/>
        <v>0</v>
      </c>
      <c r="D53" s="1163">
        <v>0.25</v>
      </c>
      <c r="E53" s="693"/>
      <c r="F53" s="690" t="e">
        <f t="shared" si="14"/>
        <v>#DIV/0!</v>
      </c>
      <c r="G53" s="3293"/>
      <c r="H53" s="1103">
        <f>项目基本情况!B37</f>
        <v>0</v>
      </c>
      <c r="I53" s="941">
        <f>SUMIF(修正!A45:A56,H53,修正!C45:C56)</f>
        <v>0</v>
      </c>
      <c r="J53" s="942"/>
      <c r="K53" s="1144"/>
      <c r="L53" s="940"/>
      <c r="M53" s="940"/>
      <c r="N53" s="940"/>
      <c r="O53" s="940"/>
    </row>
    <row r="54" spans="1:17" s="691" customFormat="1">
      <c r="A54" s="692" t="s">
        <v>2762</v>
      </c>
      <c r="B54" s="261" t="e">
        <f t="shared" si="16"/>
        <v>#DIV/0!</v>
      </c>
      <c r="C54" s="199">
        <f t="shared" si="15"/>
        <v>0</v>
      </c>
      <c r="D54" s="1163">
        <v>0.25</v>
      </c>
      <c r="E54" s="693"/>
      <c r="F54" s="690" t="e">
        <f t="shared" si="14"/>
        <v>#DIV/0!</v>
      </c>
      <c r="G54" s="3293"/>
      <c r="H54" s="1103">
        <f>项目基本情况!B37</f>
        <v>0</v>
      </c>
      <c r="I54" s="941">
        <f>SUMIF(修正!A45:A56,H54,修正!D45:D56)</f>
        <v>0</v>
      </c>
      <c r="J54" s="942"/>
      <c r="K54" s="1143"/>
      <c r="L54" s="940"/>
      <c r="M54" s="940"/>
      <c r="N54" s="940"/>
      <c r="O54" s="940"/>
    </row>
    <row r="55" spans="1:17" s="691" customFormat="1">
      <c r="A55" s="692" t="s">
        <v>2763</v>
      </c>
      <c r="B55" s="261" t="e">
        <f t="shared" si="16"/>
        <v>#DIV/0!</v>
      </c>
      <c r="C55" s="199">
        <f t="shared" si="15"/>
        <v>0</v>
      </c>
      <c r="D55" s="1163">
        <v>0.25</v>
      </c>
      <c r="E55" s="693"/>
      <c r="F55" s="690" t="e">
        <f t="shared" si="14"/>
        <v>#DIV/0!</v>
      </c>
      <c r="G55" s="3293"/>
      <c r="H55" s="1103">
        <f>项目基本情况!B37</f>
        <v>0</v>
      </c>
      <c r="I55" s="941">
        <f>SUMIF(修正!A45:A56,H55,修正!E45:E56)</f>
        <v>0</v>
      </c>
      <c r="J55" s="942"/>
      <c r="K55" s="1144"/>
      <c r="L55" s="940"/>
      <c r="M55" s="940"/>
      <c r="N55" s="940"/>
      <c r="O55" s="940"/>
    </row>
    <row r="56" spans="1:17" s="691" customFormat="1">
      <c r="A56" s="692" t="s">
        <v>2764</v>
      </c>
      <c r="B56" s="261" t="e">
        <f t="shared" si="16"/>
        <v>#DIV/0!</v>
      </c>
      <c r="C56" s="199">
        <f t="shared" si="15"/>
        <v>0</v>
      </c>
      <c r="D56" s="1163">
        <v>0.25</v>
      </c>
      <c r="E56" s="260">
        <f>'数据-汇总表'!E11</f>
        <v>0</v>
      </c>
      <c r="F56" s="690" t="e">
        <f t="shared" si="14"/>
        <v>#DIV/0!</v>
      </c>
      <c r="G56" s="2705" t="s">
        <v>2765</v>
      </c>
      <c r="H56" s="1103">
        <f>项目基本情况!C37</f>
        <v>0</v>
      </c>
      <c r="I56" s="941">
        <f>SUMIF(修正!A45:A56,H56,修正!F45:F56)</f>
        <v>0</v>
      </c>
      <c r="J56" s="942"/>
      <c r="K56" s="1143"/>
      <c r="L56" s="940"/>
      <c r="M56" s="940"/>
      <c r="N56" s="940"/>
      <c r="O56" s="940"/>
    </row>
    <row r="57" spans="1:17" s="691" customFormat="1">
      <c r="A57" s="692" t="s">
        <v>2766</v>
      </c>
      <c r="B57" s="261" t="e">
        <f t="shared" si="16"/>
        <v>#DIV/0!</v>
      </c>
      <c r="C57" s="199">
        <f t="shared" si="15"/>
        <v>0</v>
      </c>
      <c r="D57" s="1163">
        <v>0.25</v>
      </c>
      <c r="E57" s="260">
        <f>'数据-汇总表'!E12</f>
        <v>0</v>
      </c>
      <c r="F57" s="690" t="e">
        <f t="shared" si="14"/>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2768</v>
      </c>
      <c r="B58" s="261" t="e">
        <f t="shared" si="16"/>
        <v>#DIV/0!</v>
      </c>
      <c r="C58" s="199">
        <f t="shared" si="15"/>
        <v>0</v>
      </c>
      <c r="D58" s="1163">
        <v>0.25</v>
      </c>
      <c r="E58" s="260">
        <f>'数据-汇总表'!E13</f>
        <v>0</v>
      </c>
      <c r="F58" s="690" t="e">
        <f t="shared" si="14"/>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2770</v>
      </c>
      <c r="B59" s="261" t="e">
        <f t="shared" si="16"/>
        <v>#DIV/0!</v>
      </c>
      <c r="C59" s="199">
        <f t="shared" si="15"/>
        <v>0</v>
      </c>
      <c r="D59" s="1163">
        <v>0.25</v>
      </c>
      <c r="E59" s="260">
        <f>'数据-汇总表'!E14</f>
        <v>0</v>
      </c>
      <c r="F59" s="690" t="e">
        <f t="shared" si="14"/>
        <v>#DIV/0!</v>
      </c>
      <c r="G59" s="2705" t="s">
        <v>2760</v>
      </c>
      <c r="H59" s="1103">
        <f>项目基本情况!B37</f>
        <v>0</v>
      </c>
      <c r="I59" s="941">
        <f>SUMIF(修正!A45:A56,H59,修正!H45:H56)</f>
        <v>0</v>
      </c>
      <c r="J59" s="942"/>
      <c r="K59" s="1144"/>
      <c r="L59" s="940"/>
      <c r="M59" s="940"/>
      <c r="N59" s="940"/>
      <c r="O59" s="940"/>
    </row>
    <row r="60" spans="1:17" s="691" customFormat="1" ht="15" thickBot="1">
      <c r="A60" s="692" t="s">
        <v>2771</v>
      </c>
      <c r="B60" s="261" t="e">
        <f t="shared" si="16"/>
        <v>#DIV/0!</v>
      </c>
      <c r="C60" s="199">
        <f t="shared" si="15"/>
        <v>0</v>
      </c>
      <c r="D60" s="1163">
        <v>0.25</v>
      </c>
      <c r="E60" s="260">
        <f>'数据-汇总表'!E15</f>
        <v>0</v>
      </c>
      <c r="F60" s="690" t="e">
        <f t="shared" si="14"/>
        <v>#DIV/0!</v>
      </c>
      <c r="G60" s="2706" t="s">
        <v>2765</v>
      </c>
      <c r="H60" s="1113">
        <f>项目基本情况!C37</f>
        <v>0</v>
      </c>
      <c r="I60" s="941">
        <f>SUMIF(修正!A45:A56,H60,修正!H45:H56)</f>
        <v>0</v>
      </c>
      <c r="J60" s="942"/>
      <c r="K60" s="1143"/>
      <c r="L60" s="940"/>
      <c r="M60" s="940"/>
      <c r="N60" s="940"/>
      <c r="O60" s="940"/>
    </row>
    <row r="61" spans="1:17" s="691" customFormat="1" ht="15" thickBot="1">
      <c r="A61" s="694" t="s">
        <v>2772</v>
      </c>
      <c r="B61" s="695" t="s">
        <v>28</v>
      </c>
      <c r="C61" s="695" t="s">
        <v>29</v>
      </c>
      <c r="D61" s="695" t="s">
        <v>1029</v>
      </c>
      <c r="E61" s="695">
        <f>IF(B41="楼面地价",SUM(E51:E60),'数据-汇总表'!D3)</f>
        <v>11089.73</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2018-8-1</v>
      </c>
      <c r="D63" s="759">
        <f>EDATE(C63,-3)</f>
        <v>43221</v>
      </c>
      <c r="E63" s="759">
        <f>EDATE(D63,-3)</f>
        <v>43132</v>
      </c>
      <c r="F63" s="759">
        <f t="shared" ref="F63:O63" si="17">EDATE(E63,-3)</f>
        <v>43040</v>
      </c>
      <c r="G63" s="759">
        <f t="shared" si="17"/>
        <v>42948</v>
      </c>
      <c r="H63" s="759">
        <f t="shared" si="17"/>
        <v>42856</v>
      </c>
      <c r="I63" s="759">
        <f t="shared" si="17"/>
        <v>42767</v>
      </c>
      <c r="J63" s="759">
        <f t="shared" si="17"/>
        <v>42675</v>
      </c>
      <c r="K63" s="759">
        <f t="shared" si="17"/>
        <v>42583</v>
      </c>
      <c r="L63" s="759">
        <f t="shared" si="17"/>
        <v>42491</v>
      </c>
      <c r="M63" s="759">
        <f t="shared" si="17"/>
        <v>42401</v>
      </c>
      <c r="N63" s="759">
        <f t="shared" si="17"/>
        <v>42309</v>
      </c>
      <c r="O63" s="759">
        <f t="shared" si="17"/>
        <v>42217</v>
      </c>
    </row>
    <row r="64" spans="1:17" ht="21.75" thickBot="1">
      <c r="A64" s="761" t="s">
        <v>2666</v>
      </c>
      <c r="B64" s="757"/>
      <c r="C64" s="762"/>
      <c r="D64" s="762"/>
      <c r="E64" s="762"/>
      <c r="F64" s="763"/>
      <c r="G64" s="763"/>
      <c r="H64" s="762"/>
      <c r="I64" s="762"/>
      <c r="J64" s="762"/>
      <c r="K64" s="764"/>
      <c r="L64" s="765"/>
      <c r="M64" s="762"/>
      <c r="N64" s="762"/>
      <c r="O64" s="1158"/>
      <c r="P64" s="502"/>
      <c r="Q64" s="503"/>
    </row>
    <row r="65" spans="1:17" s="507" customFormat="1" ht="15">
      <c r="A65" s="2707" t="s">
        <v>2773</v>
      </c>
      <c r="B65" s="1358"/>
      <c r="C65" s="1571" t="str">
        <f>YEAR(C63)&amp;"-"&amp;ROUNDUP(MONTH(C63)/3,0)</f>
        <v>2018-3</v>
      </c>
      <c r="D65" s="1571" t="str">
        <f t="shared" ref="D65:O65" si="18">YEAR(D63)&amp;"-"&amp;ROUNDUP(MONTH(D63)/3,0)</f>
        <v>2018-2</v>
      </c>
      <c r="E65" s="1571" t="str">
        <f t="shared" si="18"/>
        <v>2018-1</v>
      </c>
      <c r="F65" s="1571" t="str">
        <f t="shared" si="18"/>
        <v>2017-4</v>
      </c>
      <c r="G65" s="1571" t="str">
        <f t="shared" si="18"/>
        <v>2017-3</v>
      </c>
      <c r="H65" s="1571" t="str">
        <f t="shared" si="18"/>
        <v>2017-2</v>
      </c>
      <c r="I65" s="1571" t="str">
        <f t="shared" si="18"/>
        <v>2017-1</v>
      </c>
      <c r="J65" s="1571" t="str">
        <f t="shared" si="18"/>
        <v>2016-4</v>
      </c>
      <c r="K65" s="1571" t="str">
        <f t="shared" si="18"/>
        <v>2016-3</v>
      </c>
      <c r="L65" s="1571" t="str">
        <f t="shared" si="18"/>
        <v>2016-2</v>
      </c>
      <c r="M65" s="1571" t="str">
        <f t="shared" si="18"/>
        <v>2016-1</v>
      </c>
      <c r="N65" s="1571" t="str">
        <f t="shared" si="18"/>
        <v>2015-4</v>
      </c>
      <c r="O65" s="1571" t="str">
        <f t="shared" si="18"/>
        <v>2015-3</v>
      </c>
      <c r="P65" s="506"/>
    </row>
    <row r="66" spans="1:17" s="117" customFormat="1" ht="30.75" customHeight="1">
      <c r="A66" s="2712" t="s">
        <v>2793</v>
      </c>
      <c r="B66" s="331" t="str">
        <f>"北京市平均增长率"&amp;TEXT(基准地价修正!P24,"0.00%")</f>
        <v>北京市平均增长率1.41%</v>
      </c>
      <c r="C66" s="602">
        <v>100</v>
      </c>
      <c r="D66" s="594"/>
      <c r="E66" s="594"/>
      <c r="F66" s="594"/>
      <c r="G66" s="594"/>
      <c r="H66" s="594"/>
      <c r="I66" s="594"/>
      <c r="J66" s="594"/>
      <c r="K66" s="594"/>
      <c r="L66" s="594"/>
      <c r="M66" s="1566"/>
      <c r="N66" s="1566"/>
      <c r="O66" s="1568"/>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2580</v>
      </c>
      <c r="B70" s="527" t="s">
        <v>2546</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2549</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2550</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2776</v>
      </c>
      <c r="C87" s="572" t="s">
        <v>2589</v>
      </c>
      <c r="D87" s="572" t="s">
        <v>2590</v>
      </c>
      <c r="E87" s="572" t="s">
        <v>2591</v>
      </c>
      <c r="F87" s="572" t="s">
        <v>2592</v>
      </c>
      <c r="G87" s="572" t="s">
        <v>2593</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2777</v>
      </c>
      <c r="C89" s="572" t="s">
        <v>2589</v>
      </c>
      <c r="D89" s="572" t="s">
        <v>2590</v>
      </c>
      <c r="E89" s="572" t="s">
        <v>2591</v>
      </c>
      <c r="F89" s="572" t="s">
        <v>2592</v>
      </c>
      <c r="G89" s="572" t="s">
        <v>2593</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2794</v>
      </c>
      <c r="C93" s="659" t="s">
        <v>2667</v>
      </c>
      <c r="D93" s="659" t="s">
        <v>2668</v>
      </c>
      <c r="E93" s="659" t="s">
        <v>2669</v>
      </c>
      <c r="F93" s="659" t="s">
        <v>2670</v>
      </c>
      <c r="G93" s="659" t="s">
        <v>2671</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1"/>
      <c r="O95" s="1151"/>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2"/>
      <c r="O96" s="1152"/>
      <c r="P96" s="45"/>
      <c r="Q96" s="503"/>
    </row>
    <row r="97" spans="1:17" ht="27.75" thickTop="1">
      <c r="A97" s="533"/>
      <c r="B97" s="537" t="s">
        <v>2683</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2"/>
      <c r="O98" s="1152"/>
      <c r="P98" s="45"/>
      <c r="Q98" s="503"/>
    </row>
    <row r="99" spans="1:17" ht="15.75" thickTop="1">
      <c r="A99" s="533"/>
      <c r="B99" s="537" t="s">
        <v>2741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2555</v>
      </c>
      <c r="B107" s="527" t="s">
        <v>2782</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5" t="str">
        <f t="shared" si="24"/>
        <v>(含)-</v>
      </c>
      <c r="L107" s="1765" t="str">
        <f t="shared" si="24"/>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2"/>
      <c r="O111" s="1152"/>
      <c r="P111" s="45"/>
      <c r="Q111" s="503"/>
    </row>
    <row r="112" spans="1:17" s="470" customFormat="1" ht="15" thickTop="1">
      <c r="A112" s="592"/>
      <c r="B112" s="537" t="s">
        <v>2785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3"/>
      <c r="O113" s="1153"/>
      <c r="P113" s="557"/>
      <c r="Q113" s="558"/>
    </row>
    <row r="114" spans="1:17" ht="15" thickTop="1">
      <c r="A114" s="598"/>
      <c r="B114" s="537" t="s">
        <v>2786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39" t="s">
        <v>2795</v>
      </c>
      <c r="B1" s="240"/>
      <c r="C1" s="244" t="s">
        <v>2796</v>
      </c>
      <c r="D1" s="387">
        <f>SUM(D29:D30,D33:D39)</f>
        <v>0</v>
      </c>
      <c r="E1" s="2713"/>
      <c r="F1" s="2713"/>
      <c r="G1" s="2713"/>
      <c r="H1" s="2713"/>
      <c r="I1" s="2713"/>
      <c r="J1" s="2713"/>
      <c r="K1" s="1369"/>
      <c r="L1" s="2714" t="s">
        <v>2797</v>
      </c>
      <c r="M1" s="1079">
        <f>SUMPRODUCT((区片价!B5:B9=I2)*(区片价!C3:F3=E2)*(区片价!C5:F9))</f>
        <v>0</v>
      </c>
      <c r="N1" s="1082">
        <f>SUMPRODUCT((因素修正幅度!B5:B9=I2)*(因素修正幅度!C3:F3=E2)*(因素修正幅度!C5:F9))</f>
        <v>0</v>
      </c>
      <c r="O1" s="2715"/>
      <c r="P1" s="2715"/>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4" t="s">
        <v>2803</v>
      </c>
      <c r="B2" s="247"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69"/>
      <c r="L2" s="2722"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2809</v>
      </c>
      <c r="B3" s="247" t="e">
        <f>ROUND(B2*10000/D1,0)</f>
        <v>#DIV/0!</v>
      </c>
      <c r="C3" s="2717" t="s">
        <v>2810</v>
      </c>
      <c r="D3" s="2718" t="s">
        <v>2811</v>
      </c>
      <c r="E3" s="2723"/>
      <c r="F3" s="2724" t="s">
        <v>2812</v>
      </c>
      <c r="G3" s="912">
        <f>IF(F3="宗地容积率",'数据-汇总表'!I4,IF(F3="估价对象容积率",'数据-汇总表'!I6,'数据-汇总表'!I7))</f>
        <v>5.1100000000000003</v>
      </c>
      <c r="H3" s="197" t="s">
        <v>2813</v>
      </c>
      <c r="I3" s="943"/>
      <c r="J3" s="2721" t="s">
        <v>2814</v>
      </c>
      <c r="K3" s="1369"/>
      <c r="L3" s="2722" t="s">
        <v>2815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4"/>
      <c r="B4" s="3365"/>
      <c r="C4" s="3365"/>
      <c r="D4" s="3366"/>
      <c r="E4" s="3366"/>
      <c r="F4" s="3366"/>
      <c r="G4" s="3366"/>
      <c r="H4" s="3366"/>
      <c r="I4" s="3366"/>
      <c r="J4" s="3367"/>
      <c r="K4" s="1369"/>
      <c r="L4" s="2722" t="s">
        <v>2816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2817</v>
      </c>
      <c r="C5" s="913" t="e">
        <f>ROUND(IF(E2="商业",IF(F16="增加",C6*C7+C16,C6*C7-C16),IF(E2="住宅",IF(F16="增加",C6*C12+C16,C6*C12-C16),IF(F16="增加",C6+C16,C6-C16))),0)</f>
        <v>#DIV/0!</v>
      </c>
      <c r="D5" s="1786">
        <f>ROUND(IF(E2="商业",IF(F16="增加",C6+C16,C6-C16)),0)</f>
        <v>0</v>
      </c>
      <c r="E5" s="2727"/>
      <c r="F5" s="2727"/>
      <c r="G5" s="2728"/>
      <c r="H5" s="2728"/>
      <c r="I5" s="2728"/>
      <c r="J5" s="2729"/>
      <c r="K5" s="2730"/>
      <c r="L5" s="2722" t="s">
        <v>2818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2819</v>
      </c>
      <c r="B6" s="2736" t="s">
        <v>2820</v>
      </c>
      <c r="C6" s="914">
        <f>SUMIF(L1:L12,G2,M1:M12)</f>
        <v>0</v>
      </c>
      <c r="D6" s="2737" t="s">
        <v>2821</v>
      </c>
      <c r="E6" s="2738"/>
      <c r="F6" s="2738"/>
      <c r="G6" s="2739"/>
      <c r="H6" s="2739"/>
      <c r="I6" s="2739"/>
      <c r="J6" s="2740"/>
      <c r="K6" s="1841"/>
      <c r="L6" s="2722" t="s">
        <v>2822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50" t="str">
        <f>IF(E2="商业",IF(C8="不临58条商业街","",2),"")</f>
        <v/>
      </c>
      <c r="B7" s="2741" t="s">
        <v>2823</v>
      </c>
      <c r="C7" s="915" t="e">
        <f>IF(C8="不临58条商业街",1,ROUND(1+(1.6*E8+1.2*E9+0.8*E10+0.4*E11)*C9,4))</f>
        <v>#DIV/0!</v>
      </c>
      <c r="D7" s="2742" t="s">
        <v>2824</v>
      </c>
      <c r="E7" s="944"/>
      <c r="F7" s="2743"/>
      <c r="G7" s="2744"/>
      <c r="H7" s="2744"/>
      <c r="I7" s="2744"/>
      <c r="J7" s="2745"/>
      <c r="K7" s="1841"/>
      <c r="L7" s="2722" t="s">
        <v>2825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5.1100000000000003</v>
      </c>
      <c r="AA7" s="1605"/>
      <c r="AB7" s="1605"/>
      <c r="AC7" s="1606"/>
      <c r="AD7" s="1607"/>
      <c r="AE7" s="1607"/>
      <c r="AF7" s="1607"/>
      <c r="AG7" s="1607"/>
      <c r="AH7" s="1607"/>
      <c r="AI7" s="1607"/>
      <c r="AJ7" s="1608"/>
    </row>
    <row r="8" spans="1:36" ht="15">
      <c r="A8" s="3351"/>
      <c r="B8" s="197" t="s">
        <v>2828</v>
      </c>
      <c r="C8" s="2746"/>
      <c r="D8" s="916" t="s">
        <v>139</v>
      </c>
      <c r="E8" s="917" t="e">
        <f>ROUND(C11/E7,4)</f>
        <v>#DIV/0!</v>
      </c>
      <c r="F8" s="2747" t="s">
        <v>2829</v>
      </c>
      <c r="G8" s="2748"/>
      <c r="H8" s="2748"/>
      <c r="I8" s="2748"/>
      <c r="J8" s="2749"/>
      <c r="K8" s="1369"/>
      <c r="L8" s="2722" t="s">
        <v>2830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61" t="s">
        <v>2831</v>
      </c>
      <c r="X8" s="3362"/>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351"/>
      <c r="B9" s="197" t="s">
        <v>2844</v>
      </c>
      <c r="C9" s="918">
        <f>SUMIF(修正!C59:C119,C8,修正!E59:E119)</f>
        <v>0</v>
      </c>
      <c r="D9" s="199" t="s">
        <v>140</v>
      </c>
      <c r="E9" s="199" t="e">
        <f>ROUND(C11/E7,4)</f>
        <v>#DIV/0!</v>
      </c>
      <c r="F9" s="2747" t="s">
        <v>2845</v>
      </c>
      <c r="G9" s="2748"/>
      <c r="H9" s="2748"/>
      <c r="I9" s="2748"/>
      <c r="J9" s="2749"/>
      <c r="K9" s="1369"/>
      <c r="L9" s="2722" t="s">
        <v>2846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63"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1"/>
      <c r="B10" s="197" t="s">
        <v>2849</v>
      </c>
      <c r="C10" s="199">
        <f>SUMIF(修正!C59:C119,C8,修正!F59:F119)</f>
        <v>0</v>
      </c>
      <c r="D10" s="199" t="s">
        <v>141</v>
      </c>
      <c r="E10" s="199" t="e">
        <f>ROUND(C11/E7,4)</f>
        <v>#DIV/0!</v>
      </c>
      <c r="F10" s="2747" t="s">
        <v>2850</v>
      </c>
      <c r="G10" s="2748"/>
      <c r="H10" s="2748"/>
      <c r="I10" s="2748"/>
      <c r="J10" s="2749"/>
      <c r="K10" s="1369"/>
      <c r="L10" s="2722" t="s">
        <v>2851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1"/>
      <c r="B11" s="2750" t="s">
        <v>2852</v>
      </c>
      <c r="C11" s="919">
        <f>C10/4</f>
        <v>0</v>
      </c>
      <c r="D11" s="919" t="s">
        <v>142</v>
      </c>
      <c r="E11" s="919" t="e">
        <f>ROUND(C11/E7,4)</f>
        <v>#DIV/0!</v>
      </c>
      <c r="F11" s="2751" t="s">
        <v>2853</v>
      </c>
      <c r="G11" s="2752"/>
      <c r="H11" s="2752"/>
      <c r="I11" s="2752"/>
      <c r="J11" s="2753"/>
      <c r="K11" s="1369"/>
      <c r="L11" s="2722" t="s">
        <v>2854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63" t="s">
        <v>2855</v>
      </c>
      <c r="X11" s="1613" t="s">
        <v>2856</v>
      </c>
      <c r="Y11" s="1614">
        <f>$G$3</f>
        <v>5.1100000000000003</v>
      </c>
      <c r="Z11" s="1614">
        <f t="shared" ref="Z11:AJ11" si="3">$G$3</f>
        <v>5.1100000000000003</v>
      </c>
      <c r="AA11" s="1614">
        <f t="shared" si="3"/>
        <v>5.1100000000000003</v>
      </c>
      <c r="AB11" s="1614">
        <f t="shared" si="3"/>
        <v>5.1100000000000003</v>
      </c>
      <c r="AC11" s="1614">
        <f t="shared" si="3"/>
        <v>5.1100000000000003</v>
      </c>
      <c r="AD11" s="1614">
        <f t="shared" si="3"/>
        <v>5.1100000000000003</v>
      </c>
      <c r="AE11" s="1614">
        <f t="shared" si="3"/>
        <v>5.1100000000000003</v>
      </c>
      <c r="AF11" s="1614">
        <f t="shared" si="3"/>
        <v>5.1100000000000003</v>
      </c>
      <c r="AG11" s="1614">
        <f t="shared" si="3"/>
        <v>5.1100000000000003</v>
      </c>
      <c r="AH11" s="1614">
        <f t="shared" si="3"/>
        <v>5.1100000000000003</v>
      </c>
      <c r="AI11" s="1614">
        <f t="shared" si="3"/>
        <v>5.1100000000000003</v>
      </c>
      <c r="AJ11" s="1614">
        <f t="shared" si="3"/>
        <v>5.1100000000000003</v>
      </c>
    </row>
    <row r="12" spans="1:36" ht="25.5" thickBot="1">
      <c r="A12" s="3350" t="s">
        <v>2857</v>
      </c>
      <c r="B12" s="2754" t="s">
        <v>2858</v>
      </c>
      <c r="C12" s="915">
        <f>ROUND(C15*D15*E15*F15*G15*H15*I15*J15,4)</f>
        <v>1</v>
      </c>
      <c r="D12" s="2755" t="s">
        <v>2859</v>
      </c>
      <c r="E12" s="2756"/>
      <c r="F12" s="2756"/>
      <c r="G12" s="2757"/>
      <c r="H12" s="2757"/>
      <c r="I12" s="2757"/>
      <c r="J12" s="2758"/>
      <c r="K12" s="1369"/>
      <c r="L12" s="2759" t="s">
        <v>2860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63"/>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8"/>
      <c r="B13" s="2760" t="s">
        <v>2862</v>
      </c>
      <c r="C13" s="2761" t="s">
        <v>2863</v>
      </c>
      <c r="D13" s="1807" t="s">
        <v>2864</v>
      </c>
      <c r="E13" s="1807" t="s">
        <v>2865</v>
      </c>
      <c r="F13" s="30" t="s">
        <v>2866</v>
      </c>
      <c r="G13" s="2762" t="s">
        <v>2867</v>
      </c>
      <c r="H13" s="2762" t="s">
        <v>2867</v>
      </c>
      <c r="I13" s="2762" t="s">
        <v>2867</v>
      </c>
      <c r="J13" s="2763" t="s">
        <v>2867</v>
      </c>
      <c r="K13" s="1369"/>
      <c r="L13" s="1369"/>
      <c r="M13" s="1369"/>
      <c r="N13" s="1369"/>
      <c r="O13" s="1369"/>
      <c r="P13" s="1369"/>
      <c r="Q13" s="1369"/>
      <c r="R13" s="1601">
        <v>12</v>
      </c>
      <c r="S13" s="1602"/>
      <c r="T13" s="1601" t="e">
        <f t="shared" si="0"/>
        <v>#DIV/0!</v>
      </c>
      <c r="U13" s="1602"/>
      <c r="V13" s="1601" t="e">
        <f t="shared" si="1"/>
        <v>#DIV/0!</v>
      </c>
      <c r="W13" s="3363"/>
      <c r="X13" s="1615"/>
      <c r="Y13" s="1612">
        <f>(-0.163*(Y12^2)-0.59*Y12+7617)*(10^(-4))/Y11</f>
        <v>0.14906066536203522</v>
      </c>
      <c r="Z13" s="1612">
        <f t="shared" ref="Z13:AJ13" si="5">(-0.163*(Z12^2)-0.59*Z12+7617)*(10^(-4))/Z11</f>
        <v>0.14906066536203522</v>
      </c>
      <c r="AA13" s="1612">
        <f t="shared" si="5"/>
        <v>0.14906066536203522</v>
      </c>
      <c r="AB13" s="1612">
        <f t="shared" si="5"/>
        <v>0.14906066536203522</v>
      </c>
      <c r="AC13" s="1612">
        <f t="shared" si="5"/>
        <v>0.14906066536203522</v>
      </c>
      <c r="AD13" s="1612">
        <f t="shared" si="5"/>
        <v>0.14906066536203522</v>
      </c>
      <c r="AE13" s="1612">
        <f t="shared" si="5"/>
        <v>0.14906066536203522</v>
      </c>
      <c r="AF13" s="1612">
        <f t="shared" si="5"/>
        <v>0.14906066536203522</v>
      </c>
      <c r="AG13" s="1612">
        <f t="shared" si="5"/>
        <v>0.14906066536203522</v>
      </c>
      <c r="AH13" s="1612">
        <f t="shared" si="5"/>
        <v>0.14906066536203522</v>
      </c>
      <c r="AI13" s="1612">
        <f t="shared" si="5"/>
        <v>0.14906066536203522</v>
      </c>
      <c r="AJ13" s="1612">
        <f t="shared" si="5"/>
        <v>0.14906066536203522</v>
      </c>
    </row>
    <row r="14" spans="1:36" ht="15">
      <c r="A14" s="3368"/>
      <c r="B14" s="2764"/>
      <c r="C14" s="2765"/>
      <c r="D14" s="2766"/>
      <c r="E14" s="2766"/>
      <c r="F14" s="2767"/>
      <c r="G14" s="2768" t="s">
        <v>2868</v>
      </c>
      <c r="H14" s="2769"/>
      <c r="I14" s="2770"/>
      <c r="J14" s="2771"/>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9"/>
      <c r="B15" s="2772" t="s">
        <v>2869</v>
      </c>
      <c r="C15" s="228">
        <f>IF(C14="有",1.1,1)</f>
        <v>1</v>
      </c>
      <c r="D15" s="228">
        <f>IF(D14="有",1.1,1)</f>
        <v>1</v>
      </c>
      <c r="E15" s="228">
        <f>IF(E14="有",1.1,1)</f>
        <v>1</v>
      </c>
      <c r="F15" s="228">
        <f>IF(F14="500米范围内",1.2,IF(F14="500-1000米",1.1,1))</f>
        <v>1</v>
      </c>
      <c r="G15" s="945">
        <v>1</v>
      </c>
      <c r="H15" s="945">
        <v>1</v>
      </c>
      <c r="I15" s="945">
        <v>1</v>
      </c>
      <c r="J15" s="946">
        <v>1</v>
      </c>
      <c r="K15" s="1369"/>
      <c r="L15" s="2773" t="s">
        <v>2805</v>
      </c>
      <c r="M15" s="916" t="s">
        <v>2870</v>
      </c>
      <c r="N15" s="916" t="s">
        <v>2871</v>
      </c>
      <c r="O15" s="916" t="s">
        <v>2872</v>
      </c>
      <c r="P15" s="2774" t="s">
        <v>2873</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50" t="s">
        <v>2874</v>
      </c>
      <c r="B16" s="2741" t="s">
        <v>2875</v>
      </c>
      <c r="C16" s="1800" t="e">
        <f>ROUND(SUM(G17:J17)/C17,0)</f>
        <v>#DIV/0!</v>
      </c>
      <c r="D16" s="2775" t="s">
        <v>2876</v>
      </c>
      <c r="E16" s="2776"/>
      <c r="F16" s="2777"/>
      <c r="G16" s="2778"/>
      <c r="H16" s="2778"/>
      <c r="I16" s="2778"/>
      <c r="J16" s="2779"/>
      <c r="K16" s="1369"/>
      <c r="L16" s="2780" t="s">
        <v>2877</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1"/>
      <c r="B17" s="2781" t="s">
        <v>2878</v>
      </c>
      <c r="C17" s="920">
        <f>SUMPRODUCT((修正!A2:A5=E2)*(修正!B1:M1=G2)*(修正!B2:M5))</f>
        <v>0</v>
      </c>
      <c r="D17" s="2782" t="s">
        <v>2879</v>
      </c>
      <c r="E17" s="919" t="str">
        <f>IF(OR(G2="八级",G2="九级",G2="十级",G2="十一级",G2="十二级"),"五通一平","七通一平")</f>
        <v>七通一平</v>
      </c>
      <c r="F17" s="920" t="s">
        <v>2880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2881</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808</v>
      </c>
      <c r="B18" s="2786" t="s">
        <v>2882</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809</v>
      </c>
      <c r="B19" s="2786" t="s">
        <v>2883</v>
      </c>
      <c r="C19" s="923" t="e">
        <f>ROUND(IF(H19="按公示增长率计算",SUMPRODUCT((地价!A3:A23=YEAR(G19)&amp;"-"&amp;ROUNDUP(MONTH(G19)/3,0))*(地价!X2:AB2=E2)*(地价!X3:AB23)),IF(H19="地价指数",M20/M19,(1+I19)^O19)),4)</f>
        <v>#DIV/0!</v>
      </c>
      <c r="D19" s="2793" t="s">
        <v>2884</v>
      </c>
      <c r="E19" s="924">
        <v>41640</v>
      </c>
      <c r="F19" s="2793" t="s">
        <v>2885</v>
      </c>
      <c r="G19" s="925">
        <f>'数据-取费表'!B2</f>
        <v>43321</v>
      </c>
      <c r="H19" s="2794" t="s">
        <v>2886</v>
      </c>
      <c r="I19" s="926" t="str">
        <f>IF(H19="季度增幅（自定义）",SUMIF(N21:N24,E2,O21:O24),"")</f>
        <v/>
      </c>
      <c r="J19" s="2791"/>
      <c r="K19" s="1376"/>
      <c r="L19" s="2795" t="s">
        <v>2887</v>
      </c>
      <c r="M19" s="1733">
        <f>ROUND(SUMIF(地价!B2:F2,E2,地价!B23:F23),0)</f>
        <v>0</v>
      </c>
      <c r="N19" s="2796" t="s">
        <v>2888</v>
      </c>
      <c r="O19" s="927">
        <f>ROUNDDOWN(DATEDIF(E19,G19,"M")/3,0)</f>
        <v>18</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810</v>
      </c>
      <c r="B20" s="2801" t="s">
        <v>2889</v>
      </c>
      <c r="C20" s="928" t="e">
        <f>ROUND(POWER(1+G20,J20-I20)*(POWER(1+G20,I20)-1)/(POWER(1+G20,J20)-1),4)</f>
        <v>#DIV/0!</v>
      </c>
      <c r="D20" s="2802" t="s">
        <v>2890</v>
      </c>
      <c r="E20" s="1767">
        <f ca="1">存贷款利率!D4/100</f>
        <v>4.3499999999999997E-2</v>
      </c>
      <c r="F20" s="2802" t="s">
        <v>2881</v>
      </c>
      <c r="G20" s="933">
        <f>SUMIF(M15:P15,E2,M17:P17)</f>
        <v>0</v>
      </c>
      <c r="H20" s="2802" t="s">
        <v>2891</v>
      </c>
      <c r="I20" s="934" t="e">
        <f>SUMIF('数据-取费表'!C6:C15,E2,'数据-取费表'!F6:F15)/COUNTIF('数据-取费表'!C6:C15,E2)</f>
        <v>#DIV/0!</v>
      </c>
      <c r="J20" s="935">
        <f>IF(E2="住宅",70,IF(E2="商业",40,50))</f>
        <v>50</v>
      </c>
      <c r="K20" s="1376"/>
      <c r="L20" s="2803" t="s">
        <v>2892</v>
      </c>
      <c r="M20" s="1734">
        <f>ROUND(SUMPRODUCT((地价!A4:A23=YEAR(G19)&amp;"-"&amp;ROUNDUP(MONTH(G19)/3,0))*(地价!B2:F2=E2)*(地价!B4:F23)),0)</f>
        <v>0</v>
      </c>
      <c r="N20" s="2804" t="s">
        <v>2893</v>
      </c>
      <c r="O20" s="2805" t="s">
        <v>2894</v>
      </c>
      <c r="P20" s="2806" t="s">
        <v>2895</v>
      </c>
      <c r="R20" s="1375"/>
      <c r="S20" s="1375"/>
      <c r="T20" s="1370"/>
      <c r="U20" s="1370"/>
      <c r="V20" s="1370"/>
      <c r="W20" s="1369"/>
      <c r="X20" s="1369"/>
      <c r="Y20" s="1369"/>
      <c r="Z20" s="1376"/>
      <c r="AA20" s="1377"/>
      <c r="AB20" s="1377"/>
      <c r="AC20" s="1377"/>
      <c r="AD20" s="1377"/>
      <c r="AE20" s="1377"/>
      <c r="AF20" s="1377"/>
    </row>
    <row r="21" spans="1:37" s="2734" customFormat="1" ht="15">
      <c r="A21" s="2807" t="s">
        <v>811</v>
      </c>
      <c r="B21" s="2808" t="s">
        <v>2896</v>
      </c>
      <c r="C21" s="936">
        <f>IF(B21="容积率修正",IF(G3&lt;=10,D22,J22),C23)</f>
        <v>0</v>
      </c>
      <c r="D21" s="2809"/>
      <c r="E21" s="2809"/>
      <c r="F21" s="2809"/>
      <c r="G21" s="2809"/>
      <c r="H21" s="2809"/>
      <c r="I21" s="2809"/>
      <c r="J21" s="2810"/>
      <c r="K21" s="1376"/>
      <c r="N21" s="2811" t="s">
        <v>2897</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4" customFormat="1" ht="14.25">
      <c r="A22" s="2660" t="s">
        <v>2898</v>
      </c>
      <c r="B22" s="2812" t="s">
        <v>2899</v>
      </c>
      <c r="C22" s="1809" t="s">
        <v>2900</v>
      </c>
      <c r="D22" s="1809">
        <f>IF(E22=G22,F22,IF(G3&lt;=10,ROUND(F22+(H22-F22)*(G3-E22)/(G22-E22),4),"——"))</f>
        <v>0</v>
      </c>
      <c r="E22" s="912">
        <f>ROUNDDOWN(G3,1)</f>
        <v>5.0999999999999996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5.1999999999999993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11" t="s">
        <v>2901</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0" t="s">
        <v>2902</v>
      </c>
      <c r="B23" s="2813" t="s">
        <v>2903</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2904</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2"/>
    </row>
    <row r="24" spans="1:37" s="2734" customFormat="1" ht="15.75" thickBot="1">
      <c r="A24" s="2800" t="s">
        <v>812</v>
      </c>
      <c r="B24" s="2786" t="s">
        <v>2905</v>
      </c>
      <c r="C24" s="923">
        <f>SUMIF(A45:A88,E2,B45:B88)</f>
        <v>0</v>
      </c>
      <c r="D24" s="2789"/>
      <c r="E24" s="2819"/>
      <c r="F24" s="2819"/>
      <c r="G24" s="2819"/>
      <c r="H24" s="2819"/>
      <c r="I24" s="2819"/>
      <c r="J24" s="2820"/>
      <c r="K24" s="1376"/>
      <c r="N24" s="2821" t="s">
        <v>2906</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0" t="s">
        <v>813</v>
      </c>
      <c r="B25" s="2822" t="s">
        <v>2907</v>
      </c>
      <c r="C25" s="929"/>
      <c r="D25" s="2744"/>
      <c r="E25" s="2744"/>
      <c r="F25" s="2823"/>
      <c r="G25" s="2744"/>
      <c r="H25" s="2744"/>
      <c r="I25" s="2744"/>
      <c r="J25" s="2745"/>
      <c r="K25" s="1369"/>
      <c r="N25" s="2824" t="s">
        <v>2908</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5"/>
      <c r="B26" s="2812" t="s">
        <v>2909</v>
      </c>
      <c r="C26" s="205"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2910</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2911</v>
      </c>
      <c r="C28" s="2836" t="s">
        <v>2912</v>
      </c>
      <c r="D28" s="2836" t="s">
        <v>2913</v>
      </c>
      <c r="E28" s="2837" t="s">
        <v>2914</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2915</v>
      </c>
      <c r="C29" s="205" t="e">
        <f>ROUND(C5*C18*C19*C20*C21*C24,0)</f>
        <v>#DIV/0!</v>
      </c>
      <c r="D29" s="2841"/>
      <c r="E29" s="941" t="e">
        <f>ROUND(C29*D29/10000,0)</f>
        <v>#DIV/0!</v>
      </c>
      <c r="F29" s="2842" t="s">
        <v>2916</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2917</v>
      </c>
      <c r="C30" s="228" t="e">
        <f>ROUND(IF(E2="工业",C29*M39,C29*M38),0)</f>
        <v>#DIV/0!</v>
      </c>
      <c r="D30" s="2847"/>
      <c r="E30" s="941" t="e">
        <f>ROUND(C30*D30/10000,0)</f>
        <v>#DIV/0!</v>
      </c>
      <c r="F30" s="2848" t="s">
        <v>2918</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0" t="s">
        <v>2912</v>
      </c>
      <c r="D32" s="497" t="s">
        <v>2913</v>
      </c>
      <c r="E32" s="497" t="s">
        <v>2914</v>
      </c>
      <c r="F32" s="387" t="s">
        <v>2922</v>
      </c>
      <c r="G32" s="2856" t="s">
        <v>2912</v>
      </c>
      <c r="H32" s="2856" t="s">
        <v>2913</v>
      </c>
      <c r="I32" s="2856" t="s">
        <v>2914</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358" t="s">
        <v>2923</v>
      </c>
      <c r="B33" s="2857" t="s">
        <v>2924</v>
      </c>
      <c r="C33" s="205" t="e">
        <f>ROUND(D5*C19*C20*C24*F33,0)</f>
        <v>#DIV/0!</v>
      </c>
      <c r="D33" s="2841"/>
      <c r="E33" s="199" t="e">
        <f>ROUND(C33*D33/10000,0)</f>
        <v>#DIV/0!</v>
      </c>
      <c r="F33" s="199">
        <f>SUMIF(修正!A45:A56,G2,修正!B45:B56)</f>
        <v>0</v>
      </c>
      <c r="G33" s="199" t="e">
        <f>ROUND(IF(E2="工业",C33*$M$39,C33*$M$38),0)</f>
        <v>#DIV/0!</v>
      </c>
      <c r="H33" s="199">
        <f>D33</f>
        <v>0</v>
      </c>
      <c r="I33" s="199"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59"/>
      <c r="B34" s="2761" t="s">
        <v>2925</v>
      </c>
      <c r="C34" s="205" t="e">
        <f>ROUND(D5*C19*C20*C24*F34,0)</f>
        <v>#DIV/0!</v>
      </c>
      <c r="D34" s="2841"/>
      <c r="E34" s="199" t="e">
        <f t="shared" ref="E34:E39" si="6">ROUND(C34*D34/10000,0)</f>
        <v>#DIV/0!</v>
      </c>
      <c r="F34" s="199">
        <f>SUMIF(修正!A45:A56,G2,修正!C45:C56)</f>
        <v>0</v>
      </c>
      <c r="G34" s="199" t="e">
        <f>ROUND(IF(E2="工业",C34*$M$39,C34*$M$38),0)</f>
        <v>#DIV/0!</v>
      </c>
      <c r="H34" s="199">
        <f t="shared" ref="H34:H39" si="7">D34</f>
        <v>0</v>
      </c>
      <c r="I34" s="199" t="e">
        <f t="shared" ref="I34:I39" si="8">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59"/>
      <c r="B35" s="2761" t="s">
        <v>2926</v>
      </c>
      <c r="C35" s="205" t="e">
        <f>ROUND(D5*C19*C20*C24*F35,0)</f>
        <v>#DIV/0!</v>
      </c>
      <c r="D35" s="2841"/>
      <c r="E35" s="199" t="e">
        <f t="shared" si="6"/>
        <v>#DIV/0!</v>
      </c>
      <c r="F35" s="199">
        <f>SUMIF(修正!A45:A56,G2,修正!D45:D56)</f>
        <v>0</v>
      </c>
      <c r="G35" s="199" t="e">
        <f>ROUND(IF(E2="工业",C35*$M$39,C35*$M$38),0)</f>
        <v>#DIV/0!</v>
      </c>
      <c r="H35" s="199">
        <f t="shared" si="7"/>
        <v>0</v>
      </c>
      <c r="I35" s="199" t="e">
        <f t="shared" si="8"/>
        <v>#DIV/0!</v>
      </c>
      <c r="J35" s="2858"/>
      <c r="K35" s="1369"/>
      <c r="L35" s="1369"/>
      <c r="M35" s="1369"/>
      <c r="N35" s="1369"/>
      <c r="O35" s="1369"/>
      <c r="P35" s="1369"/>
      <c r="Q35" s="1369"/>
      <c r="R35" s="1369"/>
      <c r="S35" s="1369"/>
      <c r="T35" s="1369"/>
      <c r="U35" s="1369"/>
      <c r="V35" s="1369"/>
      <c r="W35" s="1369"/>
      <c r="X35" s="1369"/>
      <c r="Y35" s="1369"/>
      <c r="Z35" s="1370"/>
    </row>
    <row r="36" spans="1:37" ht="13.5" thickBot="1">
      <c r="A36" s="3360"/>
      <c r="B36" s="2761" t="s">
        <v>2927</v>
      </c>
      <c r="C36" s="205" t="e">
        <f>ROUND(D5*C19*C20*C24*F36,0)</f>
        <v>#DIV/0!</v>
      </c>
      <c r="D36" s="2841"/>
      <c r="E36" s="199" t="e">
        <f t="shared" si="6"/>
        <v>#DIV/0!</v>
      </c>
      <c r="F36" s="199">
        <f>SUMIF(修正!A45:A56,G2,修正!E45:E56)</f>
        <v>0</v>
      </c>
      <c r="G36" s="199" t="e">
        <f>ROUND(IF(E2="工业",C36*$M$39,C36*$M$38),0)</f>
        <v>#DIV/0!</v>
      </c>
      <c r="H36" s="199">
        <f t="shared" si="7"/>
        <v>0</v>
      </c>
      <c r="I36" s="199" t="e">
        <f t="shared" si="8"/>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2928</v>
      </c>
      <c r="C37" s="199" t="e">
        <f>ROUND(C5*C19*C20*C24*F37,0)</f>
        <v>#DIV/0!</v>
      </c>
      <c r="D37" s="2841"/>
      <c r="E37" s="199" t="e">
        <f t="shared" si="6"/>
        <v>#DIV/0!</v>
      </c>
      <c r="F37" s="205">
        <f>SUMIF(修正!A45:A56,G2,修正!F45:F56)</f>
        <v>0</v>
      </c>
      <c r="G37" s="199" t="e">
        <f>ROUND(IF(E2="工业",C37*$M$39,C37*$M$38),0)</f>
        <v>#DIV/0!</v>
      </c>
      <c r="H37" s="199">
        <f t="shared" si="7"/>
        <v>0</v>
      </c>
      <c r="I37" s="199" t="e">
        <f t="shared" si="8"/>
        <v>#DIV/0!</v>
      </c>
      <c r="J37" s="2858"/>
      <c r="K37" s="1369"/>
      <c r="L37" s="2860" t="s">
        <v>2929</v>
      </c>
      <c r="M37" s="2861"/>
      <c r="N37" s="1369"/>
      <c r="O37" s="1369"/>
      <c r="P37" s="1369"/>
      <c r="Q37" s="1369"/>
      <c r="R37" s="1369"/>
      <c r="S37" s="1369"/>
      <c r="T37" s="1369"/>
      <c r="U37" s="1369"/>
      <c r="V37" s="1369"/>
      <c r="W37" s="1369"/>
      <c r="X37" s="1369"/>
      <c r="Y37" s="1369"/>
      <c r="Z37" s="1370"/>
    </row>
    <row r="38" spans="1:37">
      <c r="A38" s="2859"/>
      <c r="B38" s="2761" t="s">
        <v>2930</v>
      </c>
      <c r="C38" s="199" t="e">
        <f>ROUND(C5*C19*C20*C24*F38,0)</f>
        <v>#DIV/0!</v>
      </c>
      <c r="D38" s="2841"/>
      <c r="E38" s="199" t="e">
        <f t="shared" si="6"/>
        <v>#DIV/0!</v>
      </c>
      <c r="F38" s="205">
        <f>SUMIF(修正!A45:A56,G2,修正!G45:G56)</f>
        <v>0</v>
      </c>
      <c r="G38" s="199" t="e">
        <f>ROUND(IF(E2="工业",C38*$M$39,C38*$M$38),0)</f>
        <v>#DIV/0!</v>
      </c>
      <c r="H38" s="199">
        <f t="shared" si="7"/>
        <v>0</v>
      </c>
      <c r="I38" s="199" t="e">
        <f t="shared" si="8"/>
        <v>#DIV/0!</v>
      </c>
      <c r="J38" s="2858"/>
      <c r="K38" s="1369"/>
      <c r="L38" s="1886" t="s">
        <v>2931</v>
      </c>
      <c r="M38" s="2862">
        <v>0.25</v>
      </c>
      <c r="N38" s="1369"/>
      <c r="O38" s="1369"/>
      <c r="P38" s="1369"/>
      <c r="Q38" s="1369"/>
      <c r="R38" s="1369"/>
      <c r="S38" s="1369"/>
      <c r="T38" s="1369"/>
      <c r="U38" s="1369"/>
      <c r="V38" s="1369"/>
      <c r="W38" s="1369"/>
      <c r="X38" s="1369"/>
      <c r="Y38" s="1369"/>
      <c r="Z38" s="1370"/>
    </row>
    <row r="39" spans="1:37" ht="13.5" thickBot="1">
      <c r="A39" s="2845"/>
      <c r="B39" s="2863" t="s">
        <v>2932</v>
      </c>
      <c r="C39" s="228" t="e">
        <f>ROUND(C5*C19*C20*C24*F39,0)</f>
        <v>#DIV/0!</v>
      </c>
      <c r="D39" s="2847"/>
      <c r="E39" s="228" t="e">
        <f t="shared" si="6"/>
        <v>#DIV/0!</v>
      </c>
      <c r="F39" s="931">
        <f>SUMIF(修正!A45:A56,G2,修正!H45:H56)</f>
        <v>0</v>
      </c>
      <c r="G39" s="228" t="e">
        <f>ROUND(IF(E2="工业",C39*$M$39,C39*$M$38),0)</f>
        <v>#DIV/0!</v>
      </c>
      <c r="H39" s="228">
        <f t="shared" si="7"/>
        <v>0</v>
      </c>
      <c r="I39" s="228" t="e">
        <f t="shared" si="8"/>
        <v>#DIV/0!</v>
      </c>
      <c r="J39" s="2864"/>
      <c r="K39" s="1369"/>
      <c r="L39" s="2865" t="s">
        <v>2873</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7"/>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2933</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2934</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2935</v>
      </c>
      <c r="B47" s="1808" t="s">
        <v>2936</v>
      </c>
      <c r="C47" s="1808" t="s">
        <v>2937</v>
      </c>
      <c r="D47" s="1808" t="s">
        <v>2938</v>
      </c>
      <c r="E47" s="815" t="s">
        <v>2939</v>
      </c>
      <c r="F47" s="2875" t="s">
        <v>2940</v>
      </c>
      <c r="G47" s="1808" t="s">
        <v>754</v>
      </c>
      <c r="H47" s="2876" t="s">
        <v>2941</v>
      </c>
      <c r="I47" s="1808" t="s">
        <v>2942</v>
      </c>
      <c r="J47" s="602" t="s">
        <v>2589</v>
      </c>
      <c r="K47" s="602" t="s">
        <v>2590</v>
      </c>
      <c r="L47" s="602" t="s">
        <v>2591</v>
      </c>
      <c r="M47" s="602" t="s">
        <v>2592</v>
      </c>
      <c r="N47" s="602" t="s">
        <v>2593</v>
      </c>
      <c r="AA47" s="1370"/>
      <c r="AB47" s="1370"/>
      <c r="AC47" s="1370"/>
      <c r="AD47" s="1370"/>
      <c r="AE47" s="1370"/>
      <c r="AF47" s="1370"/>
      <c r="AG47" s="1370"/>
      <c r="AH47" s="1370"/>
      <c r="AI47" s="1370"/>
      <c r="AJ47" s="1370"/>
      <c r="AK47" s="1370"/>
    </row>
    <row r="48" spans="1:37" s="1369" customFormat="1" ht="24.75">
      <c r="A48" s="2874" t="s">
        <v>2943</v>
      </c>
      <c r="B48" s="2877">
        <f>估价对象房地状况!C4</f>
        <v>0</v>
      </c>
      <c r="C48" s="2766"/>
      <c r="D48" s="1285">
        <f t="shared" ref="D48:D56" si="9">SUMIF($J$47:$N$47,C48,J48:N48)</f>
        <v>0</v>
      </c>
      <c r="E48" s="817">
        <f>ROUND(SUM(D48:D56),4)</f>
        <v>0</v>
      </c>
      <c r="F48" s="2499" t="str">
        <f>IF(E2="商业",SUMIF(L1:L12,G2,N1:N12),"——")</f>
        <v>——</v>
      </c>
      <c r="G48" s="1283"/>
      <c r="H48" s="1287" t="str">
        <f t="shared" ref="H48:H56" si="10">IFERROR(ROUNDDOWN($F$48*I48/2,4),"——")</f>
        <v>——</v>
      </c>
      <c r="I48" s="816">
        <v>0.33</v>
      </c>
      <c r="J48" s="1284">
        <f t="shared" ref="J48:J56" si="11">K48+$G48</f>
        <v>0</v>
      </c>
      <c r="K48" s="1284">
        <f t="shared" ref="K48:K56" si="12">$L48+$G48</f>
        <v>0</v>
      </c>
      <c r="L48" s="1284">
        <v>0</v>
      </c>
      <c r="M48" s="1284">
        <f t="shared" ref="M48:N56" si="13">L48-$G48</f>
        <v>0</v>
      </c>
      <c r="N48" s="1284">
        <f t="shared" si="13"/>
        <v>0</v>
      </c>
      <c r="AA48" s="1370"/>
      <c r="AB48" s="1370"/>
      <c r="AC48" s="1370"/>
      <c r="AD48" s="1370"/>
      <c r="AE48" s="1370"/>
      <c r="AF48" s="1370"/>
      <c r="AG48" s="1370"/>
      <c r="AH48" s="1370"/>
      <c r="AI48" s="1370"/>
      <c r="AJ48" s="1370"/>
      <c r="AK48" s="1370"/>
    </row>
    <row r="49" spans="1:37" s="1369" customFormat="1" ht="14.25">
      <c r="A49" s="2874" t="s">
        <v>2944</v>
      </c>
      <c r="B49" s="2878">
        <f>估价对象房地状况!C18</f>
        <v>0</v>
      </c>
      <c r="C49" s="2766"/>
      <c r="D49" s="1285">
        <f t="shared" si="9"/>
        <v>0</v>
      </c>
      <c r="E49" s="818"/>
      <c r="F49" s="2499"/>
      <c r="G49" s="1283"/>
      <c r="H49" s="1287" t="str">
        <f t="shared" si="10"/>
        <v>——</v>
      </c>
      <c r="I49" s="816">
        <v>0.25</v>
      </c>
      <c r="J49" s="1284">
        <f t="shared" si="11"/>
        <v>0</v>
      </c>
      <c r="K49" s="1284">
        <f t="shared" si="12"/>
        <v>0</v>
      </c>
      <c r="L49" s="1284">
        <v>0</v>
      </c>
      <c r="M49" s="1284">
        <f t="shared" si="13"/>
        <v>0</v>
      </c>
      <c r="N49" s="1284">
        <f t="shared" si="13"/>
        <v>0</v>
      </c>
      <c r="AA49" s="1370"/>
      <c r="AB49" s="1370"/>
      <c r="AC49" s="1370"/>
      <c r="AD49" s="1370"/>
      <c r="AE49" s="1370"/>
      <c r="AF49" s="1370"/>
      <c r="AG49" s="1370"/>
      <c r="AH49" s="1370"/>
      <c r="AI49" s="1370"/>
      <c r="AJ49" s="1370"/>
      <c r="AK49" s="1370"/>
    </row>
    <row r="50" spans="1:37" s="1369" customFormat="1" ht="24">
      <c r="A50" s="2874" t="s">
        <v>2945</v>
      </c>
      <c r="B50" s="2878">
        <f>估价对象房地状况!C19</f>
        <v>0</v>
      </c>
      <c r="C50" s="2766"/>
      <c r="D50" s="1285">
        <f t="shared" si="9"/>
        <v>0</v>
      </c>
      <c r="E50" s="818"/>
      <c r="F50" s="2499"/>
      <c r="G50" s="1283"/>
      <c r="H50" s="1287" t="str">
        <f t="shared" si="10"/>
        <v>——</v>
      </c>
      <c r="I50" s="816">
        <v>0.05</v>
      </c>
      <c r="J50" s="1284">
        <f t="shared" si="11"/>
        <v>0</v>
      </c>
      <c r="K50" s="1284">
        <f t="shared" si="12"/>
        <v>0</v>
      </c>
      <c r="L50" s="1284">
        <v>0</v>
      </c>
      <c r="M50" s="1284">
        <f t="shared" si="13"/>
        <v>0</v>
      </c>
      <c r="N50" s="1284">
        <f t="shared" si="13"/>
        <v>0</v>
      </c>
      <c r="AA50" s="1370"/>
      <c r="AB50" s="1370"/>
      <c r="AC50" s="1370"/>
      <c r="AD50" s="1370"/>
      <c r="AE50" s="1370"/>
      <c r="AF50" s="1370"/>
      <c r="AG50" s="1370"/>
      <c r="AH50" s="1370"/>
      <c r="AI50" s="1370"/>
      <c r="AJ50" s="1370"/>
      <c r="AK50" s="1370"/>
    </row>
    <row r="51" spans="1:37" s="1369" customFormat="1" ht="36.75">
      <c r="A51" s="2874" t="s">
        <v>2946</v>
      </c>
      <c r="B51" s="2879" t="s">
        <v>2947</v>
      </c>
      <c r="C51" s="2766"/>
      <c r="D51" s="1285">
        <f t="shared" si="9"/>
        <v>0</v>
      </c>
      <c r="E51" s="818"/>
      <c r="F51" s="2499"/>
      <c r="G51" s="1283"/>
      <c r="H51" s="1287" t="str">
        <f t="shared" si="10"/>
        <v>——</v>
      </c>
      <c r="I51" s="816">
        <v>0.05</v>
      </c>
      <c r="J51" s="1284">
        <f t="shared" si="11"/>
        <v>0</v>
      </c>
      <c r="K51" s="1284">
        <f t="shared" si="12"/>
        <v>0</v>
      </c>
      <c r="L51" s="1284">
        <v>0</v>
      </c>
      <c r="M51" s="1284">
        <f t="shared" si="13"/>
        <v>0</v>
      </c>
      <c r="N51" s="1284">
        <f t="shared" si="13"/>
        <v>0</v>
      </c>
      <c r="AA51" s="1370"/>
      <c r="AB51" s="1370"/>
      <c r="AC51" s="1370"/>
      <c r="AD51" s="1370"/>
      <c r="AE51" s="1370"/>
      <c r="AF51" s="1370"/>
      <c r="AG51" s="1370"/>
      <c r="AH51" s="1370"/>
      <c r="AI51" s="1370"/>
      <c r="AJ51" s="1370"/>
      <c r="AK51" s="1370"/>
    </row>
    <row r="52" spans="1:37" s="1369" customFormat="1" ht="24">
      <c r="A52" s="2874" t="s">
        <v>2948</v>
      </c>
      <c r="B52" s="2878">
        <f>估价对象房地状况!C24</f>
        <v>0</v>
      </c>
      <c r="C52" s="2766"/>
      <c r="D52" s="1285">
        <f t="shared" si="9"/>
        <v>0</v>
      </c>
      <c r="E52" s="818"/>
      <c r="F52" s="2499"/>
      <c r="G52" s="1283"/>
      <c r="H52" s="1287" t="str">
        <f t="shared" si="10"/>
        <v>——</v>
      </c>
      <c r="I52" s="816">
        <v>0.08</v>
      </c>
      <c r="J52" s="1284">
        <f t="shared" si="11"/>
        <v>0</v>
      </c>
      <c r="K52" s="1284">
        <f t="shared" si="12"/>
        <v>0</v>
      </c>
      <c r="L52" s="1284">
        <v>0</v>
      </c>
      <c r="M52" s="1284">
        <f t="shared" si="13"/>
        <v>0</v>
      </c>
      <c r="N52" s="1284">
        <f t="shared" si="13"/>
        <v>0</v>
      </c>
      <c r="AA52" s="1370"/>
      <c r="AB52" s="1370"/>
      <c r="AC52" s="1370"/>
      <c r="AD52" s="1370"/>
      <c r="AE52" s="1370"/>
      <c r="AF52" s="1370"/>
      <c r="AG52" s="1370"/>
      <c r="AH52" s="1370"/>
      <c r="AI52" s="1370"/>
      <c r="AJ52" s="1370"/>
      <c r="AK52" s="1370"/>
    </row>
    <row r="53" spans="1:37" s="1369" customFormat="1" ht="24">
      <c r="A53" s="2874" t="s">
        <v>2949</v>
      </c>
      <c r="B53" s="2880" t="s">
        <v>2950</v>
      </c>
      <c r="C53" s="2766"/>
      <c r="D53" s="1285">
        <f t="shared" si="9"/>
        <v>0</v>
      </c>
      <c r="E53" s="818"/>
      <c r="F53" s="2499"/>
      <c r="G53" s="1283"/>
      <c r="H53" s="1287" t="str">
        <f t="shared" si="10"/>
        <v>——</v>
      </c>
      <c r="I53" s="816">
        <v>0.03</v>
      </c>
      <c r="J53" s="1284">
        <f t="shared" si="11"/>
        <v>0</v>
      </c>
      <c r="K53" s="1284">
        <f t="shared" si="12"/>
        <v>0</v>
      </c>
      <c r="L53" s="1284">
        <v>0</v>
      </c>
      <c r="M53" s="1284">
        <f t="shared" si="13"/>
        <v>0</v>
      </c>
      <c r="N53" s="1284">
        <f t="shared" si="13"/>
        <v>0</v>
      </c>
      <c r="AA53" s="1370"/>
      <c r="AB53" s="1370"/>
      <c r="AC53" s="1370"/>
      <c r="AD53" s="1370"/>
      <c r="AE53" s="1370"/>
      <c r="AF53" s="1370"/>
      <c r="AG53" s="1370"/>
      <c r="AH53" s="1370"/>
      <c r="AI53" s="1370"/>
      <c r="AJ53" s="1370"/>
      <c r="AK53" s="1370"/>
    </row>
    <row r="54" spans="1:37" s="1369" customFormat="1" ht="24">
      <c r="A54" s="2881" t="s">
        <v>2951</v>
      </c>
      <c r="B54" s="1724">
        <f>估价对象房地状况!C21</f>
        <v>0</v>
      </c>
      <c r="C54" s="2766"/>
      <c r="D54" s="1285">
        <f t="shared" si="9"/>
        <v>0</v>
      </c>
      <c r="E54" s="818"/>
      <c r="F54" s="2499"/>
      <c r="G54" s="1283"/>
      <c r="H54" s="1287" t="str">
        <f t="shared" si="10"/>
        <v>——</v>
      </c>
      <c r="I54" s="816">
        <v>0.05</v>
      </c>
      <c r="J54" s="1284">
        <f t="shared" si="11"/>
        <v>0</v>
      </c>
      <c r="K54" s="1284">
        <f t="shared" si="12"/>
        <v>0</v>
      </c>
      <c r="L54" s="1284">
        <v>0</v>
      </c>
      <c r="M54" s="1284">
        <f t="shared" si="13"/>
        <v>0</v>
      </c>
      <c r="N54" s="1284">
        <f t="shared" si="13"/>
        <v>0</v>
      </c>
      <c r="AA54" s="1370"/>
      <c r="AB54" s="1370"/>
      <c r="AC54" s="1370"/>
      <c r="AD54" s="1370"/>
      <c r="AE54" s="1370"/>
      <c r="AF54" s="1370"/>
      <c r="AG54" s="1370"/>
      <c r="AH54" s="1370"/>
      <c r="AI54" s="1370"/>
      <c r="AJ54" s="1370"/>
      <c r="AK54" s="1370"/>
    </row>
    <row r="55" spans="1:37" s="1369" customFormat="1" ht="24">
      <c r="A55" s="2881" t="s">
        <v>2952</v>
      </c>
      <c r="B55" s="2878">
        <f>估价对象房地状况!C22</f>
        <v>0</v>
      </c>
      <c r="C55" s="2766"/>
      <c r="D55" s="1285">
        <f t="shared" si="9"/>
        <v>0</v>
      </c>
      <c r="E55" s="818"/>
      <c r="F55" s="2499"/>
      <c r="G55" s="1283"/>
      <c r="H55" s="1287" t="str">
        <f t="shared" si="10"/>
        <v>——</v>
      </c>
      <c r="I55" s="816">
        <v>0.1</v>
      </c>
      <c r="J55" s="1284">
        <f t="shared" si="11"/>
        <v>0</v>
      </c>
      <c r="K55" s="1284">
        <f t="shared" si="12"/>
        <v>0</v>
      </c>
      <c r="L55" s="1284">
        <v>0</v>
      </c>
      <c r="M55" s="1284">
        <f t="shared" si="13"/>
        <v>0</v>
      </c>
      <c r="N55" s="1284">
        <f t="shared" si="13"/>
        <v>0</v>
      </c>
      <c r="AA55" s="1370"/>
      <c r="AB55" s="1370"/>
      <c r="AC55" s="1370"/>
      <c r="AD55" s="1370"/>
      <c r="AE55" s="1370"/>
      <c r="AF55" s="1370"/>
      <c r="AG55" s="1370"/>
      <c r="AH55" s="1370"/>
      <c r="AI55" s="1370"/>
      <c r="AJ55" s="1370"/>
      <c r="AK55" s="1370"/>
    </row>
    <row r="56" spans="1:37" s="1369" customFormat="1" ht="24.75" thickBot="1">
      <c r="A56" s="2882" t="s">
        <v>2953</v>
      </c>
      <c r="B56" s="2883">
        <f>估价对象房地状况!C20</f>
        <v>0</v>
      </c>
      <c r="C56" s="2766"/>
      <c r="D56" s="1285">
        <f t="shared" si="9"/>
        <v>0</v>
      </c>
      <c r="E56" s="821"/>
      <c r="F56" s="2499"/>
      <c r="G56" s="1283"/>
      <c r="H56" s="1287" t="str">
        <f t="shared" si="10"/>
        <v>——</v>
      </c>
      <c r="I56" s="820">
        <v>0.06</v>
      </c>
      <c r="J56" s="1284">
        <f t="shared" si="11"/>
        <v>0</v>
      </c>
      <c r="K56" s="1284">
        <f t="shared" si="12"/>
        <v>0</v>
      </c>
      <c r="L56" s="1284">
        <v>0</v>
      </c>
      <c r="M56" s="1284">
        <f t="shared" si="13"/>
        <v>0</v>
      </c>
      <c r="N56" s="1284">
        <f t="shared" si="13"/>
        <v>0</v>
      </c>
      <c r="AA56" s="1370"/>
      <c r="AB56" s="1370"/>
      <c r="AC56" s="1370"/>
      <c r="AD56" s="1370"/>
      <c r="AE56" s="1370"/>
      <c r="AF56" s="1370"/>
      <c r="AG56" s="1370"/>
      <c r="AH56" s="1370"/>
      <c r="AI56" s="1370"/>
      <c r="AJ56" s="1370"/>
      <c r="AK56" s="1370"/>
    </row>
    <row r="57" spans="1:37" s="1369" customFormat="1" ht="15">
      <c r="A57" s="2870" t="s">
        <v>2954</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2935</v>
      </c>
      <c r="B58" s="1808"/>
      <c r="C58" s="1808" t="s">
        <v>2937</v>
      </c>
      <c r="D58" s="1808" t="s">
        <v>2938</v>
      </c>
      <c r="E58" s="815" t="s">
        <v>2939</v>
      </c>
      <c r="F58" s="2875" t="s">
        <v>2955</v>
      </c>
      <c r="G58" s="1808" t="s">
        <v>754</v>
      </c>
      <c r="H58" s="2876" t="s">
        <v>2941</v>
      </c>
      <c r="I58" s="1808" t="s">
        <v>2942</v>
      </c>
      <c r="J58" s="602" t="s">
        <v>2589</v>
      </c>
      <c r="K58" s="602" t="s">
        <v>2590</v>
      </c>
      <c r="L58" s="602" t="s">
        <v>2591</v>
      </c>
      <c r="M58" s="602" t="s">
        <v>2592</v>
      </c>
      <c r="N58" s="602" t="s">
        <v>2593</v>
      </c>
      <c r="AA58" s="1370"/>
      <c r="AB58" s="1370"/>
      <c r="AC58" s="1370"/>
      <c r="AD58" s="1370"/>
      <c r="AE58" s="1370"/>
      <c r="AF58" s="1370"/>
      <c r="AG58" s="1370"/>
      <c r="AH58" s="1370"/>
      <c r="AI58" s="1370"/>
      <c r="AJ58" s="1370"/>
      <c r="AK58" s="1370"/>
    </row>
    <row r="59" spans="1:37" s="1369" customFormat="1" ht="24">
      <c r="A59" s="2874" t="s">
        <v>2956</v>
      </c>
      <c r="B59" s="2877">
        <f>估价对象房地状况!C17</f>
        <v>0</v>
      </c>
      <c r="C59" s="2766"/>
      <c r="D59" s="1285">
        <f t="shared" ref="D59:D67" si="14">SUMIF($J$58:$N$58,C59,J59:N59)</f>
        <v>0</v>
      </c>
      <c r="E59" s="817">
        <f>ROUND(SUM(D59:D67),4)</f>
        <v>0</v>
      </c>
      <c r="F59" s="2499" t="str">
        <f>IF(E2="办公",SUMIF(L1:L12,G2,N1:N12),"——")</f>
        <v>——</v>
      </c>
      <c r="G59" s="1283"/>
      <c r="H59" s="1287" t="str">
        <f t="shared" ref="H59:H67" si="15">IFERROR(ROUNDDOWN($F$59*I59/2,4),"——")</f>
        <v>——</v>
      </c>
      <c r="I59" s="816">
        <v>0.24</v>
      </c>
      <c r="J59" s="1284">
        <f t="shared" ref="J59:J67" si="16">K59+$G59</f>
        <v>0</v>
      </c>
      <c r="K59" s="1284">
        <f t="shared" ref="K59:K67" si="17">$L59+$G59</f>
        <v>0</v>
      </c>
      <c r="L59" s="1284">
        <v>0</v>
      </c>
      <c r="M59" s="1284">
        <f t="shared" ref="M59:N67" si="18">L59-$G59</f>
        <v>0</v>
      </c>
      <c r="N59" s="1284">
        <f t="shared" si="18"/>
        <v>0</v>
      </c>
      <c r="AA59" s="1370"/>
      <c r="AB59" s="1370"/>
      <c r="AC59" s="1370"/>
      <c r="AD59" s="1370"/>
      <c r="AE59" s="1370"/>
      <c r="AF59" s="1370"/>
      <c r="AG59" s="1370"/>
      <c r="AH59" s="1370"/>
      <c r="AI59" s="1370"/>
      <c r="AJ59" s="1370"/>
      <c r="AK59" s="1370"/>
    </row>
    <row r="60" spans="1:37" s="1369" customFormat="1" ht="14.25">
      <c r="A60" s="2874" t="s">
        <v>2944</v>
      </c>
      <c r="B60" s="2878">
        <f>估价对象房地状况!C18</f>
        <v>0</v>
      </c>
      <c r="C60" s="2766"/>
      <c r="D60" s="1285">
        <f t="shared" si="14"/>
        <v>0</v>
      </c>
      <c r="E60" s="818"/>
      <c r="F60" s="2499"/>
      <c r="G60" s="1283"/>
      <c r="H60" s="1287" t="str">
        <f t="shared" si="15"/>
        <v>——</v>
      </c>
      <c r="I60" s="816">
        <v>0.3</v>
      </c>
      <c r="J60" s="1284">
        <f t="shared" si="16"/>
        <v>0</v>
      </c>
      <c r="K60" s="1284">
        <f t="shared" si="17"/>
        <v>0</v>
      </c>
      <c r="L60" s="1284">
        <v>0</v>
      </c>
      <c r="M60" s="1284">
        <f t="shared" si="18"/>
        <v>0</v>
      </c>
      <c r="N60" s="1284">
        <f t="shared" si="18"/>
        <v>0</v>
      </c>
      <c r="AA60" s="1370"/>
      <c r="AB60" s="1370"/>
      <c r="AC60" s="1370"/>
      <c r="AD60" s="1370"/>
      <c r="AE60" s="1370"/>
      <c r="AF60" s="1370"/>
      <c r="AG60" s="1370"/>
      <c r="AH60" s="1370"/>
      <c r="AI60" s="1370"/>
      <c r="AJ60" s="1370"/>
      <c r="AK60" s="1370"/>
    </row>
    <row r="61" spans="1:37" s="1369" customFormat="1" ht="24">
      <c r="A61" s="2874" t="s">
        <v>2945</v>
      </c>
      <c r="B61" s="2878">
        <f>估价对象房地状况!C19</f>
        <v>0</v>
      </c>
      <c r="C61" s="2766"/>
      <c r="D61" s="1285">
        <f t="shared" si="14"/>
        <v>0</v>
      </c>
      <c r="E61" s="818"/>
      <c r="F61" s="2499"/>
      <c r="G61" s="1283"/>
      <c r="H61" s="1287" t="str">
        <f t="shared" si="15"/>
        <v>——</v>
      </c>
      <c r="I61" s="816">
        <v>0.08</v>
      </c>
      <c r="J61" s="1284">
        <f t="shared" si="16"/>
        <v>0</v>
      </c>
      <c r="K61" s="1284">
        <f t="shared" si="17"/>
        <v>0</v>
      </c>
      <c r="L61" s="1284">
        <v>0</v>
      </c>
      <c r="M61" s="1284">
        <f t="shared" si="18"/>
        <v>0</v>
      </c>
      <c r="N61" s="1284">
        <f t="shared" si="18"/>
        <v>0</v>
      </c>
      <c r="AA61" s="1370"/>
      <c r="AB61" s="1370"/>
      <c r="AC61" s="1370"/>
      <c r="AD61" s="1370"/>
      <c r="AE61" s="1370"/>
      <c r="AF61" s="1370"/>
      <c r="AG61" s="1370"/>
      <c r="AH61" s="1370"/>
      <c r="AI61" s="1370"/>
      <c r="AJ61" s="1370"/>
      <c r="AK61" s="1370"/>
    </row>
    <row r="62" spans="1:37" s="1369" customFormat="1" ht="36.75">
      <c r="A62" s="2874" t="s">
        <v>2946</v>
      </c>
      <c r="B62" s="2879" t="s">
        <v>2947</v>
      </c>
      <c r="C62" s="2766"/>
      <c r="D62" s="1285">
        <f t="shared" si="14"/>
        <v>0</v>
      </c>
      <c r="E62" s="818"/>
      <c r="F62" s="2499"/>
      <c r="G62" s="1283"/>
      <c r="H62" s="1287" t="str">
        <f t="shared" si="15"/>
        <v>——</v>
      </c>
      <c r="I62" s="816">
        <v>0.04</v>
      </c>
      <c r="J62" s="1284">
        <f t="shared" si="16"/>
        <v>0</v>
      </c>
      <c r="K62" s="1284">
        <f t="shared" si="17"/>
        <v>0</v>
      </c>
      <c r="L62" s="1284">
        <v>0</v>
      </c>
      <c r="M62" s="1284">
        <f t="shared" si="18"/>
        <v>0</v>
      </c>
      <c r="N62" s="1284">
        <f t="shared" si="18"/>
        <v>0</v>
      </c>
      <c r="AA62" s="1370"/>
      <c r="AB62" s="1370"/>
      <c r="AC62" s="1370"/>
      <c r="AD62" s="1370"/>
      <c r="AE62" s="1370"/>
      <c r="AF62" s="1370"/>
      <c r="AG62" s="1370"/>
      <c r="AH62" s="1370"/>
      <c r="AI62" s="1370"/>
      <c r="AJ62" s="1370"/>
      <c r="AK62" s="1370"/>
    </row>
    <row r="63" spans="1:37" s="1369" customFormat="1" ht="24">
      <c r="A63" s="2874" t="s">
        <v>2948</v>
      </c>
      <c r="B63" s="2878">
        <f>估价对象房地状况!C24</f>
        <v>0</v>
      </c>
      <c r="C63" s="2766"/>
      <c r="D63" s="1285">
        <f t="shared" si="14"/>
        <v>0</v>
      </c>
      <c r="E63" s="818"/>
      <c r="F63" s="2499"/>
      <c r="G63" s="1283"/>
      <c r="H63" s="1287" t="str">
        <f t="shared" si="15"/>
        <v>——</v>
      </c>
      <c r="I63" s="816">
        <v>0.05</v>
      </c>
      <c r="J63" s="1284">
        <f t="shared" si="16"/>
        <v>0</v>
      </c>
      <c r="K63" s="1284">
        <f t="shared" si="17"/>
        <v>0</v>
      </c>
      <c r="L63" s="1284">
        <v>0</v>
      </c>
      <c r="M63" s="1284">
        <f t="shared" si="18"/>
        <v>0</v>
      </c>
      <c r="N63" s="1284">
        <f t="shared" si="18"/>
        <v>0</v>
      </c>
      <c r="AA63" s="1370"/>
      <c r="AB63" s="1370"/>
      <c r="AC63" s="1370"/>
      <c r="AD63" s="1370"/>
      <c r="AE63" s="1370"/>
      <c r="AF63" s="1370"/>
      <c r="AG63" s="1370"/>
      <c r="AH63" s="1370"/>
      <c r="AI63" s="1370"/>
      <c r="AJ63" s="1370"/>
      <c r="AK63" s="1370"/>
    </row>
    <row r="64" spans="1:37" s="1369" customFormat="1" ht="24">
      <c r="A64" s="2874" t="s">
        <v>2949</v>
      </c>
      <c r="B64" s="2880" t="s">
        <v>2950</v>
      </c>
      <c r="C64" s="2766"/>
      <c r="D64" s="1285">
        <f t="shared" si="14"/>
        <v>0</v>
      </c>
      <c r="E64" s="818"/>
      <c r="F64" s="2499"/>
      <c r="G64" s="1283"/>
      <c r="H64" s="1287" t="str">
        <f t="shared" si="15"/>
        <v>——</v>
      </c>
      <c r="I64" s="816">
        <v>0.05</v>
      </c>
      <c r="J64" s="1284">
        <f t="shared" si="16"/>
        <v>0</v>
      </c>
      <c r="K64" s="1284">
        <f t="shared" si="17"/>
        <v>0</v>
      </c>
      <c r="L64" s="1284">
        <v>0</v>
      </c>
      <c r="M64" s="1284">
        <f t="shared" si="18"/>
        <v>0</v>
      </c>
      <c r="N64" s="1284">
        <f t="shared" si="18"/>
        <v>0</v>
      </c>
      <c r="AA64" s="1370"/>
      <c r="AB64" s="1370"/>
      <c r="AC64" s="1370"/>
      <c r="AD64" s="1370"/>
      <c r="AE64" s="1370"/>
      <c r="AF64" s="1370"/>
      <c r="AG64" s="1370"/>
      <c r="AH64" s="1370"/>
      <c r="AI64" s="1370"/>
      <c r="AJ64" s="1370"/>
      <c r="AK64" s="1370"/>
    </row>
    <row r="65" spans="1:37" s="1369" customFormat="1" ht="24">
      <c r="A65" s="2874" t="s">
        <v>2951</v>
      </c>
      <c r="B65" s="1724">
        <f>估价对象房地状况!C21</f>
        <v>0</v>
      </c>
      <c r="C65" s="2766"/>
      <c r="D65" s="1285">
        <f t="shared" si="14"/>
        <v>0</v>
      </c>
      <c r="E65" s="818"/>
      <c r="F65" s="2499"/>
      <c r="G65" s="1283"/>
      <c r="H65" s="1287" t="str">
        <f t="shared" si="15"/>
        <v>——</v>
      </c>
      <c r="I65" s="816">
        <v>0.06</v>
      </c>
      <c r="J65" s="1284">
        <f t="shared" si="16"/>
        <v>0</v>
      </c>
      <c r="K65" s="1284">
        <f t="shared" si="17"/>
        <v>0</v>
      </c>
      <c r="L65" s="1284">
        <v>0</v>
      </c>
      <c r="M65" s="1284">
        <f t="shared" si="18"/>
        <v>0</v>
      </c>
      <c r="N65" s="1284">
        <f t="shared" si="18"/>
        <v>0</v>
      </c>
      <c r="AA65" s="1370"/>
      <c r="AB65" s="1370"/>
      <c r="AC65" s="1370"/>
      <c r="AD65" s="1370"/>
      <c r="AE65" s="1370"/>
      <c r="AF65" s="1370"/>
      <c r="AG65" s="1370"/>
      <c r="AH65" s="1370"/>
      <c r="AI65" s="1370"/>
      <c r="AJ65" s="1370"/>
      <c r="AK65" s="1370"/>
    </row>
    <row r="66" spans="1:37" s="1369" customFormat="1" ht="24">
      <c r="A66" s="2874" t="s">
        <v>2952</v>
      </c>
      <c r="B66" s="1724">
        <f>估价对象房地状况!C22</f>
        <v>0</v>
      </c>
      <c r="C66" s="2766"/>
      <c r="D66" s="1285">
        <f t="shared" si="14"/>
        <v>0</v>
      </c>
      <c r="E66" s="818"/>
      <c r="F66" s="2499"/>
      <c r="G66" s="1283"/>
      <c r="H66" s="1287" t="str">
        <f t="shared" si="15"/>
        <v>——</v>
      </c>
      <c r="I66" s="816">
        <v>0.12</v>
      </c>
      <c r="J66" s="1284">
        <f t="shared" si="16"/>
        <v>0</v>
      </c>
      <c r="K66" s="1284">
        <f t="shared" si="17"/>
        <v>0</v>
      </c>
      <c r="L66" s="1284">
        <v>0</v>
      </c>
      <c r="M66" s="1284">
        <f t="shared" si="18"/>
        <v>0</v>
      </c>
      <c r="N66" s="1284">
        <f t="shared" si="18"/>
        <v>0</v>
      </c>
      <c r="AA66" s="1370"/>
      <c r="AB66" s="1370"/>
      <c r="AC66" s="1370"/>
      <c r="AD66" s="1370"/>
      <c r="AE66" s="1370"/>
      <c r="AF66" s="1370"/>
      <c r="AG66" s="1370"/>
      <c r="AH66" s="1370"/>
      <c r="AI66" s="1370"/>
      <c r="AJ66" s="1370"/>
      <c r="AK66" s="1370"/>
    </row>
    <row r="67" spans="1:37" s="1369" customFormat="1" ht="24.75" thickBot="1">
      <c r="A67" s="2882" t="s">
        <v>2953</v>
      </c>
      <c r="B67" s="2884">
        <f>估价对象房地状况!C20</f>
        <v>0</v>
      </c>
      <c r="C67" s="2766"/>
      <c r="D67" s="1285">
        <f t="shared" si="14"/>
        <v>0</v>
      </c>
      <c r="E67" s="821"/>
      <c r="F67" s="2499"/>
      <c r="G67" s="1283"/>
      <c r="H67" s="1287" t="str">
        <f t="shared" si="15"/>
        <v>——</v>
      </c>
      <c r="I67" s="820">
        <v>0.06</v>
      </c>
      <c r="J67" s="1284">
        <f t="shared" si="16"/>
        <v>0</v>
      </c>
      <c r="K67" s="1284">
        <f t="shared" si="17"/>
        <v>0</v>
      </c>
      <c r="L67" s="1284">
        <v>0</v>
      </c>
      <c r="M67" s="1284">
        <f t="shared" si="18"/>
        <v>0</v>
      </c>
      <c r="N67" s="1284">
        <f t="shared" si="18"/>
        <v>0</v>
      </c>
      <c r="AA67" s="1370"/>
      <c r="AB67" s="1370"/>
      <c r="AC67" s="1370"/>
      <c r="AD67" s="1370"/>
      <c r="AE67" s="1370"/>
      <c r="AF67" s="1370"/>
      <c r="AG67" s="1370"/>
      <c r="AH67" s="1370"/>
      <c r="AI67" s="1370"/>
      <c r="AJ67" s="1370"/>
      <c r="AK67" s="1370"/>
    </row>
    <row r="68" spans="1:37" s="1369" customFormat="1" ht="15">
      <c r="A68" s="2870" t="s">
        <v>2957</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2935</v>
      </c>
      <c r="B69" s="1808"/>
      <c r="C69" s="1808" t="s">
        <v>2937</v>
      </c>
      <c r="D69" s="1808" t="s">
        <v>2938</v>
      </c>
      <c r="E69" s="815" t="s">
        <v>2939</v>
      </c>
      <c r="F69" s="2875" t="s">
        <v>2955</v>
      </c>
      <c r="G69" s="1808" t="s">
        <v>754</v>
      </c>
      <c r="H69" s="2876" t="s">
        <v>2941</v>
      </c>
      <c r="I69" s="1808" t="s">
        <v>2942</v>
      </c>
      <c r="J69" s="602" t="s">
        <v>2589</v>
      </c>
      <c r="K69" s="602" t="s">
        <v>2590</v>
      </c>
      <c r="L69" s="602" t="s">
        <v>2591</v>
      </c>
      <c r="M69" s="602" t="s">
        <v>2592</v>
      </c>
      <c r="N69" s="602" t="s">
        <v>2593</v>
      </c>
      <c r="AA69" s="1370"/>
      <c r="AB69" s="1370"/>
      <c r="AC69" s="1370"/>
      <c r="AD69" s="1370"/>
      <c r="AE69" s="1370"/>
      <c r="AF69" s="1370"/>
      <c r="AG69" s="1370"/>
      <c r="AH69" s="1370"/>
      <c r="AI69" s="1370"/>
      <c r="AJ69" s="1370"/>
      <c r="AK69" s="1370"/>
    </row>
    <row r="70" spans="1:37" s="1369" customFormat="1" ht="24">
      <c r="A70" s="2874" t="s">
        <v>2958</v>
      </c>
      <c r="B70" s="2877">
        <f>估价对象房地状况!C15</f>
        <v>0</v>
      </c>
      <c r="C70" s="2766"/>
      <c r="D70" s="1285">
        <f t="shared" ref="D70:D78" si="19">SUMIF($J$69:$N$69,C70,J70:N70)</f>
        <v>0</v>
      </c>
      <c r="E70" s="817">
        <f>ROUND(SUM(D70:D78),4)</f>
        <v>0</v>
      </c>
      <c r="F70" s="2499" t="str">
        <f>IF(E2="住宅",SUMIF(L1:L12,G2,N1:N12),"——")</f>
        <v>——</v>
      </c>
      <c r="G70" s="1283"/>
      <c r="H70" s="1287" t="str">
        <f t="shared" ref="H70:H78" si="20">IFERROR(ROUNDDOWN($F$70*I70/2,4),"——")</f>
        <v>——</v>
      </c>
      <c r="I70" s="816">
        <v>0.14000000000000001</v>
      </c>
      <c r="J70" s="1284">
        <f t="shared" ref="J70:J78" si="21">K70+$G70</f>
        <v>0</v>
      </c>
      <c r="K70" s="1284">
        <f t="shared" ref="K70:K78" si="22">$L70+$G70</f>
        <v>0</v>
      </c>
      <c r="L70" s="1284">
        <v>0</v>
      </c>
      <c r="M70" s="1284">
        <f t="shared" ref="M70:N78" si="23">L70-$G70</f>
        <v>0</v>
      </c>
      <c r="N70" s="1284">
        <f t="shared" si="23"/>
        <v>0</v>
      </c>
      <c r="AA70" s="1370"/>
      <c r="AB70" s="1370"/>
      <c r="AC70" s="1370"/>
      <c r="AD70" s="1370"/>
      <c r="AE70" s="1370"/>
      <c r="AF70" s="1370"/>
      <c r="AG70" s="1370"/>
      <c r="AH70" s="1370"/>
      <c r="AI70" s="1370"/>
      <c r="AJ70" s="1370"/>
      <c r="AK70" s="1370"/>
    </row>
    <row r="71" spans="1:37" s="1369" customFormat="1" ht="14.25">
      <c r="A71" s="2874" t="s">
        <v>2944</v>
      </c>
      <c r="B71" s="2878">
        <f>估价对象房地状况!C18</f>
        <v>0</v>
      </c>
      <c r="C71" s="2766"/>
      <c r="D71" s="1285">
        <f t="shared" si="19"/>
        <v>0</v>
      </c>
      <c r="E71" s="822"/>
      <c r="F71" s="2499"/>
      <c r="G71" s="1283"/>
      <c r="H71" s="1287" t="str">
        <f t="shared" si="20"/>
        <v>——</v>
      </c>
      <c r="I71" s="816">
        <v>0.3</v>
      </c>
      <c r="J71" s="1284">
        <f t="shared" si="21"/>
        <v>0</v>
      </c>
      <c r="K71" s="1284">
        <f t="shared" si="22"/>
        <v>0</v>
      </c>
      <c r="L71" s="1284">
        <v>0</v>
      </c>
      <c r="M71" s="1284">
        <f t="shared" si="23"/>
        <v>0</v>
      </c>
      <c r="N71" s="1284">
        <f t="shared" si="23"/>
        <v>0</v>
      </c>
      <c r="AA71" s="1370"/>
      <c r="AB71" s="1370"/>
      <c r="AC71" s="1370"/>
      <c r="AD71" s="1370"/>
      <c r="AE71" s="1370"/>
      <c r="AF71" s="1370"/>
      <c r="AG71" s="1370"/>
      <c r="AH71" s="1370"/>
      <c r="AI71" s="1370"/>
      <c r="AJ71" s="1370"/>
      <c r="AK71" s="1370"/>
    </row>
    <row r="72" spans="1:37" s="1369" customFormat="1" ht="24">
      <c r="A72" s="2874" t="s">
        <v>2945</v>
      </c>
      <c r="B72" s="2878">
        <f>估价对象房地状况!C19</f>
        <v>0</v>
      </c>
      <c r="C72" s="2766"/>
      <c r="D72" s="1285">
        <f t="shared" si="19"/>
        <v>0</v>
      </c>
      <c r="E72" s="822"/>
      <c r="F72" s="2499"/>
      <c r="G72" s="1283"/>
      <c r="H72" s="1287" t="str">
        <f t="shared" si="20"/>
        <v>——</v>
      </c>
      <c r="I72" s="816">
        <v>0.08</v>
      </c>
      <c r="J72" s="1284">
        <f t="shared" si="21"/>
        <v>0</v>
      </c>
      <c r="K72" s="1284">
        <f t="shared" si="22"/>
        <v>0</v>
      </c>
      <c r="L72" s="1284">
        <v>0</v>
      </c>
      <c r="M72" s="1284">
        <f t="shared" si="23"/>
        <v>0</v>
      </c>
      <c r="N72" s="1284">
        <f t="shared" si="23"/>
        <v>0</v>
      </c>
      <c r="AA72" s="1370"/>
      <c r="AB72" s="1370"/>
      <c r="AC72" s="1370"/>
      <c r="AD72" s="1370"/>
      <c r="AE72" s="1370"/>
      <c r="AF72" s="1370"/>
      <c r="AG72" s="1370"/>
      <c r="AH72" s="1370"/>
      <c r="AI72" s="1370"/>
      <c r="AJ72" s="1370"/>
      <c r="AK72" s="1370"/>
    </row>
    <row r="73" spans="1:37" s="1369" customFormat="1" ht="14.25">
      <c r="A73" s="2874" t="s">
        <v>2959</v>
      </c>
      <c r="B73" s="2878">
        <f>估价对象房地状况!C24</f>
        <v>0</v>
      </c>
      <c r="C73" s="2766"/>
      <c r="D73" s="1285">
        <f t="shared" si="19"/>
        <v>0</v>
      </c>
      <c r="E73" s="822"/>
      <c r="F73" s="2499"/>
      <c r="G73" s="1283"/>
      <c r="H73" s="1287" t="str">
        <f t="shared" si="20"/>
        <v>——</v>
      </c>
      <c r="I73" s="816">
        <v>0.04</v>
      </c>
      <c r="J73" s="1284">
        <f t="shared" si="21"/>
        <v>0</v>
      </c>
      <c r="K73" s="1284">
        <f t="shared" si="22"/>
        <v>0</v>
      </c>
      <c r="L73" s="1284">
        <v>0</v>
      </c>
      <c r="M73" s="1284">
        <f t="shared" si="23"/>
        <v>0</v>
      </c>
      <c r="N73" s="1284">
        <f t="shared" si="23"/>
        <v>0</v>
      </c>
      <c r="AA73" s="1370"/>
      <c r="AB73" s="1370"/>
      <c r="AC73" s="1370"/>
      <c r="AD73" s="1370"/>
      <c r="AE73" s="1370"/>
      <c r="AF73" s="1370"/>
      <c r="AG73" s="1370"/>
      <c r="AH73" s="1370"/>
      <c r="AI73" s="1370"/>
      <c r="AJ73" s="1370"/>
      <c r="AK73" s="1370"/>
    </row>
    <row r="74" spans="1:37" s="1369" customFormat="1" ht="24">
      <c r="A74" s="2874" t="s">
        <v>2951</v>
      </c>
      <c r="B74" s="1724">
        <f>估价对象房地状况!C21</f>
        <v>0</v>
      </c>
      <c r="C74" s="2766"/>
      <c r="D74" s="1285">
        <f t="shared" si="19"/>
        <v>0</v>
      </c>
      <c r="E74" s="822"/>
      <c r="F74" s="2499"/>
      <c r="G74" s="1283"/>
      <c r="H74" s="1287" t="str">
        <f t="shared" si="20"/>
        <v>——</v>
      </c>
      <c r="I74" s="816">
        <v>0.08</v>
      </c>
      <c r="J74" s="1284">
        <f t="shared" si="21"/>
        <v>0</v>
      </c>
      <c r="K74" s="1284">
        <f t="shared" si="22"/>
        <v>0</v>
      </c>
      <c r="L74" s="1284">
        <v>0</v>
      </c>
      <c r="M74" s="1284">
        <f t="shared" si="23"/>
        <v>0</v>
      </c>
      <c r="N74" s="1284">
        <f t="shared" si="23"/>
        <v>0</v>
      </c>
      <c r="AA74" s="1370"/>
      <c r="AB74" s="1370"/>
      <c r="AC74" s="1370"/>
      <c r="AD74" s="1370"/>
      <c r="AE74" s="1370"/>
      <c r="AF74" s="1370"/>
      <c r="AG74" s="1370"/>
      <c r="AH74" s="1370"/>
      <c r="AI74" s="1370"/>
      <c r="AJ74" s="1370"/>
      <c r="AK74" s="1370"/>
    </row>
    <row r="75" spans="1:37" s="1369" customFormat="1" ht="24">
      <c r="A75" s="2874" t="s">
        <v>2952</v>
      </c>
      <c r="B75" s="1724">
        <f>估价对象房地状况!C22</f>
        <v>0</v>
      </c>
      <c r="C75" s="2766"/>
      <c r="D75" s="1285">
        <f t="shared" si="19"/>
        <v>0</v>
      </c>
      <c r="E75" s="822"/>
      <c r="F75" s="2499"/>
      <c r="G75" s="1283"/>
      <c r="H75" s="1287" t="str">
        <f t="shared" si="20"/>
        <v>——</v>
      </c>
      <c r="I75" s="816">
        <v>0.12</v>
      </c>
      <c r="J75" s="1284">
        <f t="shared" si="21"/>
        <v>0</v>
      </c>
      <c r="K75" s="1284">
        <f t="shared" si="22"/>
        <v>0</v>
      </c>
      <c r="L75" s="1284">
        <v>0</v>
      </c>
      <c r="M75" s="1284">
        <f t="shared" si="23"/>
        <v>0</v>
      </c>
      <c r="N75" s="1284">
        <f t="shared" si="23"/>
        <v>0</v>
      </c>
      <c r="AA75" s="1370"/>
      <c r="AB75" s="1370"/>
      <c r="AC75" s="1370"/>
      <c r="AD75" s="1370"/>
      <c r="AE75" s="1370"/>
      <c r="AF75" s="1370"/>
      <c r="AG75" s="1370"/>
      <c r="AH75" s="1370"/>
      <c r="AI75" s="1370"/>
      <c r="AJ75" s="1370"/>
      <c r="AK75" s="1370"/>
    </row>
    <row r="76" spans="1:37" s="2715" customFormat="1" ht="24">
      <c r="A76" s="2874" t="s">
        <v>2949</v>
      </c>
      <c r="B76" s="2880" t="s">
        <v>2950</v>
      </c>
      <c r="C76" s="2766"/>
      <c r="D76" s="1285">
        <f t="shared" si="19"/>
        <v>0</v>
      </c>
      <c r="E76" s="822"/>
      <c r="F76" s="2499"/>
      <c r="G76" s="1283"/>
      <c r="H76" s="1287" t="str">
        <f t="shared" si="20"/>
        <v>——</v>
      </c>
      <c r="I76" s="816">
        <v>0.05</v>
      </c>
      <c r="J76" s="1284">
        <f t="shared" si="21"/>
        <v>0</v>
      </c>
      <c r="K76" s="1284">
        <f t="shared" si="22"/>
        <v>0</v>
      </c>
      <c r="L76" s="1284">
        <v>0</v>
      </c>
      <c r="M76" s="1284">
        <f t="shared" si="23"/>
        <v>0</v>
      </c>
      <c r="N76" s="1284">
        <f t="shared" si="23"/>
        <v>0</v>
      </c>
      <c r="AA76" s="2885"/>
      <c r="AB76" s="1370"/>
      <c r="AC76" s="1370"/>
      <c r="AD76" s="1370"/>
      <c r="AE76" s="1370"/>
      <c r="AF76" s="1370"/>
      <c r="AG76" s="1370"/>
      <c r="AH76" s="2885"/>
      <c r="AI76" s="2885"/>
      <c r="AJ76" s="2885"/>
      <c r="AK76" s="2885"/>
    </row>
    <row r="77" spans="1:37" ht="24">
      <c r="A77" s="2874" t="s">
        <v>2953</v>
      </c>
      <c r="B77" s="2877">
        <f>估价对象房地状况!C20</f>
        <v>0</v>
      </c>
      <c r="C77" s="2766"/>
      <c r="D77" s="1285">
        <f t="shared" si="19"/>
        <v>0</v>
      </c>
      <c r="E77" s="822"/>
      <c r="F77" s="2499"/>
      <c r="G77" s="1283"/>
      <c r="H77" s="1287" t="str">
        <f t="shared" si="20"/>
        <v>——</v>
      </c>
      <c r="I77" s="816">
        <v>0.15</v>
      </c>
      <c r="J77" s="1284">
        <f t="shared" si="21"/>
        <v>0</v>
      </c>
      <c r="K77" s="1284">
        <f t="shared" si="22"/>
        <v>0</v>
      </c>
      <c r="L77" s="1284">
        <v>0</v>
      </c>
      <c r="M77" s="1284">
        <f t="shared" si="23"/>
        <v>0</v>
      </c>
      <c r="N77" s="1284">
        <f t="shared" si="23"/>
        <v>0</v>
      </c>
      <c r="Z77" s="2716"/>
      <c r="AA77" s="2792"/>
      <c r="AG77" s="1371"/>
      <c r="AK77" s="2792"/>
    </row>
    <row r="78" spans="1:37" ht="24.75" thickBot="1">
      <c r="A78" s="2882" t="s">
        <v>2960</v>
      </c>
      <c r="B78" s="2886"/>
      <c r="C78" s="2766"/>
      <c r="D78" s="1285">
        <f t="shared" si="19"/>
        <v>0</v>
      </c>
      <c r="E78" s="823"/>
      <c r="F78" s="2499"/>
      <c r="G78" s="1283"/>
      <c r="H78" s="1287" t="str">
        <f t="shared" si="20"/>
        <v>——</v>
      </c>
      <c r="I78" s="820">
        <v>0.04</v>
      </c>
      <c r="J78" s="1284">
        <f t="shared" si="21"/>
        <v>0</v>
      </c>
      <c r="K78" s="1284">
        <f t="shared" si="22"/>
        <v>0</v>
      </c>
      <c r="L78" s="1284">
        <v>0</v>
      </c>
      <c r="M78" s="1284">
        <f t="shared" si="23"/>
        <v>0</v>
      </c>
      <c r="N78" s="1284">
        <f t="shared" si="23"/>
        <v>0</v>
      </c>
      <c r="Z78" s="2716"/>
      <c r="AA78" s="2792"/>
      <c r="AG78" s="1371"/>
      <c r="AK78" s="2792"/>
    </row>
    <row r="79" spans="1:37" ht="15">
      <c r="A79" s="2870" t="s">
        <v>2961</v>
      </c>
      <c r="B79" s="2871">
        <f>1+E81</f>
        <v>1</v>
      </c>
      <c r="C79" s="810"/>
      <c r="D79" s="810"/>
      <c r="E79" s="811"/>
      <c r="F79" s="2873"/>
      <c r="G79" s="6"/>
      <c r="H79" s="6"/>
      <c r="I79" s="6"/>
      <c r="J79" s="7"/>
      <c r="K79" s="7"/>
      <c r="L79" s="7"/>
      <c r="M79" s="7"/>
      <c r="N79" s="7"/>
      <c r="Z79" s="2716"/>
      <c r="AA79" s="2792"/>
      <c r="AG79" s="1371"/>
      <c r="AK79" s="2792"/>
    </row>
    <row r="80" spans="1:37" ht="24.75">
      <c r="A80" s="2874" t="s">
        <v>2935</v>
      </c>
      <c r="B80" s="1808"/>
      <c r="C80" s="1808" t="s">
        <v>2937</v>
      </c>
      <c r="D80" s="1808" t="s">
        <v>2938</v>
      </c>
      <c r="E80" s="815" t="s">
        <v>2939</v>
      </c>
      <c r="F80" s="2875" t="s">
        <v>2955</v>
      </c>
      <c r="G80" s="1808" t="s">
        <v>754</v>
      </c>
      <c r="H80" s="2876" t="s">
        <v>2941</v>
      </c>
      <c r="I80" s="1808" t="s">
        <v>2942</v>
      </c>
      <c r="J80" s="602" t="s">
        <v>2589</v>
      </c>
      <c r="K80" s="602" t="s">
        <v>2590</v>
      </c>
      <c r="L80" s="602" t="s">
        <v>2591</v>
      </c>
      <c r="M80" s="602" t="s">
        <v>2592</v>
      </c>
      <c r="N80" s="602" t="s">
        <v>2593</v>
      </c>
      <c r="Z80" s="2716"/>
      <c r="AA80" s="2792"/>
      <c r="AG80" s="1371"/>
      <c r="AK80" s="2792"/>
    </row>
    <row r="81" spans="1:37" ht="24">
      <c r="A81" s="2874" t="s">
        <v>2962</v>
      </c>
      <c r="B81" s="2878">
        <f>估价对象房地状况!G15</f>
        <v>0</v>
      </c>
      <c r="C81" s="2766"/>
      <c r="D81" s="1285">
        <f t="shared" ref="D81:D88" si="24">SUMIF($J$80:$N$80,C81,J81:N81)</f>
        <v>0</v>
      </c>
      <c r="E81" s="817">
        <f>ROUND(SUM(D81:D88),4)</f>
        <v>0</v>
      </c>
      <c r="F81" s="2499" t="str">
        <f>IF(E2="工业",SUMIF(L1:L12,G2,N1:N12),"——")</f>
        <v>——</v>
      </c>
      <c r="G81" s="1283"/>
      <c r="H81" s="1287" t="str">
        <f t="shared" ref="H81:H88" si="25">IFERROR(ROUNDDOWN($F$81*I81/2,4),"——")</f>
        <v>——</v>
      </c>
      <c r="I81" s="816">
        <v>0.26</v>
      </c>
      <c r="J81" s="1284">
        <f t="shared" ref="J81:J88" si="26">K81+$G81</f>
        <v>0</v>
      </c>
      <c r="K81" s="1284">
        <f t="shared" ref="K81:K88" si="27">$L81+$G81</f>
        <v>0</v>
      </c>
      <c r="L81" s="1284">
        <v>0</v>
      </c>
      <c r="M81" s="1284">
        <f t="shared" ref="M81:N88" si="28">L81-$G81</f>
        <v>0</v>
      </c>
      <c r="N81" s="1284">
        <f t="shared" si="28"/>
        <v>0</v>
      </c>
      <c r="Z81" s="2716"/>
      <c r="AA81" s="2792"/>
      <c r="AG81" s="1371"/>
      <c r="AK81" s="2792"/>
    </row>
    <row r="82" spans="1:37" ht="14.25">
      <c r="A82" s="2874" t="s">
        <v>2944</v>
      </c>
      <c r="B82" s="2878">
        <f>估价对象房地状况!G16</f>
        <v>0</v>
      </c>
      <c r="C82" s="2766"/>
      <c r="D82" s="1285">
        <f t="shared" si="24"/>
        <v>0</v>
      </c>
      <c r="E82" s="822"/>
      <c r="F82" s="2499"/>
      <c r="G82" s="1283"/>
      <c r="H82" s="1287" t="str">
        <f t="shared" si="25"/>
        <v>——</v>
      </c>
      <c r="I82" s="816">
        <v>0.33</v>
      </c>
      <c r="J82" s="1284">
        <f t="shared" si="26"/>
        <v>0</v>
      </c>
      <c r="K82" s="1284">
        <f t="shared" si="27"/>
        <v>0</v>
      </c>
      <c r="L82" s="1284">
        <v>0</v>
      </c>
      <c r="M82" s="1284">
        <f t="shared" si="28"/>
        <v>0</v>
      </c>
      <c r="N82" s="1284">
        <f t="shared" si="28"/>
        <v>0</v>
      </c>
      <c r="Z82" s="2716"/>
      <c r="AA82" s="2792"/>
      <c r="AG82" s="1371"/>
      <c r="AK82" s="2792"/>
    </row>
    <row r="83" spans="1:37" ht="24">
      <c r="A83" s="2874" t="s">
        <v>2945</v>
      </c>
      <c r="B83" s="2878">
        <f>估价对象房地状况!G17</f>
        <v>0</v>
      </c>
      <c r="C83" s="2766"/>
      <c r="D83" s="1285">
        <f t="shared" si="24"/>
        <v>0</v>
      </c>
      <c r="E83" s="822"/>
      <c r="F83" s="2499"/>
      <c r="G83" s="1283"/>
      <c r="H83" s="1287" t="str">
        <f t="shared" si="25"/>
        <v>——</v>
      </c>
      <c r="I83" s="816">
        <v>0.05</v>
      </c>
      <c r="J83" s="1284">
        <f t="shared" si="26"/>
        <v>0</v>
      </c>
      <c r="K83" s="1284">
        <f t="shared" si="27"/>
        <v>0</v>
      </c>
      <c r="L83" s="1284">
        <v>0</v>
      </c>
      <c r="M83" s="1284">
        <f t="shared" si="28"/>
        <v>0</v>
      </c>
      <c r="N83" s="1284">
        <f t="shared" si="28"/>
        <v>0</v>
      </c>
      <c r="Z83" s="2716"/>
      <c r="AA83" s="2792"/>
      <c r="AG83" s="1371"/>
      <c r="AK83" s="2792"/>
    </row>
    <row r="84" spans="1:37" ht="14.25">
      <c r="A84" s="2874" t="s">
        <v>2959</v>
      </c>
      <c r="B84" s="2878">
        <f>估价对象房地状况!G22</f>
        <v>0</v>
      </c>
      <c r="C84" s="2766"/>
      <c r="D84" s="1285">
        <f t="shared" si="24"/>
        <v>0</v>
      </c>
      <c r="E84" s="822"/>
      <c r="F84" s="2499"/>
      <c r="G84" s="1283"/>
      <c r="H84" s="1287" t="str">
        <f t="shared" si="25"/>
        <v>——</v>
      </c>
      <c r="I84" s="816">
        <v>0.04</v>
      </c>
      <c r="J84" s="1284">
        <f t="shared" si="26"/>
        <v>0</v>
      </c>
      <c r="K84" s="1284">
        <f t="shared" si="27"/>
        <v>0</v>
      </c>
      <c r="L84" s="1284">
        <v>0</v>
      </c>
      <c r="M84" s="1284">
        <f t="shared" si="28"/>
        <v>0</v>
      </c>
      <c r="N84" s="1284">
        <f t="shared" si="28"/>
        <v>0</v>
      </c>
      <c r="Z84" s="2716"/>
      <c r="AA84" s="2792"/>
      <c r="AG84" s="1371"/>
      <c r="AK84" s="2792"/>
    </row>
    <row r="85" spans="1:37" ht="24">
      <c r="A85" s="2874" t="s">
        <v>2951</v>
      </c>
      <c r="B85" s="1724">
        <f>估价对象房地状况!G19</f>
        <v>0</v>
      </c>
      <c r="C85" s="2766"/>
      <c r="D85" s="1285">
        <f t="shared" si="24"/>
        <v>0</v>
      </c>
      <c r="E85" s="822"/>
      <c r="F85" s="2499"/>
      <c r="G85" s="1283"/>
      <c r="H85" s="1287" t="str">
        <f t="shared" si="25"/>
        <v>——</v>
      </c>
      <c r="I85" s="816">
        <v>0.06</v>
      </c>
      <c r="J85" s="1284">
        <f t="shared" si="26"/>
        <v>0</v>
      </c>
      <c r="K85" s="1284">
        <f t="shared" si="27"/>
        <v>0</v>
      </c>
      <c r="L85" s="1284">
        <v>0</v>
      </c>
      <c r="M85" s="1284">
        <f t="shared" si="28"/>
        <v>0</v>
      </c>
      <c r="N85" s="1284">
        <f t="shared" si="28"/>
        <v>0</v>
      </c>
      <c r="Z85" s="2716"/>
      <c r="AA85" s="2792"/>
      <c r="AG85" s="1371"/>
      <c r="AK85" s="2792"/>
    </row>
    <row r="86" spans="1:37" ht="24">
      <c r="A86" s="2874" t="s">
        <v>2952</v>
      </c>
      <c r="B86" s="1724">
        <f>估价对象房地状况!G20</f>
        <v>0</v>
      </c>
      <c r="C86" s="2766"/>
      <c r="D86" s="1285">
        <f t="shared" si="24"/>
        <v>0</v>
      </c>
      <c r="E86" s="822"/>
      <c r="F86" s="2499"/>
      <c r="G86" s="1283"/>
      <c r="H86" s="1287" t="str">
        <f t="shared" si="25"/>
        <v>——</v>
      </c>
      <c r="I86" s="816">
        <v>0.15</v>
      </c>
      <c r="J86" s="1284">
        <f t="shared" si="26"/>
        <v>0</v>
      </c>
      <c r="K86" s="1284">
        <f t="shared" si="27"/>
        <v>0</v>
      </c>
      <c r="L86" s="1284">
        <v>0</v>
      </c>
      <c r="M86" s="1284">
        <f t="shared" si="28"/>
        <v>0</v>
      </c>
      <c r="N86" s="1284">
        <f t="shared" si="28"/>
        <v>0</v>
      </c>
      <c r="Z86" s="2716"/>
      <c r="AA86" s="2792"/>
      <c r="AG86" s="1371"/>
      <c r="AK86" s="2792"/>
    </row>
    <row r="87" spans="1:37" ht="24">
      <c r="A87" s="2874" t="s">
        <v>2949</v>
      </c>
      <c r="B87" s="2880" t="s">
        <v>2963</v>
      </c>
      <c r="C87" s="2766"/>
      <c r="D87" s="1285">
        <f t="shared" si="24"/>
        <v>0</v>
      </c>
      <c r="E87" s="822"/>
      <c r="F87" s="2499"/>
      <c r="G87" s="1283"/>
      <c r="H87" s="1287" t="str">
        <f t="shared" si="25"/>
        <v>——</v>
      </c>
      <c r="I87" s="816">
        <v>0.05</v>
      </c>
      <c r="J87" s="1284">
        <f t="shared" si="26"/>
        <v>0</v>
      </c>
      <c r="K87" s="1284">
        <f t="shared" si="27"/>
        <v>0</v>
      </c>
      <c r="L87" s="1284">
        <v>0</v>
      </c>
      <c r="M87" s="1284">
        <f t="shared" si="28"/>
        <v>0</v>
      </c>
      <c r="N87" s="1284">
        <f t="shared" si="28"/>
        <v>0</v>
      </c>
      <c r="Z87" s="2716"/>
      <c r="AA87" s="2792"/>
      <c r="AG87" s="1371"/>
      <c r="AK87" s="2792"/>
    </row>
    <row r="88" spans="1:37" ht="15" thickBot="1">
      <c r="A88" s="2882" t="s">
        <v>2964</v>
      </c>
      <c r="B88" s="2887">
        <f>估价对象房地状况!G18</f>
        <v>0</v>
      </c>
      <c r="C88" s="2766"/>
      <c r="D88" s="1285">
        <f t="shared" si="24"/>
        <v>0</v>
      </c>
      <c r="E88" s="823"/>
      <c r="F88" s="2499"/>
      <c r="G88" s="1283"/>
      <c r="H88" s="1287" t="str">
        <f t="shared" si="25"/>
        <v>——</v>
      </c>
      <c r="I88" s="820">
        <v>0.06</v>
      </c>
      <c r="J88" s="1284">
        <f t="shared" si="26"/>
        <v>0</v>
      </c>
      <c r="K88" s="1284">
        <f t="shared" si="27"/>
        <v>0</v>
      </c>
      <c r="L88" s="1284">
        <v>0</v>
      </c>
      <c r="M88" s="1284">
        <f t="shared" si="28"/>
        <v>0</v>
      </c>
      <c r="N88" s="1284">
        <f t="shared" si="28"/>
        <v>0</v>
      </c>
      <c r="Z88" s="2716"/>
      <c r="AA88" s="2792"/>
      <c r="AG88" s="1371"/>
      <c r="AK88" s="2792"/>
    </row>
    <row r="90" spans="1:37">
      <c r="A90" s="3352" t="s">
        <v>2965</v>
      </c>
      <c r="B90" s="3352"/>
      <c r="C90" s="3352"/>
      <c r="D90" s="3352"/>
      <c r="E90" s="3352"/>
      <c r="F90" s="3352"/>
      <c r="G90" s="3352"/>
      <c r="H90" s="3352"/>
      <c r="I90" s="3352"/>
      <c r="J90" s="3352"/>
      <c r="K90" s="2888"/>
      <c r="L90" s="2888"/>
      <c r="M90" s="2888"/>
      <c r="N90" s="2888"/>
    </row>
    <row r="91" spans="1:37">
      <c r="A91" s="3354" t="s">
        <v>2966</v>
      </c>
      <c r="B91" s="3354" t="s">
        <v>2967</v>
      </c>
      <c r="C91" s="2842" t="s">
        <v>2968</v>
      </c>
      <c r="D91" s="2843"/>
      <c r="E91" s="2843"/>
      <c r="F91" s="2843"/>
      <c r="G91" s="2843"/>
      <c r="H91" s="2843"/>
      <c r="I91" s="2843"/>
      <c r="J91" s="2889"/>
      <c r="K91" s="2890"/>
      <c r="L91" s="2890"/>
      <c r="M91" s="2890"/>
      <c r="N91" s="2890"/>
    </row>
    <row r="92" spans="1:37">
      <c r="A92" s="3354"/>
      <c r="B92" s="3354"/>
      <c r="C92" s="941" t="s">
        <v>2832</v>
      </c>
      <c r="D92" s="941" t="s">
        <v>2833</v>
      </c>
      <c r="E92" s="941" t="s">
        <v>2834</v>
      </c>
      <c r="F92" s="941" t="s">
        <v>2835</v>
      </c>
      <c r="G92" s="941" t="s">
        <v>2836</v>
      </c>
      <c r="H92" s="941" t="s">
        <v>2837</v>
      </c>
      <c r="I92" s="941" t="s">
        <v>2838</v>
      </c>
      <c r="J92" s="941" t="s">
        <v>2839</v>
      </c>
      <c r="K92" s="941" t="s">
        <v>2840</v>
      </c>
      <c r="L92" s="941" t="s">
        <v>2841</v>
      </c>
      <c r="M92" s="941" t="s">
        <v>2842</v>
      </c>
      <c r="N92" s="941" t="s">
        <v>2843</v>
      </c>
    </row>
    <row r="93" spans="1:37">
      <c r="A93" s="3355"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5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5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5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5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5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56"/>
      <c r="B99" s="2891" t="s">
        <v>2848</v>
      </c>
      <c r="C99" s="2893">
        <f>$I$3</f>
        <v>0</v>
      </c>
      <c r="D99" s="2893">
        <f t="shared" ref="D99:M99" si="29">$I$3</f>
        <v>0</v>
      </c>
      <c r="E99" s="2893">
        <f t="shared" si="29"/>
        <v>0</v>
      </c>
      <c r="F99" s="2893">
        <f t="shared" si="29"/>
        <v>0</v>
      </c>
      <c r="G99" s="2893">
        <f t="shared" si="29"/>
        <v>0</v>
      </c>
      <c r="H99" s="2893">
        <f t="shared" si="29"/>
        <v>0</v>
      </c>
      <c r="I99" s="2893">
        <f t="shared" si="29"/>
        <v>0</v>
      </c>
      <c r="J99" s="2893">
        <f t="shared" si="29"/>
        <v>0</v>
      </c>
      <c r="K99" s="2893">
        <f t="shared" si="29"/>
        <v>0</v>
      </c>
      <c r="L99" s="2893">
        <f t="shared" si="29"/>
        <v>0</v>
      </c>
      <c r="M99" s="2893">
        <f t="shared" si="29"/>
        <v>0</v>
      </c>
      <c r="N99" s="2893">
        <f>$I$3</f>
        <v>0</v>
      </c>
    </row>
    <row r="100" spans="1:14">
      <c r="A100" s="335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55" t="s">
        <v>2970</v>
      </c>
      <c r="B101" s="2895" t="s">
        <v>2971</v>
      </c>
      <c r="C101" s="2896">
        <f>$G$3</f>
        <v>5.1100000000000003</v>
      </c>
      <c r="D101" s="2896">
        <f t="shared" ref="D101:N101" si="30">$G$3</f>
        <v>5.1100000000000003</v>
      </c>
      <c r="E101" s="2896">
        <f t="shared" si="30"/>
        <v>5.1100000000000003</v>
      </c>
      <c r="F101" s="2896">
        <f t="shared" si="30"/>
        <v>5.1100000000000003</v>
      </c>
      <c r="G101" s="2896">
        <f t="shared" si="30"/>
        <v>5.1100000000000003</v>
      </c>
      <c r="H101" s="2896">
        <f t="shared" si="30"/>
        <v>5.1100000000000003</v>
      </c>
      <c r="I101" s="2896">
        <f t="shared" si="30"/>
        <v>5.1100000000000003</v>
      </c>
      <c r="J101" s="2896">
        <f t="shared" si="30"/>
        <v>5.1100000000000003</v>
      </c>
      <c r="K101" s="2896">
        <f t="shared" si="30"/>
        <v>5.1100000000000003</v>
      </c>
      <c r="L101" s="2896">
        <f t="shared" si="30"/>
        <v>5.1100000000000003</v>
      </c>
      <c r="M101" s="2896">
        <f t="shared" si="30"/>
        <v>5.1100000000000003</v>
      </c>
      <c r="N101" s="2896">
        <f t="shared" si="30"/>
        <v>5.1100000000000003</v>
      </c>
    </row>
    <row r="102" spans="1:14">
      <c r="A102" s="3356"/>
      <c r="B102" s="2891">
        <v>1</v>
      </c>
      <c r="C102" s="2892">
        <f>1.9362/C101</f>
        <v>0.37890410958904108</v>
      </c>
      <c r="D102" s="2892">
        <f>1.9362/D101</f>
        <v>0.37890410958904108</v>
      </c>
      <c r="E102" s="2892">
        <f>1.8629/E101</f>
        <v>0.36455968688845397</v>
      </c>
      <c r="F102" s="2892">
        <f>1.8629/F101</f>
        <v>0.36455968688845397</v>
      </c>
      <c r="G102" s="2892">
        <f>1.8629/G101</f>
        <v>0.36455968688845397</v>
      </c>
      <c r="H102" s="2892">
        <f>1.8629/H101</f>
        <v>0.36455968688845397</v>
      </c>
      <c r="I102" s="2892">
        <f>1.8629/I101</f>
        <v>0.36455968688845397</v>
      </c>
      <c r="J102" s="2892">
        <f>1.942/J101</f>
        <v>0.38003913894324848</v>
      </c>
      <c r="K102" s="2892">
        <f>1.942/K101</f>
        <v>0.38003913894324848</v>
      </c>
      <c r="L102" s="2892">
        <f>1.942/L101</f>
        <v>0.38003913894324848</v>
      </c>
      <c r="M102" s="2892">
        <f>1.942/M101</f>
        <v>0.38003913894324848</v>
      </c>
      <c r="N102" s="2892">
        <f>1.942/N101</f>
        <v>0.38003913894324848</v>
      </c>
    </row>
    <row r="103" spans="1:14">
      <c r="A103" s="3356"/>
      <c r="B103" s="2891">
        <v>2</v>
      </c>
      <c r="C103" s="2892">
        <f>1.4198/C101</f>
        <v>0.27784735812133071</v>
      </c>
      <c r="D103" s="2892">
        <f>1.4198/D101</f>
        <v>0.27784735812133071</v>
      </c>
      <c r="E103" s="2892">
        <f>1.3372/E101</f>
        <v>0.26168297455968687</v>
      </c>
      <c r="F103" s="2892">
        <f>1.3372/F101</f>
        <v>0.26168297455968687</v>
      </c>
      <c r="G103" s="2892">
        <f>1.3372/G101</f>
        <v>0.26168297455968687</v>
      </c>
      <c r="H103" s="2892">
        <f>1.3372/H101</f>
        <v>0.26168297455968687</v>
      </c>
      <c r="I103" s="2892">
        <f>1.3372/I101</f>
        <v>0.26168297455968687</v>
      </c>
      <c r="J103" s="2892">
        <f>1.2799/J101</f>
        <v>0.2504696673189824</v>
      </c>
      <c r="K103" s="2892">
        <f>1.2799/K101</f>
        <v>0.2504696673189824</v>
      </c>
      <c r="L103" s="2892">
        <f>1.2799/L101</f>
        <v>0.2504696673189824</v>
      </c>
      <c r="M103" s="2892">
        <f>1.2799/M101</f>
        <v>0.2504696673189824</v>
      </c>
      <c r="N103" s="2892">
        <f>1.2799/N101</f>
        <v>0.2504696673189824</v>
      </c>
    </row>
    <row r="104" spans="1:14">
      <c r="A104" s="3356"/>
      <c r="B104" s="2891">
        <v>3</v>
      </c>
      <c r="C104" s="2892">
        <f>1.1594/C101</f>
        <v>0.22688845401174165</v>
      </c>
      <c r="D104" s="2892">
        <f>1.1594/D101</f>
        <v>0.22688845401174165</v>
      </c>
      <c r="E104" s="2892">
        <f>1.0788/E101</f>
        <v>0.21111545988258315</v>
      </c>
      <c r="F104" s="2892">
        <f>1.0788/F101</f>
        <v>0.21111545988258315</v>
      </c>
      <c r="G104" s="2892">
        <f>1.0788/G101</f>
        <v>0.21111545988258315</v>
      </c>
      <c r="H104" s="2892">
        <f>1.0788/H101</f>
        <v>0.21111545988258315</v>
      </c>
      <c r="I104" s="2892">
        <f>1.0788/I101</f>
        <v>0.21111545988258315</v>
      </c>
      <c r="J104" s="2892">
        <f>1.0072/J101</f>
        <v>0.19710371819960862</v>
      </c>
      <c r="K104" s="2892">
        <f>1.0072/K101</f>
        <v>0.19710371819960862</v>
      </c>
      <c r="L104" s="2892">
        <f>1.0072/L101</f>
        <v>0.19710371819960862</v>
      </c>
      <c r="M104" s="2892">
        <f>1.0072/M101</f>
        <v>0.19710371819960862</v>
      </c>
      <c r="N104" s="2892">
        <f>1.0072/N101</f>
        <v>0.19710371819960862</v>
      </c>
    </row>
    <row r="105" spans="1:14">
      <c r="A105" s="3356"/>
      <c r="B105" s="2891">
        <v>4</v>
      </c>
      <c r="C105" s="2892">
        <f>0.9622/C101</f>
        <v>0.18829745596868885</v>
      </c>
      <c r="D105" s="2892">
        <f>0.9622/D101</f>
        <v>0.18829745596868885</v>
      </c>
      <c r="E105" s="2892">
        <f>0.8656/E101</f>
        <v>0.16939334637964776</v>
      </c>
      <c r="F105" s="2892">
        <f>0.8656/F101</f>
        <v>0.16939334637964776</v>
      </c>
      <c r="G105" s="2892">
        <f>0.8656/G101</f>
        <v>0.16939334637964776</v>
      </c>
      <c r="H105" s="2892">
        <f>0.8656/H101</f>
        <v>0.16939334637964776</v>
      </c>
      <c r="I105" s="2892">
        <f>0.8656/I101</f>
        <v>0.16939334637964776</v>
      </c>
      <c r="J105" s="2892">
        <f>0.7525/J101</f>
        <v>0.14726027397260272</v>
      </c>
      <c r="K105" s="2892">
        <f>0.7525/K101</f>
        <v>0.14726027397260272</v>
      </c>
      <c r="L105" s="2892">
        <f>0.7525/L101</f>
        <v>0.14726027397260272</v>
      </c>
      <c r="M105" s="2892">
        <f>0.7525/M101</f>
        <v>0.14726027397260272</v>
      </c>
      <c r="N105" s="2892">
        <f>0.7525/N101</f>
        <v>0.14726027397260272</v>
      </c>
    </row>
    <row r="106" spans="1:14">
      <c r="A106" s="3356"/>
      <c r="B106" s="2891">
        <v>5</v>
      </c>
      <c r="C106" s="2892">
        <f>0.8417/C101</f>
        <v>0.16471624266144813</v>
      </c>
      <c r="D106" s="2892">
        <f>0.8417/D101</f>
        <v>0.16471624266144813</v>
      </c>
      <c r="E106" s="2892">
        <f>0.7371/E101</f>
        <v>0.14424657534246574</v>
      </c>
      <c r="F106" s="2892">
        <f>0.7371/F101</f>
        <v>0.14424657534246574</v>
      </c>
      <c r="G106" s="2892">
        <f>0.7371/G101</f>
        <v>0.14424657534246574</v>
      </c>
      <c r="H106" s="2892">
        <f>0.7371/H101</f>
        <v>0.14424657534246574</v>
      </c>
      <c r="I106" s="2892">
        <f>0.7371/I101</f>
        <v>0.14424657534246574</v>
      </c>
      <c r="J106" s="2892">
        <f>0.5659/J101</f>
        <v>0.11074363992172209</v>
      </c>
      <c r="K106" s="2892">
        <f>0.5659/K101</f>
        <v>0.11074363992172209</v>
      </c>
      <c r="L106" s="2892">
        <f>0.5659/L101</f>
        <v>0.11074363992172209</v>
      </c>
      <c r="M106" s="2892">
        <f>0.5659/M101</f>
        <v>0.11074363992172209</v>
      </c>
      <c r="N106" s="2892">
        <f>0.5659/N101</f>
        <v>0.11074363992172209</v>
      </c>
    </row>
    <row r="107" spans="1:14">
      <c r="A107" s="3356"/>
      <c r="B107" s="2891">
        <v>6</v>
      </c>
      <c r="C107" s="2892">
        <f>0.7608/C101</f>
        <v>0.14888454011741684</v>
      </c>
      <c r="D107" s="2892">
        <f>0.7608/D101</f>
        <v>0.14888454011741684</v>
      </c>
      <c r="E107" s="2892">
        <f>0.6482/E101</f>
        <v>0.12684931506849315</v>
      </c>
      <c r="F107" s="2892">
        <f>0.6482/F101</f>
        <v>0.12684931506849315</v>
      </c>
      <c r="G107" s="2892">
        <f>0.6482/G101</f>
        <v>0.12684931506849315</v>
      </c>
      <c r="H107" s="2892">
        <f>0.6482/H101</f>
        <v>0.12684931506849315</v>
      </c>
      <c r="I107" s="2892">
        <f>0.6482/I101</f>
        <v>0.12684931506849315</v>
      </c>
      <c r="J107" s="2892">
        <f>0.4525/J101</f>
        <v>8.85518590998043E-2</v>
      </c>
      <c r="K107" s="2892">
        <f>0.4525/K101</f>
        <v>8.85518590998043E-2</v>
      </c>
      <c r="L107" s="2892">
        <f>0.4525/L101</f>
        <v>8.85518590998043E-2</v>
      </c>
      <c r="M107" s="2892">
        <f>0.4525/M101</f>
        <v>8.85518590998043E-2</v>
      </c>
      <c r="N107" s="2892">
        <f>0.4525/N101</f>
        <v>8.85518590998043E-2</v>
      </c>
    </row>
    <row r="108" spans="1:14">
      <c r="A108" s="3356"/>
      <c r="B108" s="3180" t="s">
        <v>2972</v>
      </c>
      <c r="C108" s="2893">
        <f>C99</f>
        <v>0</v>
      </c>
      <c r="D108" s="2893">
        <f t="shared" ref="D108:N108" si="31">D99</f>
        <v>0</v>
      </c>
      <c r="E108" s="2893">
        <f t="shared" si="31"/>
        <v>0</v>
      </c>
      <c r="F108" s="2893">
        <f t="shared" si="31"/>
        <v>0</v>
      </c>
      <c r="G108" s="2893">
        <f t="shared" si="31"/>
        <v>0</v>
      </c>
      <c r="H108" s="2893">
        <f t="shared" si="31"/>
        <v>0</v>
      </c>
      <c r="I108" s="2893">
        <f t="shared" si="31"/>
        <v>0</v>
      </c>
      <c r="J108" s="2893">
        <f t="shared" si="31"/>
        <v>0</v>
      </c>
      <c r="K108" s="2893">
        <f t="shared" si="31"/>
        <v>0</v>
      </c>
      <c r="L108" s="2893">
        <f t="shared" si="31"/>
        <v>0</v>
      </c>
      <c r="M108" s="2893">
        <f t="shared" si="31"/>
        <v>0</v>
      </c>
      <c r="N108" s="2893">
        <f t="shared" si="31"/>
        <v>0</v>
      </c>
    </row>
    <row r="109" spans="1:14">
      <c r="A109" s="3357"/>
      <c r="B109" s="3181"/>
      <c r="C109" s="2894">
        <f>(-0.163*(C108^2)-0.59*C108+7617)*(10^(-4))/C101</f>
        <v>0.14906066536203522</v>
      </c>
      <c r="D109" s="2894">
        <f>(-0.163*(D108^2)-0.59*D108+7617)*(10^(-4))/D101</f>
        <v>0.14906066536203522</v>
      </c>
      <c r="E109" s="2894">
        <f>(-0.161*(E108^2)-7.509*E108+6533)*(10^(-4))/E101</f>
        <v>0.12784735812133072</v>
      </c>
      <c r="F109" s="2894">
        <f>(-0.161*(F108^2)-7.509*F108+6533)*(10^(-4))/F101</f>
        <v>0.12784735812133072</v>
      </c>
      <c r="G109" s="2894">
        <f>(-0.161*(G108^2)-7.509*G108+6533)*(10^(-4))/G101</f>
        <v>0.12784735812133072</v>
      </c>
      <c r="H109" s="2894">
        <f>(-0.161*(H108^2)-7.509*H108+6533)*(10^(-4))/H101</f>
        <v>0.12784735812133072</v>
      </c>
      <c r="I109" s="2894">
        <f>(-0.161*(I108^2)-7.509*I108+6533)*(10^(-4))/I101</f>
        <v>0.12784735812133072</v>
      </c>
      <c r="J109" s="2894">
        <f>(-0.214*(J108^2)-21.991*J108+4665)*(10^(-4))/J101</f>
        <v>9.1291585127201563E-2</v>
      </c>
      <c r="K109" s="2894">
        <f>(-0.214*(K108^2)-21.991*K108+4665)*(10^(-4))/K101</f>
        <v>9.1291585127201563E-2</v>
      </c>
      <c r="L109" s="2894">
        <f>(-0.214*(L108^2)-21.991*L108+4665)*(10^(-4))/L101</f>
        <v>9.1291585127201563E-2</v>
      </c>
      <c r="M109" s="2894">
        <f>(-0.214*(M108^2)-21.991*M108+4665)*(10^(-4))/M101</f>
        <v>9.1291585127201563E-2</v>
      </c>
      <c r="N109" s="2894">
        <f>(-0.214*(N108^2)-21.991*N108+4665)*(10^(-4))/N101</f>
        <v>9.1291585127201563E-2</v>
      </c>
    </row>
    <row r="110" spans="1:14">
      <c r="A110" s="3353" t="s">
        <v>2973</v>
      </c>
      <c r="B110" s="3353"/>
      <c r="C110" s="3353"/>
      <c r="D110" s="3353"/>
      <c r="E110" s="3353"/>
      <c r="F110" s="3353"/>
      <c r="G110" s="3353"/>
      <c r="H110" s="3353"/>
      <c r="I110" s="3353"/>
      <c r="J110" s="3353"/>
      <c r="K110" s="2897"/>
      <c r="L110" s="2897"/>
      <c r="M110" s="2897"/>
      <c r="N110" s="2897"/>
    </row>
    <row r="112" spans="1:14" ht="13.5" thickBot="1"/>
    <row r="113" spans="1:13" ht="25.5" thickBot="1">
      <c r="A113" s="899" t="s">
        <v>2974</v>
      </c>
      <c r="B113" s="1286">
        <f>G3</f>
        <v>5.1100000000000003</v>
      </c>
      <c r="C113" s="900" t="s">
        <v>2975</v>
      </c>
      <c r="D113" s="901">
        <f>SUMPRODUCT((A115:A118=F113)*(B114:M114=H113)*B115:M118)</f>
        <v>0</v>
      </c>
      <c r="E113" s="2720" t="s">
        <v>2805</v>
      </c>
      <c r="F113" s="2899">
        <f>E2</f>
        <v>0</v>
      </c>
      <c r="G113" s="2720" t="s">
        <v>2806</v>
      </c>
      <c r="H113" s="2899">
        <f>G2</f>
        <v>0</v>
      </c>
      <c r="I113" s="2720"/>
      <c r="J113" s="2900"/>
      <c r="K113" s="2900"/>
      <c r="L113" s="2900"/>
      <c r="M113" s="2900"/>
    </row>
    <row r="114" spans="1:13">
      <c r="A114" s="904"/>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5" t="s">
        <v>2870</v>
      </c>
      <c r="B115" s="906">
        <f>ROUND(0.9335-0.0094*B113,4)</f>
        <v>0.88549999999999995</v>
      </c>
      <c r="C115" s="906">
        <f>B115</f>
        <v>0.88549999999999995</v>
      </c>
      <c r="D115" s="906">
        <f>ROUND(0.8331-0.0109*B113,4)</f>
        <v>0.77739999999999998</v>
      </c>
      <c r="E115" s="906">
        <f>D115</f>
        <v>0.77739999999999998</v>
      </c>
      <c r="F115" s="906">
        <f>E115</f>
        <v>0.77739999999999998</v>
      </c>
      <c r="G115" s="906">
        <f>F115</f>
        <v>0.77739999999999998</v>
      </c>
      <c r="H115" s="906">
        <f>G115</f>
        <v>0.77739999999999998</v>
      </c>
      <c r="I115" s="906">
        <f>ROUND(0.689-0.0155*B113,4)</f>
        <v>0.60980000000000001</v>
      </c>
      <c r="J115" s="906">
        <f t="shared" ref="J115:M118" si="32">I115</f>
        <v>0.60980000000000001</v>
      </c>
      <c r="K115" s="906">
        <f t="shared" si="32"/>
        <v>0.60980000000000001</v>
      </c>
      <c r="L115" s="906">
        <f t="shared" si="32"/>
        <v>0.60980000000000001</v>
      </c>
      <c r="M115" s="907">
        <f t="shared" si="32"/>
        <v>0.60980000000000001</v>
      </c>
    </row>
    <row r="116" spans="1:13">
      <c r="A116" s="905" t="s">
        <v>2871</v>
      </c>
      <c r="B116" s="906">
        <f>ROUND(0.949-0.012*B113,4)</f>
        <v>0.88770000000000004</v>
      </c>
      <c r="C116" s="906">
        <f>B116</f>
        <v>0.88770000000000004</v>
      </c>
      <c r="D116" s="906">
        <f>ROUND(0.8567-0.013*B113,4)</f>
        <v>0.7903</v>
      </c>
      <c r="E116" s="906">
        <f t="shared" ref="E116:H117" si="33">D116</f>
        <v>0.7903</v>
      </c>
      <c r="F116" s="906">
        <f t="shared" si="33"/>
        <v>0.7903</v>
      </c>
      <c r="G116" s="906">
        <f t="shared" si="33"/>
        <v>0.7903</v>
      </c>
      <c r="H116" s="906">
        <f t="shared" si="33"/>
        <v>0.7903</v>
      </c>
      <c r="I116" s="906">
        <f>ROUND(0.7694-0.014*B113,4)</f>
        <v>0.69789999999999996</v>
      </c>
      <c r="J116" s="906">
        <f t="shared" si="32"/>
        <v>0.69789999999999996</v>
      </c>
      <c r="K116" s="906">
        <f t="shared" si="32"/>
        <v>0.69789999999999996</v>
      </c>
      <c r="L116" s="906">
        <f t="shared" si="32"/>
        <v>0.69789999999999996</v>
      </c>
      <c r="M116" s="907">
        <f t="shared" si="32"/>
        <v>0.69789999999999996</v>
      </c>
    </row>
    <row r="117" spans="1:13">
      <c r="A117" s="905" t="s">
        <v>2872</v>
      </c>
      <c r="B117" s="906">
        <f>ROUND(0.8808-0.006*B113,4)</f>
        <v>0.85009999999999997</v>
      </c>
      <c r="C117" s="906">
        <f>B117</f>
        <v>0.85009999999999997</v>
      </c>
      <c r="D117" s="906">
        <f>ROUND(0.8748-0.008*B113,4)</f>
        <v>0.83389999999999997</v>
      </c>
      <c r="E117" s="906">
        <f t="shared" si="33"/>
        <v>0.83389999999999997</v>
      </c>
      <c r="F117" s="906">
        <f t="shared" si="33"/>
        <v>0.83389999999999997</v>
      </c>
      <c r="G117" s="906">
        <f t="shared" si="33"/>
        <v>0.83389999999999997</v>
      </c>
      <c r="H117" s="906">
        <f t="shared" si="33"/>
        <v>0.83389999999999997</v>
      </c>
      <c r="I117" s="906">
        <f>ROUND(0.7412-0.0095*B113,4)</f>
        <v>0.69269999999999998</v>
      </c>
      <c r="J117" s="906">
        <f t="shared" si="32"/>
        <v>0.69269999999999998</v>
      </c>
      <c r="K117" s="906">
        <f t="shared" si="32"/>
        <v>0.69269999999999998</v>
      </c>
      <c r="L117" s="906">
        <f t="shared" si="32"/>
        <v>0.69269999999999998</v>
      </c>
      <c r="M117" s="907">
        <f t="shared" si="32"/>
        <v>0.69269999999999998</v>
      </c>
    </row>
    <row r="118" spans="1:13" ht="13.5" thickBot="1">
      <c r="A118" s="713" t="s">
        <v>2873</v>
      </c>
      <c r="B118" s="908">
        <f>ROUND(0.7275-0.01*B113,4)</f>
        <v>0.6764</v>
      </c>
      <c r="C118" s="908">
        <f>B118</f>
        <v>0.6764</v>
      </c>
      <c r="D118" s="908">
        <f>ROUND(0.7043-0.012*B113,4)</f>
        <v>0.64300000000000002</v>
      </c>
      <c r="E118" s="908">
        <f>D118</f>
        <v>0.64300000000000002</v>
      </c>
      <c r="F118" s="908">
        <f>E118</f>
        <v>0.64300000000000002</v>
      </c>
      <c r="G118" s="908">
        <f>ROUND(0.6299-0.0122*B113,4)</f>
        <v>0.56759999999999999</v>
      </c>
      <c r="H118" s="908">
        <f>G118</f>
        <v>0.56759999999999999</v>
      </c>
      <c r="I118" s="908">
        <f>ROUND(0.5667-0.0136*B113,4)</f>
        <v>0.49719999999999998</v>
      </c>
      <c r="J118" s="908">
        <f t="shared" si="32"/>
        <v>0.49719999999999998</v>
      </c>
      <c r="K118" s="908">
        <f t="shared" si="32"/>
        <v>0.49719999999999998</v>
      </c>
      <c r="L118" s="908">
        <f t="shared" si="32"/>
        <v>0.49719999999999998</v>
      </c>
      <c r="M118" s="909">
        <f t="shared" si="32"/>
        <v>0.49719999999999998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70" t="s">
        <v>183</v>
      </c>
      <c r="B18" s="878" t="s">
        <v>560</v>
      </c>
      <c r="C18" s="879" t="s">
        <v>561</v>
      </c>
      <c r="D18" s="880"/>
      <c r="E18" s="878">
        <v>1</v>
      </c>
      <c r="F18" s="881" t="s">
        <v>562</v>
      </c>
      <c r="G18" s="882"/>
      <c r="H18" s="874"/>
      <c r="I18" s="874"/>
    </row>
    <row r="19" spans="1:9" s="883" customFormat="1" ht="19.5" customHeight="1">
      <c r="A19" s="3370"/>
      <c r="B19" s="3370" t="s">
        <v>563</v>
      </c>
      <c r="C19" s="879" t="s">
        <v>564</v>
      </c>
      <c r="D19" s="880"/>
      <c r="E19" s="878">
        <v>0.9</v>
      </c>
      <c r="F19" s="881" t="s">
        <v>565</v>
      </c>
      <c r="G19" s="882"/>
      <c r="H19" s="874"/>
      <c r="I19" s="874"/>
    </row>
    <row r="20" spans="1:9" s="883" customFormat="1" ht="19.5" customHeight="1">
      <c r="A20" s="3370"/>
      <c r="B20" s="3370"/>
      <c r="C20" s="879" t="s">
        <v>566</v>
      </c>
      <c r="D20" s="880"/>
      <c r="E20" s="878">
        <v>1.1000000000000001</v>
      </c>
      <c r="F20" s="881" t="s">
        <v>567</v>
      </c>
      <c r="G20" s="882"/>
      <c r="H20" s="874"/>
      <c r="I20" s="874"/>
    </row>
    <row r="21" spans="1:9" s="883" customFormat="1" ht="19.5" customHeight="1">
      <c r="A21" s="3370"/>
      <c r="B21" s="3370"/>
      <c r="C21" s="879" t="s">
        <v>568</v>
      </c>
      <c r="D21" s="880"/>
      <c r="E21" s="878">
        <v>0.8</v>
      </c>
      <c r="F21" s="881" t="s">
        <v>569</v>
      </c>
      <c r="G21" s="882"/>
      <c r="H21" s="874"/>
      <c r="I21" s="874"/>
    </row>
    <row r="22" spans="1:9" s="883" customFormat="1" ht="19.5" customHeight="1">
      <c r="A22" s="3370"/>
      <c r="B22" s="3370"/>
      <c r="C22" s="879" t="s">
        <v>570</v>
      </c>
      <c r="D22" s="880"/>
      <c r="E22" s="878">
        <v>0.5</v>
      </c>
      <c r="F22" s="881"/>
      <c r="G22" s="882"/>
      <c r="H22" s="874"/>
      <c r="I22" s="874"/>
    </row>
    <row r="23" spans="1:9" s="883" customFormat="1" ht="19.5" customHeight="1">
      <c r="A23" s="3370" t="s">
        <v>184</v>
      </c>
      <c r="B23" s="878" t="s">
        <v>560</v>
      </c>
      <c r="C23" s="879" t="s">
        <v>571</v>
      </c>
      <c r="D23" s="880"/>
      <c r="E23" s="878">
        <v>1</v>
      </c>
      <c r="F23" s="881" t="s">
        <v>572</v>
      </c>
      <c r="G23" s="882"/>
      <c r="H23" s="874"/>
      <c r="I23" s="874"/>
    </row>
    <row r="24" spans="1:9" s="883" customFormat="1" ht="19.5" customHeight="1">
      <c r="A24" s="3370"/>
      <c r="B24" s="3370" t="s">
        <v>563</v>
      </c>
      <c r="C24" s="879" t="s">
        <v>573</v>
      </c>
      <c r="D24" s="880"/>
      <c r="E24" s="878">
        <v>0.5</v>
      </c>
      <c r="F24" s="881"/>
      <c r="G24" s="882"/>
      <c r="H24" s="874"/>
      <c r="I24" s="874"/>
    </row>
    <row r="25" spans="1:9" s="883" customFormat="1" ht="19.5" customHeight="1">
      <c r="A25" s="3370"/>
      <c r="B25" s="3370"/>
      <c r="C25" s="879" t="s">
        <v>574</v>
      </c>
      <c r="D25" s="880"/>
      <c r="E25" s="878">
        <v>1.1000000000000001</v>
      </c>
      <c r="F25" s="881"/>
      <c r="G25" s="882"/>
      <c r="H25" s="874"/>
      <c r="I25" s="874"/>
    </row>
    <row r="26" spans="1:9" s="883" customFormat="1" ht="19.5" customHeight="1">
      <c r="A26" s="3370"/>
      <c r="B26" s="3370"/>
      <c r="C26" s="879" t="s">
        <v>575</v>
      </c>
      <c r="D26" s="880"/>
      <c r="E26" s="878">
        <v>1.1000000000000001</v>
      </c>
      <c r="F26" s="881"/>
      <c r="G26" s="882"/>
      <c r="H26" s="874"/>
      <c r="I26" s="874"/>
    </row>
    <row r="27" spans="1:9" s="883" customFormat="1" ht="19.5" customHeight="1">
      <c r="A27" s="3370"/>
      <c r="B27" s="3370"/>
      <c r="C27" s="879" t="s">
        <v>576</v>
      </c>
      <c r="D27" s="880"/>
      <c r="E27" s="878">
        <v>0.9</v>
      </c>
      <c r="F27" s="881" t="s">
        <v>577</v>
      </c>
      <c r="G27" s="882"/>
      <c r="H27" s="874"/>
      <c r="I27" s="874"/>
    </row>
    <row r="28" spans="1:9" s="883" customFormat="1" ht="19.5" customHeight="1">
      <c r="A28" s="3370"/>
      <c r="B28" s="3370"/>
      <c r="C28" s="879" t="s">
        <v>578</v>
      </c>
      <c r="D28" s="880"/>
      <c r="E28" s="878">
        <v>0.9</v>
      </c>
      <c r="F28" s="881" t="s">
        <v>579</v>
      </c>
      <c r="G28" s="882"/>
      <c r="H28" s="874"/>
      <c r="I28" s="874"/>
    </row>
    <row r="29" spans="1:9" s="883" customFormat="1" ht="19.5" customHeight="1">
      <c r="A29" s="3370"/>
      <c r="B29" s="3370"/>
      <c r="C29" s="879" t="s">
        <v>580</v>
      </c>
      <c r="D29" s="880"/>
      <c r="E29" s="878">
        <v>0.9</v>
      </c>
      <c r="F29" s="881" t="s">
        <v>581</v>
      </c>
      <c r="G29" s="882"/>
      <c r="H29" s="874"/>
      <c r="I29" s="874"/>
    </row>
    <row r="30" spans="1:9" s="883" customFormat="1" ht="19.5" customHeight="1">
      <c r="A30" s="3370"/>
      <c r="B30" s="3370"/>
      <c r="C30" s="879" t="s">
        <v>582</v>
      </c>
      <c r="D30" s="880"/>
      <c r="E30" s="878">
        <v>0.9</v>
      </c>
      <c r="F30" s="881" t="s">
        <v>583</v>
      </c>
      <c r="G30" s="882"/>
      <c r="H30" s="874"/>
      <c r="I30" s="874"/>
    </row>
    <row r="31" spans="1:9" s="883" customFormat="1" ht="19.5" customHeight="1">
      <c r="A31" s="3370"/>
      <c r="B31" s="3370"/>
      <c r="C31" s="879" t="s">
        <v>584</v>
      </c>
      <c r="D31" s="880"/>
      <c r="E31" s="878">
        <v>0.8</v>
      </c>
      <c r="F31" s="881" t="s">
        <v>585</v>
      </c>
      <c r="G31" s="882"/>
      <c r="H31" s="874"/>
      <c r="I31" s="874"/>
    </row>
    <row r="32" spans="1:9" s="883" customFormat="1" ht="19.5" customHeight="1">
      <c r="A32" s="3370"/>
      <c r="B32" s="3370"/>
      <c r="C32" s="879" t="s">
        <v>586</v>
      </c>
      <c r="D32" s="880"/>
      <c r="E32" s="878">
        <v>0.8</v>
      </c>
      <c r="F32" s="881" t="s">
        <v>587</v>
      </c>
      <c r="G32" s="882"/>
      <c r="H32" s="874"/>
      <c r="I32" s="874"/>
    </row>
    <row r="33" spans="1:9" s="883" customFormat="1" ht="19.5" customHeight="1">
      <c r="A33" s="3370" t="s">
        <v>185</v>
      </c>
      <c r="B33" s="878" t="s">
        <v>560</v>
      </c>
      <c r="C33" s="879" t="s">
        <v>588</v>
      </c>
      <c r="D33" s="880"/>
      <c r="E33" s="878">
        <v>1</v>
      </c>
      <c r="F33" s="881" t="s">
        <v>589</v>
      </c>
      <c r="G33" s="882"/>
      <c r="H33" s="874"/>
      <c r="I33" s="874"/>
    </row>
    <row r="34" spans="1:9" s="883" customFormat="1" ht="19.5" customHeight="1">
      <c r="A34" s="3370"/>
      <c r="B34" s="878" t="s">
        <v>563</v>
      </c>
      <c r="C34" s="879" t="s">
        <v>590</v>
      </c>
      <c r="D34" s="880"/>
      <c r="E34" s="878">
        <v>1.5</v>
      </c>
      <c r="F34" s="881" t="s">
        <v>591</v>
      </c>
      <c r="G34" s="882"/>
      <c r="H34" s="874"/>
      <c r="I34" s="874"/>
    </row>
    <row r="35" spans="1:9" s="883" customFormat="1" ht="19.5" customHeight="1">
      <c r="A35" s="3370" t="s">
        <v>186</v>
      </c>
      <c r="B35" s="878" t="s">
        <v>560</v>
      </c>
      <c r="C35" s="879" t="s">
        <v>592</v>
      </c>
      <c r="D35" s="880"/>
      <c r="E35" s="878">
        <v>1</v>
      </c>
      <c r="F35" s="881" t="s">
        <v>593</v>
      </c>
      <c r="G35" s="882"/>
      <c r="H35" s="874"/>
      <c r="I35" s="874"/>
    </row>
    <row r="36" spans="1:9" s="883" customFormat="1" ht="19.5" customHeight="1">
      <c r="A36" s="3370"/>
      <c r="B36" s="3370" t="s">
        <v>563</v>
      </c>
      <c r="C36" s="879" t="s">
        <v>594</v>
      </c>
      <c r="D36" s="880"/>
      <c r="E36" s="878">
        <v>1</v>
      </c>
      <c r="F36" s="881" t="s">
        <v>595</v>
      </c>
      <c r="G36" s="882"/>
      <c r="H36" s="874"/>
      <c r="I36" s="874"/>
    </row>
    <row r="37" spans="1:9" s="883" customFormat="1" ht="19.5" customHeight="1">
      <c r="A37" s="3370"/>
      <c r="B37" s="3370"/>
      <c r="C37" s="879" t="s">
        <v>596</v>
      </c>
      <c r="D37" s="880"/>
      <c r="E37" s="878">
        <v>1.5</v>
      </c>
      <c r="F37" s="881" t="s">
        <v>597</v>
      </c>
      <c r="G37" s="882"/>
      <c r="H37" s="874"/>
      <c r="I37" s="874"/>
    </row>
    <row r="38" spans="1:9" s="883" customFormat="1" ht="19.5" customHeight="1">
      <c r="A38" s="3370"/>
      <c r="B38" s="3370"/>
      <c r="C38" s="879" t="s">
        <v>598</v>
      </c>
      <c r="D38" s="880"/>
      <c r="E38" s="878">
        <v>1</v>
      </c>
      <c r="F38" s="881" t="s">
        <v>599</v>
      </c>
      <c r="G38" s="882"/>
      <c r="H38" s="874"/>
      <c r="I38" s="874"/>
    </row>
    <row r="39" spans="1:9" s="883" customFormat="1" ht="19.5" customHeight="1">
      <c r="A39" s="3370"/>
      <c r="B39" s="337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70" t="s">
        <v>614</v>
      </c>
      <c r="C61" s="814" t="s">
        <v>615</v>
      </c>
      <c r="D61" s="814" t="s">
        <v>616</v>
      </c>
      <c r="E61" s="891">
        <v>0.5</v>
      </c>
      <c r="F61" s="878">
        <v>80</v>
      </c>
    </row>
    <row r="62" spans="1:8" s="874" customFormat="1" ht="24">
      <c r="A62" s="878">
        <v>2</v>
      </c>
      <c r="B62" s="3370"/>
      <c r="C62" s="814" t="s">
        <v>617</v>
      </c>
      <c r="D62" s="814" t="s">
        <v>618</v>
      </c>
      <c r="E62" s="891">
        <v>0.5</v>
      </c>
      <c r="F62" s="878">
        <v>80</v>
      </c>
    </row>
    <row r="63" spans="1:8" s="874" customFormat="1" ht="36">
      <c r="A63" s="878">
        <v>3</v>
      </c>
      <c r="B63" s="3370"/>
      <c r="C63" s="814" t="s">
        <v>619</v>
      </c>
      <c r="D63" s="814" t="s">
        <v>620</v>
      </c>
      <c r="E63" s="891">
        <v>0.5</v>
      </c>
      <c r="F63" s="878">
        <v>80</v>
      </c>
    </row>
    <row r="64" spans="1:8" s="874" customFormat="1" ht="36">
      <c r="A64" s="878">
        <v>4</v>
      </c>
      <c r="B64" s="3370"/>
      <c r="C64" s="814" t="s">
        <v>621</v>
      </c>
      <c r="D64" s="814" t="s">
        <v>622</v>
      </c>
      <c r="E64" s="891">
        <v>0.4</v>
      </c>
      <c r="F64" s="878">
        <v>60</v>
      </c>
    </row>
    <row r="65" spans="1:6" s="874" customFormat="1" ht="36">
      <c r="A65" s="878">
        <v>5</v>
      </c>
      <c r="B65" s="3370"/>
      <c r="C65" s="814" t="s">
        <v>623</v>
      </c>
      <c r="D65" s="814" t="s">
        <v>624</v>
      </c>
      <c r="E65" s="891">
        <v>0.2</v>
      </c>
      <c r="F65" s="878">
        <v>30</v>
      </c>
    </row>
    <row r="66" spans="1:6" s="874" customFormat="1" ht="36">
      <c r="A66" s="878">
        <v>6</v>
      </c>
      <c r="B66" s="3370"/>
      <c r="C66" s="814" t="s">
        <v>625</v>
      </c>
      <c r="D66" s="814" t="s">
        <v>626</v>
      </c>
      <c r="E66" s="891">
        <v>0.3</v>
      </c>
      <c r="F66" s="878">
        <v>50</v>
      </c>
    </row>
    <row r="67" spans="1:6" s="874" customFormat="1" ht="36">
      <c r="A67" s="878">
        <v>7</v>
      </c>
      <c r="B67" s="3370"/>
      <c r="C67" s="814" t="s">
        <v>627</v>
      </c>
      <c r="D67" s="814" t="s">
        <v>628</v>
      </c>
      <c r="E67" s="891">
        <v>0.2</v>
      </c>
      <c r="F67" s="878">
        <v>30</v>
      </c>
    </row>
    <row r="68" spans="1:6" s="874" customFormat="1" ht="36">
      <c r="A68" s="878">
        <v>8</v>
      </c>
      <c r="B68" s="3370"/>
      <c r="C68" s="814" t="s">
        <v>629</v>
      </c>
      <c r="D68" s="814" t="s">
        <v>630</v>
      </c>
      <c r="E68" s="891">
        <v>0.2</v>
      </c>
      <c r="F68" s="878">
        <v>30</v>
      </c>
    </row>
    <row r="69" spans="1:6" s="874" customFormat="1" ht="36">
      <c r="A69" s="878">
        <v>9</v>
      </c>
      <c r="B69" s="3370"/>
      <c r="C69" s="814" t="s">
        <v>631</v>
      </c>
      <c r="D69" s="814" t="s">
        <v>632</v>
      </c>
      <c r="E69" s="891">
        <v>0.2</v>
      </c>
      <c r="F69" s="878">
        <v>30</v>
      </c>
    </row>
    <row r="70" spans="1:6" s="874" customFormat="1" ht="48">
      <c r="A70" s="878">
        <v>10</v>
      </c>
      <c r="B70" s="3370"/>
      <c r="C70" s="814" t="s">
        <v>633</v>
      </c>
      <c r="D70" s="814" t="s">
        <v>634</v>
      </c>
      <c r="E70" s="891">
        <v>0.2</v>
      </c>
      <c r="F70" s="878">
        <v>30</v>
      </c>
    </row>
    <row r="71" spans="1:6" s="874" customFormat="1" ht="48">
      <c r="A71" s="878">
        <v>11</v>
      </c>
      <c r="B71" s="3370"/>
      <c r="C71" s="814" t="s">
        <v>635</v>
      </c>
      <c r="D71" s="814" t="s">
        <v>636</v>
      </c>
      <c r="E71" s="891">
        <v>0.2</v>
      </c>
      <c r="F71" s="878">
        <v>30</v>
      </c>
    </row>
    <row r="72" spans="1:6" s="874" customFormat="1" ht="36">
      <c r="A72" s="878">
        <v>12</v>
      </c>
      <c r="B72" s="3370"/>
      <c r="C72" s="814" t="s">
        <v>637</v>
      </c>
      <c r="D72" s="814" t="s">
        <v>638</v>
      </c>
      <c r="E72" s="891">
        <v>0.5</v>
      </c>
      <c r="F72" s="878">
        <v>80</v>
      </c>
    </row>
    <row r="73" spans="1:6" s="874" customFormat="1" ht="24">
      <c r="A73" s="878">
        <v>13</v>
      </c>
      <c r="B73" s="3370"/>
      <c r="C73" s="814" t="s">
        <v>639</v>
      </c>
      <c r="D73" s="814" t="s">
        <v>640</v>
      </c>
      <c r="E73" s="891">
        <v>0.4</v>
      </c>
      <c r="F73" s="878">
        <v>60</v>
      </c>
    </row>
    <row r="74" spans="1:6" s="874" customFormat="1" ht="24">
      <c r="A74" s="878">
        <v>14</v>
      </c>
      <c r="B74" s="3370"/>
      <c r="C74" s="814" t="s">
        <v>641</v>
      </c>
      <c r="D74" s="814" t="s">
        <v>642</v>
      </c>
      <c r="E74" s="891">
        <v>0.2</v>
      </c>
      <c r="F74" s="878">
        <v>30</v>
      </c>
    </row>
    <row r="75" spans="1:6" s="874" customFormat="1" ht="24">
      <c r="A75" s="878">
        <v>15</v>
      </c>
      <c r="B75" s="3370"/>
      <c r="C75" s="814" t="s">
        <v>643</v>
      </c>
      <c r="D75" s="814" t="s">
        <v>644</v>
      </c>
      <c r="E75" s="891">
        <v>0.2</v>
      </c>
      <c r="F75" s="878">
        <v>30</v>
      </c>
    </row>
    <row r="76" spans="1:6" s="874" customFormat="1" ht="24">
      <c r="A76" s="878">
        <v>16</v>
      </c>
      <c r="B76" s="3370" t="s">
        <v>645</v>
      </c>
      <c r="C76" s="814" t="s">
        <v>646</v>
      </c>
      <c r="D76" s="814" t="s">
        <v>647</v>
      </c>
      <c r="E76" s="891">
        <v>0.5</v>
      </c>
      <c r="F76" s="878">
        <v>80</v>
      </c>
    </row>
    <row r="77" spans="1:6" s="874" customFormat="1" ht="24">
      <c r="A77" s="878">
        <v>17</v>
      </c>
      <c r="B77" s="3370"/>
      <c r="C77" s="814" t="s">
        <v>648</v>
      </c>
      <c r="D77" s="814" t="s">
        <v>649</v>
      </c>
      <c r="E77" s="891">
        <v>0.5</v>
      </c>
      <c r="F77" s="878">
        <v>80</v>
      </c>
    </row>
    <row r="78" spans="1:6" s="874" customFormat="1" ht="24">
      <c r="A78" s="878">
        <v>18</v>
      </c>
      <c r="B78" s="3370"/>
      <c r="C78" s="814" t="s">
        <v>650</v>
      </c>
      <c r="D78" s="814" t="s">
        <v>651</v>
      </c>
      <c r="E78" s="891">
        <v>0.2</v>
      </c>
      <c r="F78" s="878">
        <v>30</v>
      </c>
    </row>
    <row r="79" spans="1:6" s="874" customFormat="1" ht="24">
      <c r="A79" s="878">
        <v>19</v>
      </c>
      <c r="B79" s="3370"/>
      <c r="C79" s="814" t="s">
        <v>652</v>
      </c>
      <c r="D79" s="814" t="s">
        <v>653</v>
      </c>
      <c r="E79" s="891">
        <v>0.5</v>
      </c>
      <c r="F79" s="878">
        <v>80</v>
      </c>
    </row>
    <row r="80" spans="1:6" s="874" customFormat="1" ht="36">
      <c r="A80" s="878">
        <v>20</v>
      </c>
      <c r="B80" s="3370"/>
      <c r="C80" s="814" t="s">
        <v>654</v>
      </c>
      <c r="D80" s="814" t="s">
        <v>655</v>
      </c>
      <c r="E80" s="891">
        <v>0.2</v>
      </c>
      <c r="F80" s="878">
        <v>30</v>
      </c>
    </row>
    <row r="81" spans="1:6" s="874" customFormat="1" ht="36">
      <c r="A81" s="878">
        <v>21</v>
      </c>
      <c r="B81" s="3370"/>
      <c r="C81" s="814" t="s">
        <v>656</v>
      </c>
      <c r="D81" s="814" t="s">
        <v>657</v>
      </c>
      <c r="E81" s="891">
        <v>0.2</v>
      </c>
      <c r="F81" s="878">
        <v>30</v>
      </c>
    </row>
    <row r="82" spans="1:6" s="874" customFormat="1" ht="48">
      <c r="A82" s="878">
        <v>22</v>
      </c>
      <c r="B82" s="3370"/>
      <c r="C82" s="814" t="s">
        <v>658</v>
      </c>
      <c r="D82" s="814" t="s">
        <v>659</v>
      </c>
      <c r="E82" s="891">
        <v>0.2</v>
      </c>
      <c r="F82" s="878">
        <v>30</v>
      </c>
    </row>
    <row r="83" spans="1:6" s="874" customFormat="1" ht="48">
      <c r="A83" s="878">
        <v>23</v>
      </c>
      <c r="B83" s="3370"/>
      <c r="C83" s="814" t="s">
        <v>660</v>
      </c>
      <c r="D83" s="814" t="s">
        <v>661</v>
      </c>
      <c r="E83" s="891">
        <v>0.2</v>
      </c>
      <c r="F83" s="878">
        <v>30</v>
      </c>
    </row>
    <row r="84" spans="1:6" s="874" customFormat="1" ht="36">
      <c r="A84" s="878">
        <v>24</v>
      </c>
      <c r="B84" s="3370"/>
      <c r="C84" s="814" t="s">
        <v>662</v>
      </c>
      <c r="D84" s="814" t="s">
        <v>663</v>
      </c>
      <c r="E84" s="891">
        <v>0.2</v>
      </c>
      <c r="F84" s="878">
        <v>30</v>
      </c>
    </row>
    <row r="85" spans="1:6" s="874" customFormat="1" ht="36">
      <c r="A85" s="878">
        <v>25</v>
      </c>
      <c r="B85" s="3370"/>
      <c r="C85" s="814" t="s">
        <v>664</v>
      </c>
      <c r="D85" s="814" t="s">
        <v>665</v>
      </c>
      <c r="E85" s="891">
        <v>0.5</v>
      </c>
      <c r="F85" s="878">
        <v>80</v>
      </c>
    </row>
    <row r="86" spans="1:6" s="874" customFormat="1" ht="36">
      <c r="A86" s="878">
        <v>26</v>
      </c>
      <c r="B86" s="3370"/>
      <c r="C86" s="814" t="s">
        <v>666</v>
      </c>
      <c r="D86" s="814" t="s">
        <v>667</v>
      </c>
      <c r="E86" s="891">
        <v>0.2</v>
      </c>
      <c r="F86" s="878">
        <v>30</v>
      </c>
    </row>
    <row r="87" spans="1:6" s="874" customFormat="1" ht="36">
      <c r="A87" s="878">
        <v>27</v>
      </c>
      <c r="B87" s="3370"/>
      <c r="C87" s="814" t="s">
        <v>668</v>
      </c>
      <c r="D87" s="814" t="s">
        <v>669</v>
      </c>
      <c r="E87" s="891">
        <v>0.2</v>
      </c>
      <c r="F87" s="878">
        <v>30</v>
      </c>
    </row>
    <row r="88" spans="1:6" s="874" customFormat="1" ht="36">
      <c r="A88" s="878">
        <v>28</v>
      </c>
      <c r="B88" s="3370"/>
      <c r="C88" s="814" t="s">
        <v>670</v>
      </c>
      <c r="D88" s="814" t="s">
        <v>671</v>
      </c>
      <c r="E88" s="891">
        <v>0.2</v>
      </c>
      <c r="F88" s="878">
        <v>30</v>
      </c>
    </row>
    <row r="89" spans="1:6" s="874" customFormat="1" ht="24">
      <c r="A89" s="878">
        <v>29</v>
      </c>
      <c r="B89" s="3370"/>
      <c r="C89" s="814" t="s">
        <v>672</v>
      </c>
      <c r="D89" s="814" t="s">
        <v>673</v>
      </c>
      <c r="E89" s="891">
        <v>0.2</v>
      </c>
      <c r="F89" s="878">
        <v>30</v>
      </c>
    </row>
    <row r="90" spans="1:6" s="874" customFormat="1" ht="24">
      <c r="A90" s="878">
        <v>30</v>
      </c>
      <c r="B90" s="3370"/>
      <c r="C90" s="814" t="s">
        <v>674</v>
      </c>
      <c r="D90" s="814" t="s">
        <v>675</v>
      </c>
      <c r="E90" s="891">
        <v>0.2</v>
      </c>
      <c r="F90" s="878">
        <v>30</v>
      </c>
    </row>
    <row r="91" spans="1:6" s="874" customFormat="1" ht="36">
      <c r="A91" s="878">
        <v>31</v>
      </c>
      <c r="B91" s="3370"/>
      <c r="C91" s="814" t="s">
        <v>676</v>
      </c>
      <c r="D91" s="814" t="s">
        <v>677</v>
      </c>
      <c r="E91" s="891">
        <v>0.2</v>
      </c>
      <c r="F91" s="878">
        <v>30</v>
      </c>
    </row>
    <row r="92" spans="1:6" s="874" customFormat="1" ht="24">
      <c r="A92" s="878">
        <v>32</v>
      </c>
      <c r="B92" s="3370" t="s">
        <v>678</v>
      </c>
      <c r="C92" s="878" t="s">
        <v>679</v>
      </c>
      <c r="D92" s="814" t="s">
        <v>680</v>
      </c>
      <c r="E92" s="891">
        <v>0.2</v>
      </c>
      <c r="F92" s="878">
        <v>30</v>
      </c>
    </row>
    <row r="93" spans="1:6" s="874" customFormat="1" ht="36">
      <c r="A93" s="878">
        <v>33</v>
      </c>
      <c r="B93" s="3370"/>
      <c r="C93" s="878" t="s">
        <v>681</v>
      </c>
      <c r="D93" s="814" t="s">
        <v>682</v>
      </c>
      <c r="E93" s="891">
        <v>0.2</v>
      </c>
      <c r="F93" s="878">
        <v>30</v>
      </c>
    </row>
    <row r="94" spans="1:6" s="874" customFormat="1" ht="48">
      <c r="A94" s="878">
        <v>34</v>
      </c>
      <c r="B94" s="3370"/>
      <c r="C94" s="878" t="s">
        <v>683</v>
      </c>
      <c r="D94" s="814" t="s">
        <v>684</v>
      </c>
      <c r="E94" s="891">
        <v>0.2</v>
      </c>
      <c r="F94" s="878">
        <v>30</v>
      </c>
    </row>
    <row r="95" spans="1:6" s="874" customFormat="1" ht="36">
      <c r="A95" s="878">
        <v>35</v>
      </c>
      <c r="B95" s="3370"/>
      <c r="C95" s="878" t="s">
        <v>685</v>
      </c>
      <c r="D95" s="814" t="s">
        <v>686</v>
      </c>
      <c r="E95" s="891">
        <v>0.2</v>
      </c>
      <c r="F95" s="878">
        <v>30</v>
      </c>
    </row>
    <row r="96" spans="1:6" s="874" customFormat="1" ht="48">
      <c r="A96" s="878">
        <v>36</v>
      </c>
      <c r="B96" s="3370"/>
      <c r="C96" s="814" t="s">
        <v>687</v>
      </c>
      <c r="D96" s="814" t="s">
        <v>688</v>
      </c>
      <c r="E96" s="891">
        <v>0.2</v>
      </c>
      <c r="F96" s="878">
        <v>30</v>
      </c>
    </row>
    <row r="97" spans="1:6" s="874" customFormat="1" ht="36">
      <c r="A97" s="878">
        <v>37</v>
      </c>
      <c r="B97" s="3370"/>
      <c r="C97" s="878" t="s">
        <v>689</v>
      </c>
      <c r="D97" s="814" t="s">
        <v>690</v>
      </c>
      <c r="E97" s="891">
        <v>0.2</v>
      </c>
      <c r="F97" s="878">
        <v>30</v>
      </c>
    </row>
    <row r="98" spans="1:6" s="874" customFormat="1" ht="36">
      <c r="A98" s="878">
        <v>38</v>
      </c>
      <c r="B98" s="3370"/>
      <c r="C98" s="878" t="s">
        <v>691</v>
      </c>
      <c r="D98" s="814" t="s">
        <v>692</v>
      </c>
      <c r="E98" s="891">
        <v>0.2</v>
      </c>
      <c r="F98" s="878">
        <v>30</v>
      </c>
    </row>
    <row r="99" spans="1:6" s="874" customFormat="1" ht="36">
      <c r="A99" s="878">
        <v>39</v>
      </c>
      <c r="B99" s="3370" t="s">
        <v>693</v>
      </c>
      <c r="C99" s="878" t="s">
        <v>694</v>
      </c>
      <c r="D99" s="814" t="s">
        <v>695</v>
      </c>
      <c r="E99" s="891">
        <v>0.3</v>
      </c>
      <c r="F99" s="878">
        <v>50</v>
      </c>
    </row>
    <row r="100" spans="1:6" s="874" customFormat="1" ht="24">
      <c r="A100" s="878">
        <v>40</v>
      </c>
      <c r="B100" s="3370"/>
      <c r="C100" s="878" t="s">
        <v>696</v>
      </c>
      <c r="D100" s="814" t="s">
        <v>697</v>
      </c>
      <c r="E100" s="891">
        <v>0.2</v>
      </c>
      <c r="F100" s="878">
        <v>30</v>
      </c>
    </row>
    <row r="101" spans="1:6" s="874" customFormat="1" ht="36">
      <c r="A101" s="878">
        <v>41</v>
      </c>
      <c r="B101" s="337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70" t="s">
        <v>708</v>
      </c>
      <c r="C105" s="878" t="s">
        <v>709</v>
      </c>
      <c r="D105" s="814" t="s">
        <v>710</v>
      </c>
      <c r="E105" s="891">
        <v>0.2</v>
      </c>
      <c r="F105" s="878">
        <v>30</v>
      </c>
    </row>
    <row r="106" spans="1:6" s="874" customFormat="1" ht="36">
      <c r="A106" s="878">
        <v>46</v>
      </c>
      <c r="B106" s="3370"/>
      <c r="C106" s="878" t="s">
        <v>711</v>
      </c>
      <c r="D106" s="814" t="s">
        <v>712</v>
      </c>
      <c r="E106" s="891">
        <v>0.2</v>
      </c>
      <c r="F106" s="878">
        <v>30</v>
      </c>
    </row>
    <row r="107" spans="1:6" s="874" customFormat="1" ht="36">
      <c r="A107" s="878">
        <v>47</v>
      </c>
      <c r="B107" s="3370" t="s">
        <v>713</v>
      </c>
      <c r="C107" s="878" t="s">
        <v>714</v>
      </c>
      <c r="D107" s="814" t="s">
        <v>715</v>
      </c>
      <c r="E107" s="891">
        <v>0.3</v>
      </c>
      <c r="F107" s="878">
        <v>50</v>
      </c>
    </row>
    <row r="108" spans="1:6" s="874" customFormat="1" ht="36">
      <c r="A108" s="878">
        <v>48</v>
      </c>
      <c r="B108" s="337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70" t="s">
        <v>724</v>
      </c>
      <c r="C111" s="878" t="s">
        <v>725</v>
      </c>
      <c r="D111" s="814" t="s">
        <v>726</v>
      </c>
      <c r="E111" s="891">
        <v>0.2</v>
      </c>
      <c r="F111" s="878">
        <v>30</v>
      </c>
    </row>
    <row r="112" spans="1:6" s="874" customFormat="1" ht="24">
      <c r="A112" s="878">
        <v>52</v>
      </c>
      <c r="B112" s="3370"/>
      <c r="C112" s="878" t="s">
        <v>727</v>
      </c>
      <c r="D112" s="814" t="s">
        <v>728</v>
      </c>
      <c r="E112" s="891">
        <v>0.2</v>
      </c>
      <c r="F112" s="878">
        <v>30</v>
      </c>
    </row>
    <row r="113" spans="1:6" s="874" customFormat="1" ht="24">
      <c r="A113" s="878">
        <v>53</v>
      </c>
      <c r="B113" s="337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70" t="s">
        <v>737</v>
      </c>
      <c r="C116" s="878" t="s">
        <v>738</v>
      </c>
      <c r="D116" s="814" t="s">
        <v>739</v>
      </c>
      <c r="E116" s="891">
        <v>0.2</v>
      </c>
      <c r="F116" s="878">
        <v>30</v>
      </c>
    </row>
    <row r="117" spans="1:6" ht="36">
      <c r="A117" s="878">
        <v>57</v>
      </c>
      <c r="B117" s="337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2">
        <f ca="1">SUMIF(INDIRECT("'"&amp;A6&amp;"'"&amp;"!C:C"),"建筑面积",INDIRECT("'"&amp;A6&amp;"'"&amp;"!D:D"))</f>
        <v>0</v>
      </c>
    </row>
    <row r="7" spans="1:5" ht="15.75">
      <c r="A7" s="2911"/>
      <c r="B7" s="2907" t="e">
        <f ca="1">SUMIF(INDIRECT("'"&amp;A7&amp;"'"&amp;"!A:A"),"总价",INDIRECT("'"&amp;A7&amp;"'"&amp;"!B:B"))</f>
        <v>#REF!</v>
      </c>
      <c r="C7" s="2906" t="s">
        <v>2989</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2" t="e">
        <f t="shared" ca="1" si="0"/>
        <v>#REF!</v>
      </c>
    </row>
    <row r="9" spans="1:5" ht="15.75">
      <c r="A9" s="2911"/>
      <c r="B9" s="2907" t="e">
        <f t="shared" ca="1" si="1"/>
        <v>#REF!</v>
      </c>
      <c r="C9" s="2906" t="s">
        <v>2989</v>
      </c>
      <c r="D9" s="2908"/>
      <c r="E9" s="2572" t="e">
        <f t="shared" ca="1" si="0"/>
        <v>#REF!</v>
      </c>
    </row>
    <row r="10" spans="1:5" ht="15.75">
      <c r="A10" s="2911"/>
      <c r="B10" s="2907" t="e">
        <f t="shared" ca="1" si="1"/>
        <v>#REF!</v>
      </c>
      <c r="C10" s="2906" t="s">
        <v>2989</v>
      </c>
      <c r="D10" s="2908"/>
      <c r="E10" s="2572" t="e">
        <f t="shared" ca="1" si="0"/>
        <v>#REF!</v>
      </c>
    </row>
    <row r="11" spans="1:5" ht="15.75">
      <c r="A11" s="2911"/>
      <c r="B11" s="2907" t="e">
        <f t="shared" ca="1" si="1"/>
        <v>#REF!</v>
      </c>
      <c r="C11" s="2906" t="s">
        <v>2989</v>
      </c>
      <c r="D11" s="2908"/>
      <c r="E11" s="2572" t="e">
        <f t="shared" ca="1" si="0"/>
        <v>#REF!</v>
      </c>
    </row>
    <row r="12" spans="1:5" ht="15.75">
      <c r="A12" s="2911"/>
      <c r="B12" s="2907" t="e">
        <f t="shared" ca="1" si="1"/>
        <v>#REF!</v>
      </c>
      <c r="C12" s="2906" t="s">
        <v>2989</v>
      </c>
      <c r="D12" s="2908"/>
      <c r="E12" s="2572" t="e">
        <f t="shared" ca="1" si="0"/>
        <v>#REF!</v>
      </c>
    </row>
    <row r="13" spans="1:5" ht="15.75">
      <c r="A13" s="2911"/>
      <c r="B13" s="2907" t="e">
        <f t="shared" ca="1" si="1"/>
        <v>#REF!</v>
      </c>
      <c r="C13" s="2906" t="s">
        <v>2989</v>
      </c>
      <c r="D13" s="2908"/>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76" t="s">
        <v>1150</v>
      </c>
      <c r="C1" s="3376"/>
      <c r="D1" s="3376"/>
      <c r="E1" s="3376"/>
      <c r="F1" s="3376"/>
      <c r="G1" s="3372" t="s">
        <v>1151</v>
      </c>
      <c r="H1" s="3372"/>
      <c r="I1" s="3372"/>
      <c r="J1" s="3372"/>
      <c r="K1" s="3372"/>
      <c r="L1" s="3372"/>
      <c r="N1" s="3372" t="s">
        <v>1152</v>
      </c>
      <c r="O1" s="3372"/>
      <c r="P1" s="3372"/>
      <c r="Q1" s="3372"/>
      <c r="R1" s="1445"/>
      <c r="S1" s="3372" t="s">
        <v>1153</v>
      </c>
      <c r="T1" s="3372"/>
      <c r="U1" s="3372"/>
      <c r="V1" s="3372"/>
      <c r="X1" s="3371" t="s">
        <v>1154</v>
      </c>
      <c r="Y1" s="3372"/>
      <c r="Z1" s="3372"/>
      <c r="AA1" s="3372"/>
      <c r="AB1" s="3372"/>
      <c r="AD1" s="3371" t="s">
        <v>1155</v>
      </c>
      <c r="AE1" s="3372"/>
      <c r="AF1" s="3372"/>
      <c r="AG1" s="3372"/>
      <c r="AH1" s="337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25">
      <c r="A3" s="2934" t="s">
        <v>3031</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3038</v>
      </c>
      <c r="B5" s="1790">
        <f t="shared" ref="B5:C7" si="2">B6*(1+N5)</f>
        <v>453.11529869999993</v>
      </c>
      <c r="C5" s="1790">
        <f t="shared" si="2"/>
        <v>336.47787264000004</v>
      </c>
      <c r="D5" s="1790">
        <f t="shared" ref="D5:D12" si="3">C5</f>
        <v>336.47787264000004</v>
      </c>
      <c r="E5" s="1790">
        <f t="shared" ref="E5:F7" si="4">E6*(1+P5)</f>
        <v>647.35186823999993</v>
      </c>
      <c r="F5" s="1790">
        <f t="shared" si="4"/>
        <v>295.73229452000004</v>
      </c>
      <c r="G5" s="2937">
        <v>2018</v>
      </c>
      <c r="H5" s="1729">
        <v>3</v>
      </c>
      <c r="I5" s="2920">
        <v>0</v>
      </c>
      <c r="J5" s="2920">
        <v>0</v>
      </c>
      <c r="K5" s="2920">
        <v>0</v>
      </c>
      <c r="L5" s="2920">
        <v>0</v>
      </c>
      <c r="N5" s="1466">
        <f t="shared" ref="N5:Q6" si="5">I5/100</f>
        <v>0</v>
      </c>
      <c r="O5" s="1466">
        <f t="shared" si="5"/>
        <v>0</v>
      </c>
      <c r="P5" s="1466">
        <f t="shared" si="5"/>
        <v>0</v>
      </c>
      <c r="Q5" s="1466">
        <f t="shared" si="5"/>
        <v>0</v>
      </c>
      <c r="R5" s="1731"/>
      <c r="S5" s="1732"/>
      <c r="T5" s="1731"/>
      <c r="U5" s="1731"/>
      <c r="V5" s="1731"/>
      <c r="W5" s="2924" t="s">
        <v>3032</v>
      </c>
      <c r="X5" s="1725">
        <f>ROUND(SUMPRODUCT(PRODUCT(1+N5:N$22)),4)</f>
        <v>1.4733000000000001</v>
      </c>
      <c r="Y5" s="1725">
        <f>ROUND(SUMPRODUCT(PRODUCT(1+O5:O$22)),4)</f>
        <v>1.3052999999999999</v>
      </c>
      <c r="Z5" s="1725">
        <f>Y5</f>
        <v>1.3052999999999999</v>
      </c>
      <c r="AA5" s="1725">
        <f>ROUND(SUMPRODUCT(PRODUCT(1+P5:P$22)),4)</f>
        <v>1.5306999999999999</v>
      </c>
      <c r="AB5" s="1725">
        <f>ROUND(SUMPRODUCT(PRODUCT(1+Q5:Q$22)),4)</f>
        <v>1.2863</v>
      </c>
      <c r="AD5" s="1467">
        <f>ROUND(AVERAGE(I5:I$23)/100,4)</f>
        <v>2.23E-2</v>
      </c>
      <c r="AE5" s="1467">
        <f>ROUND(AVERAGE(J5:J$23)/100,4)</f>
        <v>1.54E-2</v>
      </c>
      <c r="AF5" s="1467">
        <f>AE5</f>
        <v>1.54E-2</v>
      </c>
      <c r="AG5" s="1467">
        <f>ROUND(AVERAGE(K5:K$23)/100,4)</f>
        <v>2.4500000000000001E-2</v>
      </c>
      <c r="AH5" s="1467">
        <f>ROUND(AVERAGE(L5:L$23)/100,4)</f>
        <v>1.41E-2</v>
      </c>
    </row>
    <row r="6" spans="1:34" s="1465" customFormat="1" ht="13.5" thickBot="1">
      <c r="A6" s="1460" t="s">
        <v>3039</v>
      </c>
      <c r="B6" s="1476">
        <f t="shared" si="2"/>
        <v>453.11529869999993</v>
      </c>
      <c r="C6" s="1476">
        <f t="shared" si="2"/>
        <v>336.47787264000004</v>
      </c>
      <c r="D6" s="1476">
        <f t="shared" si="3"/>
        <v>336.47787264000004</v>
      </c>
      <c r="E6" s="1476">
        <f t="shared" si="4"/>
        <v>647.35186823999993</v>
      </c>
      <c r="F6" s="1476">
        <f t="shared" si="4"/>
        <v>295.73229452000004</v>
      </c>
      <c r="G6" s="2935"/>
      <c r="H6" s="1463">
        <v>2</v>
      </c>
      <c r="I6" s="1463">
        <v>1.49</v>
      </c>
      <c r="J6" s="1463">
        <v>0.96</v>
      </c>
      <c r="K6" s="1463">
        <v>1.58</v>
      </c>
      <c r="L6" s="1477">
        <v>2.44</v>
      </c>
      <c r="M6" s="1470"/>
      <c r="N6" s="1471">
        <f t="shared" si="5"/>
        <v>1.49E-2</v>
      </c>
      <c r="O6" s="1472">
        <f t="shared" si="5"/>
        <v>9.5999999999999992E-3</v>
      </c>
      <c r="P6" s="1472">
        <f t="shared" si="5"/>
        <v>1.5800000000000002E-2</v>
      </c>
      <c r="Q6" s="1472">
        <f t="shared" si="5"/>
        <v>2.4399999999999998E-2</v>
      </c>
      <c r="R6" s="1473"/>
      <c r="S6" s="1471"/>
      <c r="T6" s="1472"/>
      <c r="U6" s="1472"/>
      <c r="V6" s="1472"/>
      <c r="W6" s="1789"/>
      <c r="X6" s="1787">
        <f>ROUND(SUMPRODUCT(PRODUCT(1+N6:N$22)),4)</f>
        <v>1.4733000000000001</v>
      </c>
      <c r="Y6" s="1787">
        <f>ROUND(SUMPRODUCT(PRODUCT(1+O6:O$22)),4)</f>
        <v>1.3052999999999999</v>
      </c>
      <c r="Z6" s="1787">
        <f>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AE6</f>
        <v>1.6199999999999999E-2</v>
      </c>
      <c r="AG6" s="1788">
        <f>ROUND(AVERAGE(K6:K$23)/100,4)</f>
        <v>2.5899999999999999E-2</v>
      </c>
      <c r="AH6" s="1788">
        <f>ROUND(AVERAGE(L6:L$23)/100,4)</f>
        <v>1.49E-2</v>
      </c>
    </row>
    <row r="7" spans="1:34" s="1465" customFormat="1" ht="13.5" thickBot="1">
      <c r="A7" s="1460" t="s">
        <v>3030</v>
      </c>
      <c r="B7" s="1476">
        <f t="shared" si="2"/>
        <v>446.46299999999997</v>
      </c>
      <c r="C7" s="1476">
        <f t="shared" si="2"/>
        <v>333.27840000000003</v>
      </c>
      <c r="D7" s="1476">
        <f t="shared" si="3"/>
        <v>333.27840000000003</v>
      </c>
      <c r="E7" s="1476">
        <f t="shared" si="4"/>
        <v>637.28279999999995</v>
      </c>
      <c r="F7" s="1476">
        <f t="shared" si="4"/>
        <v>288.68830000000003</v>
      </c>
      <c r="G7" s="2935"/>
      <c r="H7" s="1463">
        <v>1</v>
      </c>
      <c r="I7" s="1463">
        <v>1.7</v>
      </c>
      <c r="J7" s="1463">
        <v>1.92</v>
      </c>
      <c r="K7" s="1463">
        <v>1.64</v>
      </c>
      <c r="L7" s="1477">
        <v>2.0099999999999998</v>
      </c>
      <c r="M7" s="1470"/>
      <c r="N7" s="1471">
        <f t="shared" ref="N7:N12" si="6">I7/100</f>
        <v>1.7000000000000001E-2</v>
      </c>
      <c r="O7" s="1472">
        <f t="shared" ref="O7:Q10" si="7">J7/100</f>
        <v>1.9199999999999998E-2</v>
      </c>
      <c r="P7" s="1472">
        <f t="shared" si="7"/>
        <v>1.6399999999999998E-2</v>
      </c>
      <c r="Q7" s="1472">
        <f t="shared" si="7"/>
        <v>2.0099999999999996E-2</v>
      </c>
      <c r="R7" s="1473"/>
      <c r="S7" s="1471">
        <f>B7/B8-1</f>
        <v>1.6999999999999904E-2</v>
      </c>
      <c r="T7" s="1472">
        <f>C7/C8-1</f>
        <v>1.9200000000000106E-2</v>
      </c>
      <c r="U7" s="1472">
        <f>D7/D8-1</f>
        <v>1.9200000000000106E-2</v>
      </c>
      <c r="V7" s="1472">
        <f>E7/E8-1</f>
        <v>1.639999999999997E-2</v>
      </c>
      <c r="W7" s="1789"/>
      <c r="X7" s="1787">
        <f>ROUND(SUMPRODUCT(PRODUCT(1+N7:N$22)),4)</f>
        <v>1.4517</v>
      </c>
      <c r="Y7" s="1787">
        <f>ROUND(SUMPRODUCT(PRODUCT(1+O7:O$22)),4)</f>
        <v>1.2928999999999999</v>
      </c>
      <c r="Z7" s="1787">
        <f>Y7</f>
        <v>1.2928999999999999</v>
      </c>
      <c r="AA7" s="1787">
        <f>ROUND(SUMPRODUCT(PRODUCT(1+P7:P$22)),4)</f>
        <v>1.5068999999999999</v>
      </c>
      <c r="AB7" s="1787">
        <f>ROUND(SUMPRODUCT(PRODUCT(1+Q7:Q$22)),4)</f>
        <v>1.2557</v>
      </c>
      <c r="AC7" s="1789"/>
      <c r="AD7" s="1788">
        <f>ROUND(AVERAGE(I7:I$23)/100,4)</f>
        <v>2.4E-2</v>
      </c>
      <c r="AE7" s="1788">
        <f>ROUND(AVERAGE(J7:J$23)/100,4)</f>
        <v>1.66E-2</v>
      </c>
      <c r="AF7" s="1788">
        <f>AE7</f>
        <v>1.66E-2</v>
      </c>
      <c r="AG7" s="1788">
        <f>ROUND(AVERAGE(K7:K$23)/100,4)</f>
        <v>2.6499999999999999E-2</v>
      </c>
      <c r="AH7" s="1788">
        <f>ROUND(AVERAGE(L7:L$23)/100,4)</f>
        <v>1.43E-2</v>
      </c>
    </row>
    <row r="8" spans="1:34">
      <c r="A8" s="1460" t="s">
        <v>3027</v>
      </c>
      <c r="B8" s="1468">
        <v>439</v>
      </c>
      <c r="C8" s="1468">
        <v>327</v>
      </c>
      <c r="D8" s="1468">
        <f t="shared" si="3"/>
        <v>327</v>
      </c>
      <c r="E8" s="1468">
        <v>627</v>
      </c>
      <c r="F8" s="1469">
        <v>283</v>
      </c>
      <c r="G8" s="2922">
        <v>2017</v>
      </c>
      <c r="H8" s="1461">
        <v>4</v>
      </c>
      <c r="I8" s="1461">
        <v>1.71</v>
      </c>
      <c r="J8" s="1461">
        <v>1.78</v>
      </c>
      <c r="K8" s="1461">
        <v>1.71</v>
      </c>
      <c r="L8" s="1462">
        <v>1.43</v>
      </c>
      <c r="N8" s="1471">
        <f t="shared" si="6"/>
        <v>1.7100000000000001E-2</v>
      </c>
      <c r="O8" s="1472">
        <f t="shared" si="7"/>
        <v>1.78E-2</v>
      </c>
      <c r="P8" s="1472">
        <f t="shared" si="7"/>
        <v>1.7100000000000001E-2</v>
      </c>
      <c r="Q8" s="1472">
        <f t="shared" si="7"/>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3028</v>
      </c>
      <c r="B9" s="1476">
        <f t="shared" ref="B9:C11" si="8">B10*(1+N9)</f>
        <v>431.80730811680002</v>
      </c>
      <c r="C9" s="1476">
        <f t="shared" si="8"/>
        <v>320.57880516480003</v>
      </c>
      <c r="D9" s="1476">
        <f t="shared" si="3"/>
        <v>320.57880516480003</v>
      </c>
      <c r="E9" s="1476">
        <f t="shared" ref="E9:F11" si="9">E10*(1+P9)</f>
        <v>615.96110553196797</v>
      </c>
      <c r="F9" s="1476">
        <f t="shared" si="9"/>
        <v>279.46777300108801</v>
      </c>
      <c r="G9" s="2918"/>
      <c r="H9" s="1463">
        <v>3</v>
      </c>
      <c r="I9" s="1463">
        <v>2.98</v>
      </c>
      <c r="J9" s="1463">
        <v>2.11</v>
      </c>
      <c r="K9" s="1463">
        <v>3.24</v>
      </c>
      <c r="L9" s="1477">
        <v>1.72</v>
      </c>
      <c r="M9" s="1470"/>
      <c r="N9" s="1471">
        <f t="shared" si="6"/>
        <v>2.98E-2</v>
      </c>
      <c r="O9" s="1472">
        <f t="shared" si="7"/>
        <v>2.1099999999999997E-2</v>
      </c>
      <c r="P9" s="1472">
        <f t="shared" si="7"/>
        <v>3.2400000000000005E-2</v>
      </c>
      <c r="Q9" s="1472">
        <f t="shared" si="7"/>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8"/>
        <v>419.31181600000002</v>
      </c>
      <c r="C10" s="1476">
        <f t="shared" si="8"/>
        <v>313.95436800000004</v>
      </c>
      <c r="D10" s="1476">
        <f t="shared" si="3"/>
        <v>313.95436800000004</v>
      </c>
      <c r="E10" s="1476">
        <f t="shared" si="9"/>
        <v>596.63028431999999</v>
      </c>
      <c r="F10" s="1476">
        <f t="shared" si="9"/>
        <v>274.74220703999998</v>
      </c>
      <c r="G10" s="2917"/>
      <c r="H10" s="1464">
        <v>2</v>
      </c>
      <c r="I10" s="1464">
        <v>3.4</v>
      </c>
      <c r="J10" s="1464">
        <v>2</v>
      </c>
      <c r="K10" s="1464">
        <v>3.82</v>
      </c>
      <c r="L10" s="1478">
        <v>1.68</v>
      </c>
      <c r="M10" s="1470"/>
      <c r="N10" s="1471">
        <f t="shared" si="6"/>
        <v>3.4000000000000002E-2</v>
      </c>
      <c r="O10" s="1472">
        <f t="shared" si="7"/>
        <v>0.02</v>
      </c>
      <c r="P10" s="1472">
        <f t="shared" si="7"/>
        <v>3.8199999999999998E-2</v>
      </c>
      <c r="Q10" s="1472">
        <f t="shared" si="7"/>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 t="shared" si="8"/>
        <v>405.524</v>
      </c>
      <c r="C11" s="1476">
        <f t="shared" si="8"/>
        <v>307.79840000000002</v>
      </c>
      <c r="D11" s="1476">
        <f t="shared" si="3"/>
        <v>307.79840000000002</v>
      </c>
      <c r="E11" s="1476">
        <f t="shared" si="9"/>
        <v>574.67759999999998</v>
      </c>
      <c r="F11" s="1476">
        <f t="shared" si="9"/>
        <v>270.20280000000002</v>
      </c>
      <c r="G11" s="2918"/>
      <c r="H11" s="1463">
        <v>1</v>
      </c>
      <c r="I11" s="1463">
        <v>3.45</v>
      </c>
      <c r="J11" s="1463">
        <v>1.92</v>
      </c>
      <c r="K11" s="1463">
        <v>3.92</v>
      </c>
      <c r="L11" s="1477">
        <v>1.58</v>
      </c>
      <c r="M11" s="1470"/>
      <c r="N11" s="1471">
        <f t="shared" si="6"/>
        <v>3.4500000000000003E-2</v>
      </c>
      <c r="O11" s="1472">
        <f t="shared" ref="O11:Q26" si="10">J11/100</f>
        <v>1.9199999999999998E-2</v>
      </c>
      <c r="P11" s="1472">
        <f t="shared" si="10"/>
        <v>3.9199999999999999E-2</v>
      </c>
      <c r="Q11" s="1472">
        <f t="shared" si="10"/>
        <v>1.5800000000000002E-2</v>
      </c>
      <c r="R11" s="1473"/>
      <c r="S11" s="1471">
        <f>B11/B12-1</f>
        <v>3.4499999999999975E-2</v>
      </c>
      <c r="T11" s="1472">
        <f>C11/C12-1</f>
        <v>1.9200000000000106E-2</v>
      </c>
      <c r="U11" s="1472">
        <f>D11/D12-1</f>
        <v>1.9200000000000106E-2</v>
      </c>
      <c r="V11" s="1472">
        <f>E11/E12-1</f>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 t="shared" si="3"/>
        <v>302</v>
      </c>
      <c r="E12" s="1468">
        <v>553</v>
      </c>
      <c r="F12" s="1469">
        <v>266</v>
      </c>
      <c r="G12" s="3377">
        <v>2016</v>
      </c>
      <c r="H12" s="1461">
        <v>4</v>
      </c>
      <c r="I12" s="1461">
        <v>4.5599999999999996</v>
      </c>
      <c r="J12" s="1461">
        <v>2.15</v>
      </c>
      <c r="K12" s="1461">
        <v>5.32</v>
      </c>
      <c r="L12" s="1462">
        <v>1.57</v>
      </c>
      <c r="N12" s="1471">
        <f t="shared" si="6"/>
        <v>4.5599999999999995E-2</v>
      </c>
      <c r="O12" s="1472">
        <f t="shared" si="10"/>
        <v>2.1499999999999998E-2</v>
      </c>
      <c r="P12" s="1472">
        <f t="shared" si="10"/>
        <v>5.3200000000000004E-2</v>
      </c>
      <c r="Q12" s="1472">
        <f t="shared" si="10"/>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11">B12/(1+N12)</f>
        <v>374.90436113236416</v>
      </c>
      <c r="C13" s="1476">
        <f t="shared" si="11"/>
        <v>295.64366128242779</v>
      </c>
      <c r="D13" s="1476">
        <f t="shared" ref="D13:D72" si="12">C13</f>
        <v>295.64366128242779</v>
      </c>
      <c r="E13" s="1476">
        <f t="shared" ref="E13:F15" si="13">E12/(1+P12)</f>
        <v>525.06646410938095</v>
      </c>
      <c r="F13" s="1476">
        <f t="shared" si="13"/>
        <v>261.88835286009646</v>
      </c>
      <c r="G13" s="3374"/>
      <c r="H13" s="1463">
        <v>3</v>
      </c>
      <c r="I13" s="1463">
        <v>4.12</v>
      </c>
      <c r="J13" s="1463">
        <v>2</v>
      </c>
      <c r="K13" s="1463">
        <v>4.79</v>
      </c>
      <c r="L13" s="1477">
        <v>1.97</v>
      </c>
      <c r="N13" s="1471">
        <f t="shared" ref="N13:Q47" si="14">I13/100</f>
        <v>4.1200000000000001E-2</v>
      </c>
      <c r="O13" s="1472">
        <f t="shared" si="10"/>
        <v>0.02</v>
      </c>
      <c r="P13" s="1472">
        <f t="shared" si="10"/>
        <v>4.7899999999999998E-2</v>
      </c>
      <c r="Q13" s="1472">
        <f t="shared" si="10"/>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11"/>
        <v>360.06949782209392</v>
      </c>
      <c r="C14" s="1476">
        <f t="shared" si="11"/>
        <v>289.84672674747821</v>
      </c>
      <c r="D14" s="1476">
        <f t="shared" si="12"/>
        <v>289.84672674747821</v>
      </c>
      <c r="E14" s="1476">
        <f t="shared" si="13"/>
        <v>501.06543001181495</v>
      </c>
      <c r="F14" s="1476">
        <f t="shared" si="13"/>
        <v>256.82882500744967</v>
      </c>
      <c r="G14" s="3374"/>
      <c r="H14" s="1464">
        <v>2</v>
      </c>
      <c r="I14" s="1464">
        <v>3.85</v>
      </c>
      <c r="J14" s="1464">
        <v>1.95</v>
      </c>
      <c r="K14" s="1464">
        <v>4.4800000000000004</v>
      </c>
      <c r="L14" s="1478">
        <v>1.41</v>
      </c>
      <c r="N14" s="1471">
        <f t="shared" si="14"/>
        <v>3.85E-2</v>
      </c>
      <c r="O14" s="1472">
        <f t="shared" si="10"/>
        <v>1.95E-2</v>
      </c>
      <c r="P14" s="1472">
        <f t="shared" si="10"/>
        <v>4.4800000000000006E-2</v>
      </c>
      <c r="Q14" s="1472">
        <f t="shared" si="10"/>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11"/>
        <v>346.720748986128</v>
      </c>
      <c r="C15" s="1476">
        <f t="shared" si="11"/>
        <v>284.30282172386285</v>
      </c>
      <c r="D15" s="1476">
        <f t="shared" si="12"/>
        <v>284.30282172386285</v>
      </c>
      <c r="E15" s="1476">
        <f t="shared" si="13"/>
        <v>479.58023546306947</v>
      </c>
      <c r="F15" s="1476">
        <f t="shared" si="13"/>
        <v>253.25788877571213</v>
      </c>
      <c r="G15" s="3375"/>
      <c r="H15" s="1463">
        <v>1</v>
      </c>
      <c r="I15" s="1463">
        <v>4.09</v>
      </c>
      <c r="J15" s="1463">
        <v>2.93</v>
      </c>
      <c r="K15" s="1463">
        <v>4.54</v>
      </c>
      <c r="L15" s="1477">
        <v>1.48</v>
      </c>
      <c r="N15" s="1471">
        <f t="shared" si="14"/>
        <v>4.0899999999999999E-2</v>
      </c>
      <c r="O15" s="1472">
        <f t="shared" si="10"/>
        <v>2.9300000000000003E-2</v>
      </c>
      <c r="P15" s="1472">
        <f t="shared" si="10"/>
        <v>4.5400000000000003E-2</v>
      </c>
      <c r="Q15" s="1472">
        <f t="shared" si="10"/>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12"/>
        <v>277</v>
      </c>
      <c r="E16" s="1468">
        <v>459</v>
      </c>
      <c r="F16" s="1469">
        <v>249</v>
      </c>
      <c r="G16" s="3373">
        <v>2015</v>
      </c>
      <c r="H16" s="1481">
        <v>4</v>
      </c>
      <c r="I16" s="1481">
        <v>1.63</v>
      </c>
      <c r="J16" s="1481">
        <v>1.1100000000000001</v>
      </c>
      <c r="K16" s="1481">
        <v>1.77</v>
      </c>
      <c r="L16" s="1482">
        <v>1.89</v>
      </c>
      <c r="N16" s="1483">
        <f t="shared" si="14"/>
        <v>1.6299999999999999E-2</v>
      </c>
      <c r="O16" s="1484">
        <f t="shared" si="10"/>
        <v>1.11E-2</v>
      </c>
      <c r="P16" s="1484">
        <f t="shared" si="10"/>
        <v>1.77E-2</v>
      </c>
      <c r="Q16" s="1484">
        <f t="shared" si="10"/>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15">B16/(1+N16)</f>
        <v>327.65915576109415</v>
      </c>
      <c r="C17" s="1476">
        <f t="shared" si="15"/>
        <v>273.95905449510434</v>
      </c>
      <c r="D17" s="1476">
        <f t="shared" si="12"/>
        <v>273.95905449510434</v>
      </c>
      <c r="E17" s="1476">
        <f t="shared" ref="E17:F19" si="16">E16/(1+P16)</f>
        <v>451.01699911565294</v>
      </c>
      <c r="F17" s="1476">
        <f t="shared" si="16"/>
        <v>244.38119540681129</v>
      </c>
      <c r="G17" s="3374"/>
      <c r="H17" s="1486">
        <v>3</v>
      </c>
      <c r="I17" s="1486">
        <v>1.65</v>
      </c>
      <c r="J17" s="1486">
        <v>0.92</v>
      </c>
      <c r="K17" s="1486">
        <v>1.88</v>
      </c>
      <c r="L17" s="1487">
        <v>1.26</v>
      </c>
      <c r="N17" s="1471">
        <f t="shared" si="14"/>
        <v>1.6500000000000001E-2</v>
      </c>
      <c r="O17" s="1488">
        <f t="shared" si="10"/>
        <v>9.1999999999999998E-3</v>
      </c>
      <c r="P17" s="1488">
        <f t="shared" si="10"/>
        <v>1.8799999999999997E-2</v>
      </c>
      <c r="Q17" s="1488">
        <f t="shared" si="10"/>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15"/>
        <v>322.34053690220776</v>
      </c>
      <c r="C18" s="1476">
        <f t="shared" si="15"/>
        <v>271.46160770422546</v>
      </c>
      <c r="D18" s="1476">
        <f t="shared" si="12"/>
        <v>271.46160770422546</v>
      </c>
      <c r="E18" s="1476">
        <f t="shared" si="16"/>
        <v>442.69434542172456</v>
      </c>
      <c r="F18" s="1476">
        <f t="shared" si="16"/>
        <v>241.34030753190925</v>
      </c>
      <c r="G18" s="3374"/>
      <c r="H18" s="1464">
        <v>2</v>
      </c>
      <c r="I18" s="1464">
        <v>0.77</v>
      </c>
      <c r="J18" s="1464">
        <v>0.69</v>
      </c>
      <c r="K18" s="1464">
        <v>0.8</v>
      </c>
      <c r="L18" s="1478">
        <v>0.88</v>
      </c>
      <c r="N18" s="1471">
        <f t="shared" si="14"/>
        <v>7.7000000000000002E-3</v>
      </c>
      <c r="O18" s="1488">
        <f t="shared" si="10"/>
        <v>6.8999999999999999E-3</v>
      </c>
      <c r="P18" s="1488">
        <f t="shared" si="10"/>
        <v>8.0000000000000002E-3</v>
      </c>
      <c r="Q18" s="1488">
        <f t="shared" si="10"/>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15"/>
        <v>319.87748030386797</v>
      </c>
      <c r="C19" s="1476">
        <f t="shared" si="15"/>
        <v>269.60135833173649</v>
      </c>
      <c r="D19" s="1476">
        <f t="shared" si="12"/>
        <v>269.60135833173649</v>
      </c>
      <c r="E19" s="1476">
        <f t="shared" si="16"/>
        <v>439.18089823583784</v>
      </c>
      <c r="F19" s="1476">
        <f t="shared" si="16"/>
        <v>239.23503918706311</v>
      </c>
      <c r="G19" s="3375"/>
      <c r="H19" s="1463">
        <v>1</v>
      </c>
      <c r="I19" s="1463">
        <v>0.51</v>
      </c>
      <c r="J19" s="1463">
        <v>0.54</v>
      </c>
      <c r="K19" s="1463">
        <v>0.48</v>
      </c>
      <c r="L19" s="1477">
        <v>0.93</v>
      </c>
      <c r="N19" s="1479">
        <f t="shared" si="14"/>
        <v>5.1000000000000004E-3</v>
      </c>
      <c r="O19" s="1480">
        <f t="shared" si="10"/>
        <v>5.4000000000000003E-3</v>
      </c>
      <c r="P19" s="1480">
        <f t="shared" si="10"/>
        <v>4.7999999999999996E-3</v>
      </c>
      <c r="Q19" s="1480">
        <f t="shared" si="10"/>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12"/>
        <v>268</v>
      </c>
      <c r="E20" s="1489">
        <v>437</v>
      </c>
      <c r="F20" s="1490">
        <v>237</v>
      </c>
      <c r="G20" s="3373">
        <v>2014</v>
      </c>
      <c r="H20" s="1481">
        <v>4</v>
      </c>
      <c r="I20" s="1481">
        <v>0.21</v>
      </c>
      <c r="J20" s="1481">
        <v>0.41</v>
      </c>
      <c r="K20" s="1481">
        <v>0.12</v>
      </c>
      <c r="L20" s="1482">
        <v>0.89</v>
      </c>
      <c r="N20" s="1471">
        <f t="shared" si="14"/>
        <v>2.0999999999999999E-3</v>
      </c>
      <c r="O20" s="1472">
        <f t="shared" si="10"/>
        <v>4.0999999999999995E-3</v>
      </c>
      <c r="P20" s="1472">
        <f t="shared" si="10"/>
        <v>1.1999999999999999E-3</v>
      </c>
      <c r="Q20" s="1472">
        <f t="shared" si="10"/>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17">B20/(1+N20)</f>
        <v>317.33359944117353</v>
      </c>
      <c r="C21" s="1476">
        <f t="shared" si="17"/>
        <v>266.90568668459315</v>
      </c>
      <c r="D21" s="1476">
        <f t="shared" si="12"/>
        <v>266.90568668459315</v>
      </c>
      <c r="E21" s="1476">
        <f t="shared" ref="E21:F23" si="18">E20/(1+P20)</f>
        <v>436.47622852576905</v>
      </c>
      <c r="F21" s="1476">
        <f t="shared" si="18"/>
        <v>234.90930716622066</v>
      </c>
      <c r="G21" s="3374"/>
      <c r="H21" s="1491">
        <v>3</v>
      </c>
      <c r="I21" s="1491">
        <v>0.83</v>
      </c>
      <c r="J21" s="1491">
        <v>1.47</v>
      </c>
      <c r="K21" s="1491">
        <v>0.65</v>
      </c>
      <c r="L21" s="1492">
        <v>0.72</v>
      </c>
      <c r="N21" s="1471">
        <f t="shared" si="14"/>
        <v>8.3000000000000001E-3</v>
      </c>
      <c r="O21" s="1472">
        <f t="shared" si="10"/>
        <v>1.47E-2</v>
      </c>
      <c r="P21" s="1472">
        <f t="shared" si="10"/>
        <v>6.5000000000000006E-3</v>
      </c>
      <c r="Q21" s="1472">
        <f t="shared" si="10"/>
        <v>7.1999999999999998E-3</v>
      </c>
      <c r="R21" s="1473"/>
      <c r="S21" s="1471"/>
      <c r="T21" s="1472"/>
      <c r="U21" s="1472"/>
      <c r="V21" s="1472"/>
      <c r="X21" s="1458">
        <f>ROUND(SUMPRODUCT(PRODUCT(1+N21:N$22)),4)</f>
        <v>1.0325</v>
      </c>
      <c r="Y21" s="1458">
        <f>ROUND(SUMPRODUCT(PRODUCT(1+O21:O$22)),4)</f>
        <v>1.0353000000000001</v>
      </c>
      <c r="Z21" s="1458">
        <f>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17"/>
        <v>314.72141172386546</v>
      </c>
      <c r="C22" s="1476">
        <f t="shared" si="17"/>
        <v>263.03901319069001</v>
      </c>
      <c r="D22" s="1476">
        <f t="shared" si="12"/>
        <v>263.03901319069001</v>
      </c>
      <c r="E22" s="1476">
        <f t="shared" si="18"/>
        <v>433.65745506782821</v>
      </c>
      <c r="F22" s="1476">
        <f t="shared" si="18"/>
        <v>233.23005080045735</v>
      </c>
      <c r="G22" s="3374"/>
      <c r="H22" s="1481">
        <v>2</v>
      </c>
      <c r="I22" s="1481">
        <v>2.4</v>
      </c>
      <c r="J22" s="1481">
        <v>2.0299999999999998</v>
      </c>
      <c r="K22" s="1481">
        <v>2.59</v>
      </c>
      <c r="L22" s="1482">
        <v>1.52</v>
      </c>
      <c r="N22" s="1471">
        <f t="shared" si="14"/>
        <v>2.4E-2</v>
      </c>
      <c r="O22" s="1472">
        <f t="shared" si="10"/>
        <v>2.0299999999999999E-2</v>
      </c>
      <c r="P22" s="1472">
        <f t="shared" si="10"/>
        <v>2.5899999999999999E-2</v>
      </c>
      <c r="Q22" s="1472">
        <f t="shared" si="10"/>
        <v>1.52E-2</v>
      </c>
      <c r="R22" s="1473"/>
      <c r="S22" s="1471"/>
      <c r="T22" s="1472"/>
      <c r="U22" s="1472"/>
      <c r="V22" s="1472"/>
      <c r="X22" s="1458">
        <f>1+N22</f>
        <v>1.024</v>
      </c>
      <c r="Y22" s="1458">
        <f>1+O22</f>
        <v>1.0203</v>
      </c>
      <c r="Z22" s="1458">
        <f>Y22</f>
        <v>1.0203</v>
      </c>
      <c r="AA22" s="1458">
        <f>1+P22</f>
        <v>1.0259</v>
      </c>
      <c r="AB22" s="1458">
        <f>1+Q22</f>
        <v>1.0152000000000001</v>
      </c>
      <c r="AD22" s="1459">
        <f>ROUND(AVERAGE(I22:I$23)/100,4)</f>
        <v>2.69E-2</v>
      </c>
      <c r="AE22" s="1459">
        <f>ROUND(AVERAGE(J22:J$23)/100,4)</f>
        <v>2.1899999999999999E-2</v>
      </c>
      <c r="AF22" s="1459">
        <f>AE22</f>
        <v>2.1899999999999999E-2</v>
      </c>
      <c r="AG22" s="1459">
        <f>ROUND(AVERAGE(K22:K$23)/100,4)</f>
        <v>2.9399999999999999E-2</v>
      </c>
      <c r="AH22" s="1459">
        <f>ROUND(AVERAGE(L22:L$23)/100,4)</f>
        <v>1.44E-2</v>
      </c>
    </row>
    <row r="23" spans="1:34" s="1497" customFormat="1" ht="13.5" thickBot="1">
      <c r="A23" s="1493" t="s">
        <v>144</v>
      </c>
      <c r="B23" s="1494">
        <f t="shared" si="17"/>
        <v>307.34512863658733</v>
      </c>
      <c r="C23" s="1494">
        <f t="shared" si="17"/>
        <v>257.80556031626975</v>
      </c>
      <c r="D23" s="1494">
        <f t="shared" si="12"/>
        <v>257.80556031626975</v>
      </c>
      <c r="E23" s="1494">
        <f t="shared" si="18"/>
        <v>422.70928459677179</v>
      </c>
      <c r="F23" s="1494">
        <f t="shared" si="18"/>
        <v>229.73803270336617</v>
      </c>
      <c r="G23" s="3375"/>
      <c r="H23" s="1495">
        <v>1</v>
      </c>
      <c r="I23" s="1495">
        <v>2.97</v>
      </c>
      <c r="J23" s="1495">
        <v>2.34</v>
      </c>
      <c r="K23" s="1495">
        <v>3.28</v>
      </c>
      <c r="L23" s="1496">
        <v>1.36</v>
      </c>
      <c r="N23" s="1498">
        <f t="shared" si="14"/>
        <v>2.9700000000000001E-2</v>
      </c>
      <c r="O23" s="1499">
        <f t="shared" si="10"/>
        <v>2.3399999999999997E-2</v>
      </c>
      <c r="P23" s="1499">
        <f t="shared" si="10"/>
        <v>3.2799999999999996E-2</v>
      </c>
      <c r="Q23" s="1499">
        <f t="shared" si="10"/>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12"/>
        <v>252</v>
      </c>
      <c r="E24" s="1468">
        <v>409</v>
      </c>
      <c r="F24" s="1469">
        <v>227</v>
      </c>
      <c r="G24" s="3378">
        <v>2013</v>
      </c>
      <c r="H24" s="1505">
        <v>4</v>
      </c>
      <c r="I24" s="1505">
        <v>1.83</v>
      </c>
      <c r="J24" s="1505">
        <v>1.68</v>
      </c>
      <c r="K24" s="1505">
        <v>1.97</v>
      </c>
      <c r="L24" s="1506">
        <v>0.87</v>
      </c>
      <c r="N24" s="1483">
        <f t="shared" si="14"/>
        <v>1.83E-2</v>
      </c>
      <c r="O24" s="1484">
        <f t="shared" si="10"/>
        <v>1.6799999999999999E-2</v>
      </c>
      <c r="P24" s="1484">
        <f t="shared" si="10"/>
        <v>1.9699999999999999E-2</v>
      </c>
      <c r="Q24" s="1484">
        <f t="shared" si="10"/>
        <v>8.6999999999999994E-3</v>
      </c>
      <c r="R24" s="1473"/>
      <c r="S24" s="1474"/>
      <c r="T24" s="1475"/>
      <c r="U24" s="1475"/>
      <c r="V24" s="1475"/>
      <c r="X24" s="1475"/>
      <c r="Y24" s="1475"/>
      <c r="Z24" s="1475"/>
    </row>
    <row r="25" spans="1:34">
      <c r="A25" s="1460" t="s">
        <v>1164</v>
      </c>
      <c r="B25" s="1476">
        <f t="shared" ref="B25:C27" si="19">B24/(1+N24)</f>
        <v>293.62663262299913</v>
      </c>
      <c r="C25" s="1476">
        <f t="shared" si="19"/>
        <v>247.83634933123525</v>
      </c>
      <c r="D25" s="1476">
        <f t="shared" si="12"/>
        <v>247.83634933123525</v>
      </c>
      <c r="E25" s="1476">
        <f t="shared" ref="E25:F27" si="20">E24/(1+P24)</f>
        <v>401.09836226341076</v>
      </c>
      <c r="F25" s="1476">
        <f t="shared" si="20"/>
        <v>225.04213343908003</v>
      </c>
      <c r="G25" s="3379"/>
      <c r="H25" s="1486">
        <v>3</v>
      </c>
      <c r="I25" s="1486">
        <v>1.86</v>
      </c>
      <c r="J25" s="1486">
        <v>1.72</v>
      </c>
      <c r="K25" s="1486">
        <v>1.98</v>
      </c>
      <c r="L25" s="1487">
        <v>0.88</v>
      </c>
      <c r="N25" s="1471">
        <f t="shared" si="14"/>
        <v>1.8600000000000002E-2</v>
      </c>
      <c r="O25" s="1488">
        <f t="shared" si="10"/>
        <v>1.72E-2</v>
      </c>
      <c r="P25" s="1488">
        <f t="shared" si="10"/>
        <v>1.9799999999999998E-2</v>
      </c>
      <c r="Q25" s="1488">
        <f t="shared" si="10"/>
        <v>8.8000000000000005E-3</v>
      </c>
      <c r="R25" s="1473"/>
      <c r="S25" s="1471"/>
      <c r="T25" s="1472"/>
      <c r="U25" s="1472"/>
      <c r="V25" s="1472"/>
    </row>
    <row r="26" spans="1:34">
      <c r="A26" s="1460" t="s">
        <v>1165</v>
      </c>
      <c r="B26" s="1476">
        <f t="shared" si="19"/>
        <v>288.2649053828776</v>
      </c>
      <c r="C26" s="1476">
        <f t="shared" si="19"/>
        <v>243.64564425013293</v>
      </c>
      <c r="D26" s="1476">
        <f t="shared" si="12"/>
        <v>243.64564425013293</v>
      </c>
      <c r="E26" s="1476">
        <f t="shared" si="20"/>
        <v>393.31080825986544</v>
      </c>
      <c r="F26" s="1476">
        <f t="shared" si="20"/>
        <v>223.07903790551154</v>
      </c>
      <c r="G26" s="3379"/>
      <c r="H26" s="1464">
        <v>2</v>
      </c>
      <c r="I26" s="1464">
        <v>2.04</v>
      </c>
      <c r="J26" s="1464">
        <v>2.33</v>
      </c>
      <c r="K26" s="1464">
        <v>2.0699999999999998</v>
      </c>
      <c r="L26" s="1478">
        <v>0.69</v>
      </c>
      <c r="N26" s="1471">
        <f t="shared" si="14"/>
        <v>2.0400000000000001E-2</v>
      </c>
      <c r="O26" s="1488">
        <f t="shared" si="10"/>
        <v>2.3300000000000001E-2</v>
      </c>
      <c r="P26" s="1488">
        <f t="shared" si="10"/>
        <v>2.07E-2</v>
      </c>
      <c r="Q26" s="1488">
        <f t="shared" si="10"/>
        <v>6.8999999999999999E-3</v>
      </c>
      <c r="R26" s="1473"/>
      <c r="S26" s="1471"/>
      <c r="T26" s="1472"/>
      <c r="U26" s="1472"/>
      <c r="V26" s="1472"/>
      <c r="X26" s="1507"/>
      <c r="Y26" s="1508"/>
    </row>
    <row r="27" spans="1:34">
      <c r="A27" s="1460" t="s">
        <v>1166</v>
      </c>
      <c r="B27" s="1476">
        <f t="shared" si="19"/>
        <v>282.50186729015837</v>
      </c>
      <c r="C27" s="1476">
        <f t="shared" si="19"/>
        <v>238.09796174155468</v>
      </c>
      <c r="D27" s="1476">
        <f t="shared" si="12"/>
        <v>238.09796174155468</v>
      </c>
      <c r="E27" s="1476">
        <f t="shared" si="20"/>
        <v>385.33438646014054</v>
      </c>
      <c r="F27" s="1476">
        <f t="shared" si="20"/>
        <v>221.55034055567739</v>
      </c>
      <c r="G27" s="3380"/>
      <c r="H27" s="1463">
        <v>1</v>
      </c>
      <c r="I27" s="1463">
        <v>1.67</v>
      </c>
      <c r="J27" s="1463">
        <v>1.31</v>
      </c>
      <c r="K27" s="1463">
        <v>1.85</v>
      </c>
      <c r="L27" s="1477">
        <v>0.96</v>
      </c>
      <c r="N27" s="1479">
        <f t="shared" si="14"/>
        <v>1.67E-2</v>
      </c>
      <c r="O27" s="1480">
        <f t="shared" si="14"/>
        <v>1.3100000000000001E-2</v>
      </c>
      <c r="P27" s="1480">
        <f t="shared" si="14"/>
        <v>1.8500000000000003E-2</v>
      </c>
      <c r="Q27" s="1480">
        <f t="shared" si="14"/>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12"/>
        <v>234</v>
      </c>
      <c r="E28" s="1510">
        <v>379</v>
      </c>
      <c r="F28" s="1511">
        <v>220</v>
      </c>
      <c r="G28" s="3373">
        <v>2012</v>
      </c>
      <c r="H28" s="1481">
        <v>4</v>
      </c>
      <c r="I28" s="1481">
        <v>0.91</v>
      </c>
      <c r="J28" s="1481">
        <v>0.68</v>
      </c>
      <c r="K28" s="1481">
        <v>0.98</v>
      </c>
      <c r="L28" s="1482">
        <v>0.9</v>
      </c>
      <c r="N28" s="1471">
        <f t="shared" si="14"/>
        <v>9.1000000000000004E-3</v>
      </c>
      <c r="O28" s="1472">
        <f t="shared" si="14"/>
        <v>6.8000000000000005E-3</v>
      </c>
      <c r="P28" s="1472">
        <f t="shared" si="14"/>
        <v>9.7999999999999997E-3</v>
      </c>
      <c r="Q28" s="1472">
        <f t="shared" si="14"/>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12"/>
        <v>232.41954707985698</v>
      </c>
      <c r="E29" s="1476">
        <f t="shared" ref="E29:F31" si="21">E28/(1+P28)</f>
        <v>375.32184591008121</v>
      </c>
      <c r="F29" s="1476">
        <f t="shared" si="21"/>
        <v>218.03766105054513</v>
      </c>
      <c r="G29" s="3374"/>
      <c r="H29" s="1486">
        <v>3</v>
      </c>
      <c r="I29" s="1486">
        <v>0.09</v>
      </c>
      <c r="J29" s="1486">
        <v>0.28999999999999998</v>
      </c>
      <c r="K29" s="1486">
        <v>-0.01</v>
      </c>
      <c r="L29" s="1487">
        <v>0.57999999999999996</v>
      </c>
      <c r="N29" s="1471">
        <f t="shared" si="14"/>
        <v>8.9999999999999998E-4</v>
      </c>
      <c r="O29" s="1472">
        <f t="shared" si="14"/>
        <v>2.8999999999999998E-3</v>
      </c>
      <c r="P29" s="1472">
        <f t="shared" si="14"/>
        <v>-1E-4</v>
      </c>
      <c r="Q29" s="1472">
        <f t="shared" si="14"/>
        <v>5.7999999999999996E-3</v>
      </c>
      <c r="R29" s="1473"/>
      <c r="S29" s="1471"/>
      <c r="T29" s="1472"/>
      <c r="U29" s="1472"/>
      <c r="V29" s="1472"/>
    </row>
    <row r="30" spans="1:34">
      <c r="A30" s="1460" t="s">
        <v>1169</v>
      </c>
      <c r="B30" s="1476">
        <f>B29/(1+N29)</f>
        <v>275.24529281292263</v>
      </c>
      <c r="C30" s="1476">
        <f>C29/(1+O29)</f>
        <v>231.74747938962707</v>
      </c>
      <c r="D30" s="1476">
        <f t="shared" si="12"/>
        <v>231.74747938962707</v>
      </c>
      <c r="E30" s="1476">
        <f t="shared" si="21"/>
        <v>375.35938184826603</v>
      </c>
      <c r="F30" s="1476">
        <f t="shared" si="21"/>
        <v>216.78033510692495</v>
      </c>
      <c r="G30" s="3374"/>
      <c r="H30" s="1464">
        <v>2</v>
      </c>
      <c r="I30" s="1464">
        <v>0.02</v>
      </c>
      <c r="J30" s="1464">
        <v>0.12</v>
      </c>
      <c r="K30" s="1464">
        <v>-0.08</v>
      </c>
      <c r="L30" s="1478">
        <v>1.24</v>
      </c>
      <c r="N30" s="1471">
        <f t="shared" si="14"/>
        <v>2.0000000000000001E-4</v>
      </c>
      <c r="O30" s="1472">
        <f t="shared" si="14"/>
        <v>1.1999999999999999E-3</v>
      </c>
      <c r="P30" s="1472">
        <f t="shared" si="14"/>
        <v>-8.0000000000000004E-4</v>
      </c>
      <c r="Q30" s="1472">
        <f t="shared" si="14"/>
        <v>1.24E-2</v>
      </c>
      <c r="R30" s="1473"/>
      <c r="S30" s="1471"/>
      <c r="T30" s="1472"/>
      <c r="U30" s="1472"/>
      <c r="V30" s="1472"/>
    </row>
    <row r="31" spans="1:34" ht="13.5" thickBot="1">
      <c r="A31" s="1460" t="s">
        <v>1170</v>
      </c>
      <c r="B31" s="1476">
        <f>B30/(1+N30)</f>
        <v>275.19025476197027</v>
      </c>
      <c r="C31" s="1512">
        <v>232</v>
      </c>
      <c r="D31" s="1512">
        <f t="shared" si="12"/>
        <v>232</v>
      </c>
      <c r="E31" s="1476">
        <f t="shared" si="21"/>
        <v>375.65990977608692</v>
      </c>
      <c r="F31" s="1476">
        <f t="shared" si="21"/>
        <v>214.12518283971252</v>
      </c>
      <c r="G31" s="3375"/>
      <c r="H31" s="1463">
        <v>1</v>
      </c>
      <c r="I31" s="1463">
        <v>0.02</v>
      </c>
      <c r="J31" s="1463">
        <v>0.13</v>
      </c>
      <c r="K31" s="1463">
        <v>-0.04</v>
      </c>
      <c r="L31" s="1477">
        <v>0.46</v>
      </c>
      <c r="N31" s="1471">
        <f t="shared" si="14"/>
        <v>2.0000000000000001E-4</v>
      </c>
      <c r="O31" s="1472">
        <f t="shared" si="14"/>
        <v>1.2999999999999999E-3</v>
      </c>
      <c r="P31" s="1472">
        <f t="shared" si="14"/>
        <v>-4.0000000000000002E-4</v>
      </c>
      <c r="Q31" s="1472">
        <f t="shared" si="14"/>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12"/>
        <v>232</v>
      </c>
      <c r="E32" s="1468">
        <v>376</v>
      </c>
      <c r="F32" s="1469">
        <v>213</v>
      </c>
      <c r="G32" s="3373">
        <v>2011</v>
      </c>
      <c r="H32" s="1481">
        <v>4</v>
      </c>
      <c r="I32" s="1481">
        <v>-0.2</v>
      </c>
      <c r="J32" s="1481">
        <v>0.04</v>
      </c>
      <c r="K32" s="1481">
        <v>-0.34</v>
      </c>
      <c r="L32" s="1482">
        <v>0.46</v>
      </c>
      <c r="N32" s="1483">
        <f t="shared" si="14"/>
        <v>-2E-3</v>
      </c>
      <c r="O32" s="1484">
        <f t="shared" si="14"/>
        <v>4.0000000000000002E-4</v>
      </c>
      <c r="P32" s="1484">
        <f t="shared" si="14"/>
        <v>-3.4000000000000002E-3</v>
      </c>
      <c r="Q32" s="1484">
        <f t="shared" si="14"/>
        <v>4.5999999999999999E-3</v>
      </c>
      <c r="R32" s="1473"/>
      <c r="S32" s="1474"/>
      <c r="T32" s="1475"/>
      <c r="U32" s="1475"/>
      <c r="V32" s="1475"/>
      <c r="X32" s="1475"/>
      <c r="Y32" s="1475"/>
      <c r="Z32" s="1475"/>
    </row>
    <row r="33" spans="1:26">
      <c r="A33" s="1460" t="s">
        <v>1172</v>
      </c>
      <c r="B33" s="1476">
        <f t="shared" ref="B33:C35" si="22">B32/(1+N32)</f>
        <v>275.55110220440883</v>
      </c>
      <c r="C33" s="1476">
        <f t="shared" si="22"/>
        <v>231.90723710515795</v>
      </c>
      <c r="D33" s="1476">
        <f t="shared" si="12"/>
        <v>231.90723710515795</v>
      </c>
      <c r="E33" s="1476">
        <f t="shared" ref="E33:F35" si="23">E32/(1+P32)</f>
        <v>377.28276138872161</v>
      </c>
      <c r="F33" s="1476">
        <f t="shared" si="23"/>
        <v>212.02468644236512</v>
      </c>
      <c r="G33" s="3374">
        <v>2011</v>
      </c>
      <c r="H33" s="1486">
        <v>3</v>
      </c>
      <c r="I33" s="1486">
        <v>0.13</v>
      </c>
      <c r="J33" s="1486">
        <v>0.75</v>
      </c>
      <c r="K33" s="1486">
        <v>-0.08</v>
      </c>
      <c r="L33" s="1487">
        <v>0.53</v>
      </c>
      <c r="N33" s="1471">
        <f t="shared" si="14"/>
        <v>1.2999999999999999E-3</v>
      </c>
      <c r="O33" s="1488">
        <f t="shared" si="14"/>
        <v>7.4999999999999997E-3</v>
      </c>
      <c r="P33" s="1488">
        <f t="shared" si="14"/>
        <v>-8.0000000000000004E-4</v>
      </c>
      <c r="Q33" s="1488">
        <f t="shared" si="14"/>
        <v>5.3E-3</v>
      </c>
      <c r="R33" s="1473"/>
      <c r="S33" s="1471"/>
      <c r="T33" s="1472"/>
      <c r="U33" s="1472"/>
      <c r="V33" s="1472"/>
    </row>
    <row r="34" spans="1:26">
      <c r="A34" s="1460" t="s">
        <v>1173</v>
      </c>
      <c r="B34" s="1476">
        <f t="shared" si="22"/>
        <v>275.19335084830601</v>
      </c>
      <c r="C34" s="1476">
        <f t="shared" si="22"/>
        <v>230.18088050139744</v>
      </c>
      <c r="D34" s="1476">
        <f t="shared" si="12"/>
        <v>230.18088050139744</v>
      </c>
      <c r="E34" s="1476">
        <f t="shared" si="23"/>
        <v>377.58482925212331</v>
      </c>
      <c r="F34" s="1476">
        <f t="shared" si="23"/>
        <v>210.90687997847917</v>
      </c>
      <c r="G34" s="3374">
        <v>2011</v>
      </c>
      <c r="H34" s="1464">
        <v>2</v>
      </c>
      <c r="I34" s="1464">
        <v>-0.4</v>
      </c>
      <c r="J34" s="1464">
        <v>0.17</v>
      </c>
      <c r="K34" s="1464">
        <v>-0.57999999999999996</v>
      </c>
      <c r="L34" s="1478">
        <v>-0.2</v>
      </c>
      <c r="N34" s="1471">
        <f t="shared" si="14"/>
        <v>-4.0000000000000001E-3</v>
      </c>
      <c r="O34" s="1488">
        <f t="shared" si="14"/>
        <v>1.7000000000000001E-3</v>
      </c>
      <c r="P34" s="1488">
        <f t="shared" si="14"/>
        <v>-5.7999999999999996E-3</v>
      </c>
      <c r="Q34" s="1488">
        <f t="shared" si="14"/>
        <v>-2E-3</v>
      </c>
      <c r="R34" s="1473"/>
      <c r="S34" s="1471"/>
      <c r="T34" s="1472"/>
      <c r="U34" s="1472"/>
      <c r="V34" s="1472"/>
    </row>
    <row r="35" spans="1:26" ht="13.5" thickBot="1">
      <c r="A35" s="1460" t="s">
        <v>1174</v>
      </c>
      <c r="B35" s="1476">
        <f t="shared" si="22"/>
        <v>276.29854502841971</v>
      </c>
      <c r="C35" s="1476">
        <f t="shared" si="22"/>
        <v>229.79023709833027</v>
      </c>
      <c r="D35" s="1476">
        <f t="shared" si="12"/>
        <v>229.79023709833027</v>
      </c>
      <c r="E35" s="1476">
        <f t="shared" si="23"/>
        <v>379.78759731655936</v>
      </c>
      <c r="F35" s="1476">
        <f t="shared" si="23"/>
        <v>211.32953905659235</v>
      </c>
      <c r="G35" s="3375">
        <v>2011</v>
      </c>
      <c r="H35" s="1463">
        <v>1</v>
      </c>
      <c r="I35" s="1463">
        <v>2.65</v>
      </c>
      <c r="J35" s="1463">
        <v>3.76</v>
      </c>
      <c r="K35" s="1463">
        <v>1.89</v>
      </c>
      <c r="L35" s="1477">
        <v>7.95</v>
      </c>
      <c r="N35" s="1479">
        <f t="shared" si="14"/>
        <v>2.6499999999999999E-2</v>
      </c>
      <c r="O35" s="1480">
        <f t="shared" si="14"/>
        <v>3.7599999999999995E-2</v>
      </c>
      <c r="P35" s="1480">
        <f t="shared" si="14"/>
        <v>1.89E-2</v>
      </c>
      <c r="Q35" s="1480">
        <f t="shared" si="14"/>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12"/>
        <v>221</v>
      </c>
      <c r="E36" s="1468">
        <v>373</v>
      </c>
      <c r="F36" s="1469">
        <v>196</v>
      </c>
      <c r="G36" s="3373">
        <v>2010</v>
      </c>
      <c r="H36" s="1481">
        <v>4</v>
      </c>
      <c r="I36" s="1481">
        <v>5.72</v>
      </c>
      <c r="J36" s="1481">
        <v>6.57</v>
      </c>
      <c r="K36" s="1481">
        <v>5.72</v>
      </c>
      <c r="L36" s="1482">
        <v>2.72</v>
      </c>
      <c r="N36" s="1471">
        <f t="shared" si="14"/>
        <v>5.7200000000000001E-2</v>
      </c>
      <c r="O36" s="1472">
        <f t="shared" si="14"/>
        <v>6.5700000000000008E-2</v>
      </c>
      <c r="P36" s="1472">
        <f t="shared" si="14"/>
        <v>5.7200000000000001E-2</v>
      </c>
      <c r="Q36" s="1472">
        <f t="shared" si="14"/>
        <v>2.7200000000000002E-2</v>
      </c>
      <c r="R36" s="1473"/>
      <c r="S36" s="1474"/>
      <c r="T36" s="1475"/>
      <c r="U36" s="1475"/>
      <c r="V36" s="1475"/>
      <c r="X36" s="1475"/>
      <c r="Y36" s="1475"/>
      <c r="Z36" s="1475"/>
    </row>
    <row r="37" spans="1:26">
      <c r="A37" s="1460" t="s">
        <v>1176</v>
      </c>
      <c r="B37" s="1476">
        <f t="shared" ref="B37:C39" si="24">B36/(1+N36)</f>
        <v>254.44570563753314</v>
      </c>
      <c r="C37" s="1476">
        <f t="shared" si="24"/>
        <v>207.37543398705074</v>
      </c>
      <c r="D37" s="1476">
        <f t="shared" si="12"/>
        <v>207.37543398705074</v>
      </c>
      <c r="E37" s="1476">
        <f t="shared" ref="E37:F39" si="25">E36/(1+P36)</f>
        <v>352.81876655315932</v>
      </c>
      <c r="F37" s="1476">
        <f t="shared" si="25"/>
        <v>190.809968847352</v>
      </c>
      <c r="G37" s="3374">
        <v>2010</v>
      </c>
      <c r="H37" s="1486">
        <v>3</v>
      </c>
      <c r="I37" s="1486">
        <v>4.7300000000000004</v>
      </c>
      <c r="J37" s="1486">
        <v>3.9</v>
      </c>
      <c r="K37" s="1486">
        <v>5.03</v>
      </c>
      <c r="L37" s="1487">
        <v>4.21</v>
      </c>
      <c r="N37" s="1471">
        <f t="shared" si="14"/>
        <v>4.7300000000000002E-2</v>
      </c>
      <c r="O37" s="1472">
        <f t="shared" si="14"/>
        <v>3.9E-2</v>
      </c>
      <c r="P37" s="1472">
        <f t="shared" si="14"/>
        <v>5.0300000000000004E-2</v>
      </c>
      <c r="Q37" s="1472">
        <f t="shared" si="14"/>
        <v>4.2099999999999999E-2</v>
      </c>
      <c r="R37" s="1473"/>
      <c r="S37" s="1471"/>
      <c r="T37" s="1472"/>
      <c r="U37" s="1472"/>
      <c r="V37" s="1472"/>
    </row>
    <row r="38" spans="1:26">
      <c r="A38" s="1460" t="s">
        <v>1177</v>
      </c>
      <c r="B38" s="1476">
        <f t="shared" si="24"/>
        <v>242.95398227588385</v>
      </c>
      <c r="C38" s="1476">
        <f t="shared" si="24"/>
        <v>199.59137053614126</v>
      </c>
      <c r="D38" s="1476">
        <f t="shared" si="12"/>
        <v>199.59137053614126</v>
      </c>
      <c r="E38" s="1476">
        <f t="shared" si="25"/>
        <v>335.92189522342125</v>
      </c>
      <c r="F38" s="1476">
        <f t="shared" si="25"/>
        <v>183.10139991109489</v>
      </c>
      <c r="G38" s="3374">
        <v>2010</v>
      </c>
      <c r="H38" s="1464">
        <v>2</v>
      </c>
      <c r="I38" s="1464">
        <v>4.6900000000000004</v>
      </c>
      <c r="J38" s="1464">
        <v>3.55</v>
      </c>
      <c r="K38" s="1464">
        <v>5.07</v>
      </c>
      <c r="L38" s="1478">
        <v>4.2300000000000004</v>
      </c>
      <c r="N38" s="1471">
        <f t="shared" si="14"/>
        <v>4.6900000000000004E-2</v>
      </c>
      <c r="O38" s="1472">
        <f t="shared" si="14"/>
        <v>3.5499999999999997E-2</v>
      </c>
      <c r="P38" s="1472">
        <f t="shared" si="14"/>
        <v>5.0700000000000002E-2</v>
      </c>
      <c r="Q38" s="1472">
        <f t="shared" si="14"/>
        <v>4.2300000000000004E-2</v>
      </c>
      <c r="R38" s="1473"/>
      <c r="S38" s="1471"/>
      <c r="T38" s="1472"/>
      <c r="U38" s="1472"/>
      <c r="V38" s="1472"/>
    </row>
    <row r="39" spans="1:26" ht="13.5" thickBot="1">
      <c r="A39" s="1460" t="s">
        <v>1178</v>
      </c>
      <c r="B39" s="1476">
        <f t="shared" si="24"/>
        <v>232.06990378821649</v>
      </c>
      <c r="C39" s="1476">
        <f t="shared" si="24"/>
        <v>192.74878854286936</v>
      </c>
      <c r="D39" s="1476">
        <f t="shared" si="12"/>
        <v>192.74878854286936</v>
      </c>
      <c r="E39" s="1476">
        <f t="shared" si="25"/>
        <v>319.71247284992984</v>
      </c>
      <c r="F39" s="1476">
        <f t="shared" si="25"/>
        <v>175.67053622862409</v>
      </c>
      <c r="G39" s="3375">
        <v>2010</v>
      </c>
      <c r="H39" s="1463">
        <v>1</v>
      </c>
      <c r="I39" s="1463">
        <v>5.4</v>
      </c>
      <c r="J39" s="1463">
        <v>3.2</v>
      </c>
      <c r="K39" s="1463">
        <v>6.16</v>
      </c>
      <c r="L39" s="1477">
        <v>4.51</v>
      </c>
      <c r="N39" s="1471">
        <f t="shared" si="14"/>
        <v>5.4000000000000006E-2</v>
      </c>
      <c r="O39" s="1472">
        <f t="shared" si="14"/>
        <v>3.2000000000000001E-2</v>
      </c>
      <c r="P39" s="1472">
        <f t="shared" si="14"/>
        <v>6.1600000000000002E-2</v>
      </c>
      <c r="Q39" s="1472">
        <f t="shared" si="14"/>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12"/>
        <v>187</v>
      </c>
      <c r="E40" s="1468">
        <v>301</v>
      </c>
      <c r="F40" s="1469">
        <v>168</v>
      </c>
      <c r="G40" s="3373">
        <v>2009</v>
      </c>
      <c r="H40" s="1481">
        <v>4</v>
      </c>
      <c r="I40" s="1481">
        <v>2.2999999999999998</v>
      </c>
      <c r="J40" s="1481">
        <v>1.04</v>
      </c>
      <c r="K40" s="1481">
        <v>2.84</v>
      </c>
      <c r="L40" s="1482">
        <v>0.67</v>
      </c>
      <c r="N40" s="1483">
        <f t="shared" si="14"/>
        <v>2.3E-2</v>
      </c>
      <c r="O40" s="1484">
        <f t="shared" si="14"/>
        <v>1.04E-2</v>
      </c>
      <c r="P40" s="1484">
        <f t="shared" si="14"/>
        <v>2.8399999999999998E-2</v>
      </c>
      <c r="Q40" s="1484">
        <f t="shared" si="14"/>
        <v>6.7000000000000002E-3</v>
      </c>
      <c r="R40" s="1473"/>
      <c r="S40" s="1474"/>
      <c r="T40" s="1475"/>
      <c r="U40" s="1475"/>
      <c r="V40" s="1475"/>
      <c r="X40" s="1475"/>
      <c r="Y40" s="1475"/>
      <c r="Z40" s="1475"/>
    </row>
    <row r="41" spans="1:26">
      <c r="A41" s="1460" t="s">
        <v>1180</v>
      </c>
      <c r="B41" s="1476">
        <f t="shared" ref="B41:C43" si="26">B40/(1+N40)</f>
        <v>215.05376344086022</v>
      </c>
      <c r="C41" s="1476">
        <f t="shared" si="26"/>
        <v>185.0752177355503</v>
      </c>
      <c r="D41" s="1476">
        <f t="shared" si="12"/>
        <v>185.0752177355503</v>
      </c>
      <c r="E41" s="1476">
        <f t="shared" ref="E41:F43" si="27">E40/(1+P40)</f>
        <v>292.68767016725008</v>
      </c>
      <c r="F41" s="1476">
        <f t="shared" si="27"/>
        <v>166.88189132810174</v>
      </c>
      <c r="G41" s="3374">
        <v>2009</v>
      </c>
      <c r="H41" s="1486">
        <v>3</v>
      </c>
      <c r="I41" s="1486">
        <v>2.1</v>
      </c>
      <c r="J41" s="1486">
        <v>1.86</v>
      </c>
      <c r="K41" s="1486">
        <v>2.29</v>
      </c>
      <c r="L41" s="1487">
        <v>0.85</v>
      </c>
      <c r="N41" s="1471">
        <f t="shared" si="14"/>
        <v>2.1000000000000001E-2</v>
      </c>
      <c r="O41" s="1488">
        <f t="shared" si="14"/>
        <v>1.8600000000000002E-2</v>
      </c>
      <c r="P41" s="1488">
        <f t="shared" si="14"/>
        <v>2.29E-2</v>
      </c>
      <c r="Q41" s="1488">
        <f t="shared" si="14"/>
        <v>8.5000000000000006E-3</v>
      </c>
      <c r="R41" s="1473"/>
      <c r="S41" s="1471"/>
      <c r="T41" s="1472"/>
      <c r="U41" s="1472"/>
      <c r="V41" s="1472"/>
    </row>
    <row r="42" spans="1:26">
      <c r="A42" s="1460" t="s">
        <v>1181</v>
      </c>
      <c r="B42" s="1476">
        <f t="shared" si="26"/>
        <v>210.630522469011</v>
      </c>
      <c r="C42" s="1476">
        <f t="shared" si="26"/>
        <v>181.69567812247232</v>
      </c>
      <c r="D42" s="1476">
        <f t="shared" si="12"/>
        <v>181.69567812247232</v>
      </c>
      <c r="E42" s="1476">
        <f t="shared" si="27"/>
        <v>286.13517466736738</v>
      </c>
      <c r="F42" s="1476">
        <f t="shared" si="27"/>
        <v>165.47535084591149</v>
      </c>
      <c r="G42" s="3374">
        <v>2009</v>
      </c>
      <c r="H42" s="1464">
        <v>2</v>
      </c>
      <c r="I42" s="1464">
        <v>0.86</v>
      </c>
      <c r="J42" s="1464">
        <v>-1.1299999999999999</v>
      </c>
      <c r="K42" s="1464">
        <v>1.79</v>
      </c>
      <c r="L42" s="1478">
        <v>-2.0699999999999998</v>
      </c>
      <c r="N42" s="1471">
        <f t="shared" si="14"/>
        <v>8.6E-3</v>
      </c>
      <c r="O42" s="1488">
        <f t="shared" si="14"/>
        <v>-1.1299999999999999E-2</v>
      </c>
      <c r="P42" s="1488">
        <f t="shared" si="14"/>
        <v>1.7899999999999999E-2</v>
      </c>
      <c r="Q42" s="1488">
        <f t="shared" si="14"/>
        <v>-2.07E-2</v>
      </c>
      <c r="R42" s="1473"/>
      <c r="S42" s="1471"/>
      <c r="T42" s="1472"/>
      <c r="U42" s="1472"/>
      <c r="V42" s="1472"/>
    </row>
    <row r="43" spans="1:26">
      <c r="A43" s="1460" t="s">
        <v>1182</v>
      </c>
      <c r="B43" s="1476">
        <f t="shared" si="26"/>
        <v>208.83454537875372</v>
      </c>
      <c r="C43" s="1476">
        <f t="shared" si="26"/>
        <v>183.77230517090351</v>
      </c>
      <c r="D43" s="1476">
        <f t="shared" si="12"/>
        <v>183.77230517090351</v>
      </c>
      <c r="E43" s="1476">
        <f t="shared" si="27"/>
        <v>281.10342338870947</v>
      </c>
      <c r="F43" s="1476">
        <f t="shared" si="27"/>
        <v>168.97309388942256</v>
      </c>
      <c r="G43" s="3375">
        <v>2009</v>
      </c>
      <c r="H43" s="1463">
        <v>1</v>
      </c>
      <c r="I43" s="1463">
        <v>-2.64</v>
      </c>
      <c r="J43" s="1463">
        <v>-2.5299999999999998</v>
      </c>
      <c r="K43" s="1463">
        <v>-3.02</v>
      </c>
      <c r="L43" s="1477">
        <v>1.52</v>
      </c>
      <c r="N43" s="1479">
        <f t="shared" si="14"/>
        <v>-2.64E-2</v>
      </c>
      <c r="O43" s="1480">
        <f t="shared" si="14"/>
        <v>-2.53E-2</v>
      </c>
      <c r="P43" s="1480">
        <f t="shared" si="14"/>
        <v>-3.0200000000000001E-2</v>
      </c>
      <c r="Q43" s="1480">
        <f t="shared" si="14"/>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12"/>
        <v>188</v>
      </c>
      <c r="E44" s="1510">
        <v>289</v>
      </c>
      <c r="F44" s="1511">
        <v>166</v>
      </c>
      <c r="G44" s="3373">
        <v>2008</v>
      </c>
      <c r="H44" s="1481">
        <v>4</v>
      </c>
      <c r="I44" s="1481">
        <v>1.73</v>
      </c>
      <c r="J44" s="1481">
        <v>0.03</v>
      </c>
      <c r="K44" s="1481">
        <v>2.59</v>
      </c>
      <c r="L44" s="1482">
        <v>-1.66</v>
      </c>
      <c r="N44" s="1471">
        <f t="shared" si="14"/>
        <v>1.7299999999999999E-2</v>
      </c>
      <c r="O44" s="1472">
        <f t="shared" si="14"/>
        <v>2.9999999999999997E-4</v>
      </c>
      <c r="P44" s="1472">
        <f t="shared" si="14"/>
        <v>2.5899999999999999E-2</v>
      </c>
      <c r="Q44" s="1472">
        <f t="shared" si="14"/>
        <v>-1.66E-2</v>
      </c>
      <c r="R44" s="1473"/>
      <c r="S44" s="1474"/>
      <c r="T44" s="1475"/>
      <c r="U44" s="1475"/>
      <c r="V44" s="1475"/>
      <c r="X44" s="1475"/>
      <c r="Y44" s="1475"/>
      <c r="Z44" s="1475"/>
    </row>
    <row r="45" spans="1:26">
      <c r="A45" s="1460" t="s">
        <v>1184</v>
      </c>
      <c r="B45" s="1476">
        <f t="shared" ref="B45:C47" si="28">B44/(1+N44)</f>
        <v>210.36075887152265</v>
      </c>
      <c r="C45" s="1476">
        <f t="shared" si="28"/>
        <v>187.94361691492554</v>
      </c>
      <c r="D45" s="1476">
        <f t="shared" si="12"/>
        <v>187.94361691492554</v>
      </c>
      <c r="E45" s="1476">
        <f t="shared" ref="E45:F47" si="29">E44/(1+P44)</f>
        <v>281.70386977288234</v>
      </c>
      <c r="F45" s="1476">
        <f t="shared" si="29"/>
        <v>168.80211511083994</v>
      </c>
      <c r="G45" s="3374">
        <v>2008</v>
      </c>
      <c r="H45" s="1486">
        <v>3</v>
      </c>
      <c r="I45" s="1486">
        <v>1.96</v>
      </c>
      <c r="J45" s="1486">
        <v>2.36</v>
      </c>
      <c r="K45" s="1486">
        <v>1.82</v>
      </c>
      <c r="L45" s="1487">
        <v>2.2200000000000002</v>
      </c>
      <c r="N45" s="1471">
        <f t="shared" si="14"/>
        <v>1.9599999999999999E-2</v>
      </c>
      <c r="O45" s="1472">
        <f t="shared" si="14"/>
        <v>2.3599999999999999E-2</v>
      </c>
      <c r="P45" s="1472">
        <f t="shared" si="14"/>
        <v>1.8200000000000001E-2</v>
      </c>
      <c r="Q45" s="1472">
        <f t="shared" si="14"/>
        <v>2.2200000000000001E-2</v>
      </c>
      <c r="R45" s="1473"/>
      <c r="S45" s="1471"/>
      <c r="T45" s="1472"/>
      <c r="U45" s="1472"/>
      <c r="V45" s="1472"/>
    </row>
    <row r="46" spans="1:26">
      <c r="A46" s="1460" t="s">
        <v>1185</v>
      </c>
      <c r="B46" s="1476">
        <f t="shared" si="28"/>
        <v>206.31694671589116</v>
      </c>
      <c r="C46" s="1476">
        <f t="shared" si="28"/>
        <v>183.61041121036101</v>
      </c>
      <c r="D46" s="1476">
        <f t="shared" si="12"/>
        <v>183.61041121036101</v>
      </c>
      <c r="E46" s="1476">
        <f t="shared" si="29"/>
        <v>276.66850301795557</v>
      </c>
      <c r="F46" s="1476">
        <f t="shared" si="29"/>
        <v>165.1360938278614</v>
      </c>
      <c r="G46" s="3374">
        <v>2008</v>
      </c>
      <c r="H46" s="1464">
        <v>2</v>
      </c>
      <c r="I46" s="1464">
        <v>4.93</v>
      </c>
      <c r="J46" s="1464">
        <v>7.38</v>
      </c>
      <c r="K46" s="1464">
        <v>3.98</v>
      </c>
      <c r="L46" s="1478">
        <v>6.86</v>
      </c>
      <c r="N46" s="1471">
        <f t="shared" si="14"/>
        <v>4.9299999999999997E-2</v>
      </c>
      <c r="O46" s="1472">
        <f t="shared" si="14"/>
        <v>7.3800000000000004E-2</v>
      </c>
      <c r="P46" s="1472">
        <f t="shared" si="14"/>
        <v>3.9800000000000002E-2</v>
      </c>
      <c r="Q46" s="1472">
        <f t="shared" si="14"/>
        <v>6.8600000000000008E-2</v>
      </c>
      <c r="R46" s="1473"/>
      <c r="S46" s="1471"/>
      <c r="T46" s="1472"/>
      <c r="U46" s="1472"/>
      <c r="V46" s="1472"/>
    </row>
    <row r="47" spans="1:26" s="1516" customFormat="1" ht="13.5" thickBot="1">
      <c r="A47" s="1460" t="s">
        <v>1186</v>
      </c>
      <c r="B47" s="1513">
        <f t="shared" si="28"/>
        <v>196.62341248059772</v>
      </c>
      <c r="C47" s="1513">
        <f t="shared" si="28"/>
        <v>170.99125648199012</v>
      </c>
      <c r="D47" s="1513">
        <f t="shared" si="12"/>
        <v>170.99125648199012</v>
      </c>
      <c r="E47" s="1513">
        <f t="shared" si="29"/>
        <v>266.07857570490052</v>
      </c>
      <c r="F47" s="1513">
        <f t="shared" si="29"/>
        <v>154.53499328828505</v>
      </c>
      <c r="G47" s="3375">
        <v>2008</v>
      </c>
      <c r="H47" s="1514">
        <v>1</v>
      </c>
      <c r="I47" s="1514">
        <v>4.1399999999999997</v>
      </c>
      <c r="J47" s="1514">
        <v>3.45</v>
      </c>
      <c r="K47" s="1514">
        <v>4.95</v>
      </c>
      <c r="L47" s="1515">
        <v>4.82</v>
      </c>
      <c r="N47" s="1517">
        <f t="shared" si="14"/>
        <v>4.1399999999999999E-2</v>
      </c>
      <c r="O47" s="1518">
        <f t="shared" si="14"/>
        <v>3.4500000000000003E-2</v>
      </c>
      <c r="P47" s="1518">
        <f t="shared" si="14"/>
        <v>4.9500000000000002E-2</v>
      </c>
      <c r="Q47" s="1518">
        <f t="shared" si="14"/>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12"/>
        <v>165</v>
      </c>
      <c r="E48" s="1468">
        <v>254</v>
      </c>
      <c r="F48" s="1469">
        <v>148</v>
      </c>
      <c r="G48" s="3373">
        <v>2007</v>
      </c>
      <c r="H48" s="1521">
        <v>4</v>
      </c>
      <c r="I48" s="1521">
        <v>5.51</v>
      </c>
      <c r="J48" s="1521">
        <v>4.8899999999999997</v>
      </c>
      <c r="K48" s="1521">
        <v>6.43</v>
      </c>
      <c r="L48" s="1522">
        <v>5.36</v>
      </c>
      <c r="N48" s="1523">
        <f t="shared" ref="N48:O51" si="30">B48/B49-1</f>
        <v>4.1339718365245526E-2</v>
      </c>
      <c r="O48" s="1524">
        <f t="shared" si="30"/>
        <v>4.0324492593776018E-2</v>
      </c>
      <c r="P48" s="1524">
        <f t="shared" ref="P48:Q51" si="31">E48/E49-1</f>
        <v>6.1625555347990968E-2</v>
      </c>
      <c r="Q48" s="1524">
        <f t="shared" si="31"/>
        <v>4.6757569250590603E-2</v>
      </c>
      <c r="R48" s="1473"/>
      <c r="S48" s="1474"/>
      <c r="T48" s="1475"/>
      <c r="U48" s="1475"/>
      <c r="V48" s="1475"/>
      <c r="X48" s="1475"/>
      <c r="Y48" s="1475"/>
      <c r="Z48" s="1475"/>
    </row>
    <row r="49" spans="1:26">
      <c r="A49" s="1460" t="s">
        <v>1188</v>
      </c>
      <c r="B49" s="1476">
        <f t="shared" ref="B49:C51" si="32">B50+(B$48-B$52)*I49/SUM(I$48:I$51)</f>
        <v>180.5366651097618</v>
      </c>
      <c r="C49" s="1476">
        <f t="shared" si="32"/>
        <v>158.60435967302453</v>
      </c>
      <c r="D49" s="1476">
        <f t="shared" si="12"/>
        <v>158.60435967302453</v>
      </c>
      <c r="E49" s="1476">
        <f t="shared" ref="E49:F51" si="33">E50+(E$48-E$52)*K49/SUM(K$48:K$51)</f>
        <v>239.25573260785075</v>
      </c>
      <c r="F49" s="1476">
        <f t="shared" si="33"/>
        <v>141.38899430740037</v>
      </c>
      <c r="G49" s="3374">
        <v>2007</v>
      </c>
      <c r="H49" s="1486">
        <v>3</v>
      </c>
      <c r="I49" s="1486">
        <v>8.65</v>
      </c>
      <c r="J49" s="1486">
        <v>8.06</v>
      </c>
      <c r="K49" s="1486">
        <v>9.94</v>
      </c>
      <c r="L49" s="1487">
        <v>5.8</v>
      </c>
      <c r="N49" s="1523">
        <f t="shared" si="30"/>
        <v>6.940217571740015E-2</v>
      </c>
      <c r="O49" s="1524">
        <f t="shared" si="30"/>
        <v>7.1197482471153428E-2</v>
      </c>
      <c r="P49" s="1524">
        <f t="shared" si="31"/>
        <v>0.10529679922579582</v>
      </c>
      <c r="Q49" s="1524">
        <f t="shared" si="31"/>
        <v>5.3292245059512133E-2</v>
      </c>
      <c r="R49" s="1473"/>
      <c r="S49" s="1471"/>
      <c r="T49" s="1472"/>
      <c r="U49" s="1472"/>
      <c r="V49" s="1472"/>
      <c r="X49" s="1525"/>
      <c r="Y49" s="1525"/>
      <c r="Z49" s="1525"/>
    </row>
    <row r="50" spans="1:26">
      <c r="A50" s="1460" t="s">
        <v>1189</v>
      </c>
      <c r="B50" s="1476">
        <f t="shared" si="32"/>
        <v>168.82017748715555</v>
      </c>
      <c r="C50" s="1476">
        <f t="shared" si="32"/>
        <v>148.06267029972753</v>
      </c>
      <c r="D50" s="1476">
        <f t="shared" si="12"/>
        <v>148.06267029972753</v>
      </c>
      <c r="E50" s="1476">
        <f t="shared" si="33"/>
        <v>216.46288379323747</v>
      </c>
      <c r="F50" s="1476">
        <f t="shared" si="33"/>
        <v>134.23529411764704</v>
      </c>
      <c r="G50" s="3374">
        <v>2007</v>
      </c>
      <c r="H50" s="1464">
        <v>2</v>
      </c>
      <c r="I50" s="1464">
        <v>3.67</v>
      </c>
      <c r="J50" s="1464">
        <v>2.3199999999999998</v>
      </c>
      <c r="K50" s="1464">
        <v>5.0199999999999996</v>
      </c>
      <c r="L50" s="1478">
        <v>6.71</v>
      </c>
      <c r="N50" s="1523">
        <f t="shared" si="30"/>
        <v>3.0339138143848032E-2</v>
      </c>
      <c r="O50" s="1524">
        <f t="shared" si="30"/>
        <v>2.0922341588790472E-2</v>
      </c>
      <c r="P50" s="1524">
        <f t="shared" si="31"/>
        <v>5.6164796592717003E-2</v>
      </c>
      <c r="Q50" s="1524">
        <f t="shared" si="31"/>
        <v>6.5704536723887319E-2</v>
      </c>
      <c r="R50" s="1473"/>
      <c r="S50" s="1471"/>
      <c r="T50" s="1472"/>
      <c r="U50" s="1472"/>
      <c r="V50" s="1472"/>
      <c r="X50" s="1525"/>
      <c r="Y50" s="1525"/>
      <c r="Z50" s="1525"/>
    </row>
    <row r="51" spans="1:26">
      <c r="A51" s="1460" t="s">
        <v>1190</v>
      </c>
      <c r="B51" s="1476">
        <f t="shared" si="32"/>
        <v>163.84913591779542</v>
      </c>
      <c r="C51" s="1476">
        <f t="shared" si="32"/>
        <v>145.0283378746594</v>
      </c>
      <c r="D51" s="1476">
        <f t="shared" si="12"/>
        <v>145.0283378746594</v>
      </c>
      <c r="E51" s="1476">
        <f t="shared" si="33"/>
        <v>204.95180722891567</v>
      </c>
      <c r="F51" s="1476">
        <f t="shared" si="33"/>
        <v>125.95920303605313</v>
      </c>
      <c r="G51" s="3375">
        <v>2007</v>
      </c>
      <c r="H51" s="1463">
        <v>1</v>
      </c>
      <c r="I51" s="1463">
        <v>3.58</v>
      </c>
      <c r="J51" s="1463">
        <v>3.08</v>
      </c>
      <c r="K51" s="1463">
        <v>4.34</v>
      </c>
      <c r="L51" s="1477">
        <v>3.21</v>
      </c>
      <c r="N51" s="1526">
        <f t="shared" si="30"/>
        <v>3.0497710174814063E-2</v>
      </c>
      <c r="O51" s="1527">
        <f t="shared" si="30"/>
        <v>2.8569772160704998E-2</v>
      </c>
      <c r="P51" s="1527">
        <f t="shared" si="31"/>
        <v>5.1034908866234296E-2</v>
      </c>
      <c r="Q51" s="1527">
        <f t="shared" si="31"/>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12"/>
        <v>141</v>
      </c>
      <c r="E52" s="1489">
        <v>195</v>
      </c>
      <c r="F52" s="1490">
        <v>122</v>
      </c>
      <c r="G52" s="3373">
        <v>2006</v>
      </c>
      <c r="H52" s="1481">
        <v>4</v>
      </c>
      <c r="I52" s="1481">
        <v>3.79</v>
      </c>
      <c r="J52" s="1481">
        <v>2.21</v>
      </c>
      <c r="K52" s="1481">
        <v>5.65</v>
      </c>
      <c r="L52" s="1482">
        <v>5.41</v>
      </c>
      <c r="N52" s="1523">
        <f t="shared" ref="N52:O55" si="34">I52/SUM(I$52:I$55)*(B$52/B$56-1)</f>
        <v>7.245466462748526E-2</v>
      </c>
      <c r="O52" s="1524">
        <f t="shared" si="34"/>
        <v>2.3237230038062766E-2</v>
      </c>
      <c r="P52" s="1524">
        <f t="shared" ref="P52:Q55" si="35">K52/SUM(K$52:K$55)*(E$52/E$56-1)</f>
        <v>0.16146893866323722</v>
      </c>
      <c r="Q52" s="1524">
        <f t="shared" si="35"/>
        <v>5.0755230321793784E-2</v>
      </c>
      <c r="R52" s="1473"/>
      <c r="S52" s="1474"/>
      <c r="T52" s="1475"/>
      <c r="U52" s="1475"/>
      <c r="V52" s="1475"/>
      <c r="X52" s="1525"/>
      <c r="Y52" s="1525"/>
      <c r="Z52" s="1525"/>
    </row>
    <row r="53" spans="1:26">
      <c r="A53" s="1460" t="s">
        <v>1192</v>
      </c>
      <c r="B53" s="1476">
        <f t="shared" ref="B53:C55" si="36">B54+(B$52-B$56)*I53/SUM(I$52:I$55)</f>
        <v>149.00125628140702</v>
      </c>
      <c r="C53" s="1476">
        <f t="shared" si="36"/>
        <v>137.95592286501378</v>
      </c>
      <c r="D53" s="1476">
        <f t="shared" si="12"/>
        <v>137.95592286501378</v>
      </c>
      <c r="E53" s="1476">
        <f t="shared" ref="E53:F55" si="37">E54+(E$52-E$56)*K53/SUM(K$52:K$55)</f>
        <v>169.97231450719823</v>
      </c>
      <c r="F53" s="1476">
        <f t="shared" si="37"/>
        <v>116.21390374331551</v>
      </c>
      <c r="G53" s="3374">
        <v>2006</v>
      </c>
      <c r="H53" s="1486">
        <v>3</v>
      </c>
      <c r="I53" s="1486">
        <v>0.92</v>
      </c>
      <c r="J53" s="1486">
        <v>1.08</v>
      </c>
      <c r="K53" s="1486">
        <v>0.73</v>
      </c>
      <c r="L53" s="1487">
        <v>1.08</v>
      </c>
      <c r="N53" s="1523">
        <f t="shared" si="34"/>
        <v>1.7587939698492462E-2</v>
      </c>
      <c r="O53" s="1524">
        <f t="shared" si="34"/>
        <v>1.1355750425840628E-2</v>
      </c>
      <c r="P53" s="1524">
        <f t="shared" si="35"/>
        <v>2.0862358446754544E-2</v>
      </c>
      <c r="Q53" s="1524">
        <f t="shared" si="35"/>
        <v>1.0132282578103011E-2</v>
      </c>
      <c r="R53" s="1473"/>
      <c r="S53" s="1471"/>
      <c r="T53" s="1472"/>
      <c r="U53" s="1472"/>
      <c r="V53" s="1472"/>
      <c r="X53" s="1525"/>
      <c r="Y53" s="1525"/>
      <c r="Z53" s="1525"/>
    </row>
    <row r="54" spans="1:26">
      <c r="A54" s="1460" t="s">
        <v>1193</v>
      </c>
      <c r="B54" s="1476">
        <f t="shared" si="36"/>
        <v>146.57412060301507</v>
      </c>
      <c r="C54" s="1476">
        <f t="shared" si="36"/>
        <v>136.46831955922866</v>
      </c>
      <c r="D54" s="1476">
        <f t="shared" si="12"/>
        <v>136.46831955922866</v>
      </c>
      <c r="E54" s="1476">
        <f t="shared" si="37"/>
        <v>166.73864894795128</v>
      </c>
      <c r="F54" s="1476">
        <f t="shared" si="37"/>
        <v>115.05882352941177</v>
      </c>
      <c r="G54" s="3374">
        <v>2006</v>
      </c>
      <c r="H54" s="1464">
        <v>2</v>
      </c>
      <c r="I54" s="1464">
        <v>0.96</v>
      </c>
      <c r="J54" s="1464">
        <v>0.25</v>
      </c>
      <c r="K54" s="1464">
        <v>1.9</v>
      </c>
      <c r="L54" s="1478">
        <v>0.95</v>
      </c>
      <c r="N54" s="1523">
        <f t="shared" si="34"/>
        <v>1.8352632728861701E-2</v>
      </c>
      <c r="O54" s="1524">
        <f t="shared" si="34"/>
        <v>2.6286459319075526E-3</v>
      </c>
      <c r="P54" s="1524">
        <f t="shared" si="35"/>
        <v>5.4299289107991269E-2</v>
      </c>
      <c r="Q54" s="1524">
        <f t="shared" si="35"/>
        <v>8.9126559714794995E-3</v>
      </c>
      <c r="R54" s="1473"/>
      <c r="S54" s="1471"/>
      <c r="T54" s="1472"/>
      <c r="U54" s="1472"/>
      <c r="V54" s="1472"/>
      <c r="X54" s="1525"/>
      <c r="Y54" s="1525"/>
      <c r="Z54" s="1525"/>
    </row>
    <row r="55" spans="1:26">
      <c r="A55" s="1460" t="s">
        <v>1194</v>
      </c>
      <c r="B55" s="1476">
        <f t="shared" si="36"/>
        <v>144.04145728643215</v>
      </c>
      <c r="C55" s="1476">
        <f t="shared" si="36"/>
        <v>136.12396694214877</v>
      </c>
      <c r="D55" s="1476">
        <f t="shared" si="12"/>
        <v>136.12396694214877</v>
      </c>
      <c r="E55" s="1476">
        <f t="shared" si="37"/>
        <v>158.32225913621264</v>
      </c>
      <c r="F55" s="1476">
        <f t="shared" si="37"/>
        <v>114.04278074866311</v>
      </c>
      <c r="G55" s="3375">
        <v>2006</v>
      </c>
      <c r="H55" s="1463">
        <v>1</v>
      </c>
      <c r="I55" s="1463">
        <v>2.29</v>
      </c>
      <c r="J55" s="1463">
        <v>3.72</v>
      </c>
      <c r="K55" s="1463">
        <v>0.75</v>
      </c>
      <c r="L55" s="1477">
        <v>0.04</v>
      </c>
      <c r="N55" s="1526">
        <f t="shared" si="34"/>
        <v>4.3778675988638847E-2</v>
      </c>
      <c r="O55" s="1527">
        <f t="shared" si="34"/>
        <v>3.9114251466784385E-2</v>
      </c>
      <c r="P55" s="1527">
        <f t="shared" si="35"/>
        <v>2.1433929911049188E-2</v>
      </c>
      <c r="Q55" s="1527">
        <f t="shared" si="35"/>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12"/>
        <v>131</v>
      </c>
      <c r="E56" s="1489">
        <v>155</v>
      </c>
      <c r="F56" s="1490">
        <v>114</v>
      </c>
      <c r="G56" s="3373">
        <v>2005</v>
      </c>
      <c r="H56" s="1481">
        <v>4</v>
      </c>
      <c r="I56" s="1481">
        <v>3.29</v>
      </c>
      <c r="J56" s="1481">
        <v>1.44</v>
      </c>
      <c r="K56" s="1481">
        <v>0.66</v>
      </c>
      <c r="L56" s="1482">
        <v>7.78</v>
      </c>
      <c r="N56" s="1523">
        <f t="shared" ref="N56:O59" si="38">I56/SUM(I$56:I$59)*(B$56/B$60-1)</f>
        <v>9.9404603216919935E-2</v>
      </c>
      <c r="O56" s="1524">
        <f t="shared" si="38"/>
        <v>4.7636550760861554E-2</v>
      </c>
      <c r="P56" s="1524">
        <f t="shared" ref="P56:Q59" si="39">K56/SUM(K$56:K$59)*(E$56/E$60-1)</f>
        <v>8.3756345177664976E-2</v>
      </c>
      <c r="Q56" s="1524">
        <f t="shared" si="39"/>
        <v>5.2148766661559584E-2</v>
      </c>
      <c r="R56" s="1473"/>
      <c r="S56" s="1474"/>
      <c r="T56" s="1475"/>
      <c r="U56" s="1475"/>
      <c r="V56" s="1475"/>
      <c r="X56" s="1525"/>
      <c r="Y56" s="1525"/>
      <c r="Z56" s="1525"/>
    </row>
    <row r="57" spans="1:26">
      <c r="A57" s="1460" t="s">
        <v>1196</v>
      </c>
      <c r="B57" s="1476">
        <f t="shared" ref="B57:C59" si="40">B58+(B$56-B$60)*I57/SUM(I$56:I$59)</f>
        <v>125.9720430107527</v>
      </c>
      <c r="C57" s="1476">
        <f t="shared" si="40"/>
        <v>125.1883408071749</v>
      </c>
      <c r="D57" s="1476">
        <f t="shared" si="12"/>
        <v>125.1883408071749</v>
      </c>
      <c r="E57" s="1476">
        <f t="shared" ref="E57:F59" si="41">E58+(E$56-E$60)*K57/SUM(K$56:K$59)</f>
        <v>144.61421319796952</v>
      </c>
      <c r="F57" s="1476">
        <f t="shared" si="41"/>
        <v>108.42008196721311</v>
      </c>
      <c r="G57" s="3374">
        <v>2005</v>
      </c>
      <c r="H57" s="1486">
        <v>3</v>
      </c>
      <c r="I57" s="1486">
        <v>0.46</v>
      </c>
      <c r="J57" s="1486">
        <v>0.32</v>
      </c>
      <c r="K57" s="1486">
        <v>0.42</v>
      </c>
      <c r="L57" s="1487">
        <v>0.64</v>
      </c>
      <c r="N57" s="1523">
        <f t="shared" si="38"/>
        <v>1.3898515951301874E-2</v>
      </c>
      <c r="O57" s="1524">
        <f t="shared" si="38"/>
        <v>1.0585900169080346E-2</v>
      </c>
      <c r="P57" s="1524">
        <f t="shared" si="39"/>
        <v>5.3299492385786795E-2</v>
      </c>
      <c r="Q57" s="1524">
        <f t="shared" si="39"/>
        <v>4.2898728359123568E-3</v>
      </c>
      <c r="R57" s="1473"/>
      <c r="S57" s="1471"/>
      <c r="T57" s="1472"/>
      <c r="U57" s="1472"/>
      <c r="V57" s="1472"/>
      <c r="X57" s="1525"/>
      <c r="Y57" s="1525"/>
      <c r="Z57" s="1525"/>
    </row>
    <row r="58" spans="1:26">
      <c r="A58" s="1460" t="s">
        <v>1197</v>
      </c>
      <c r="B58" s="1476">
        <f t="shared" si="40"/>
        <v>124.29032258064517</v>
      </c>
      <c r="C58" s="1476">
        <f t="shared" si="40"/>
        <v>123.8968609865471</v>
      </c>
      <c r="D58" s="1476">
        <f t="shared" si="12"/>
        <v>123.8968609865471</v>
      </c>
      <c r="E58" s="1476">
        <f t="shared" si="41"/>
        <v>138.00507614213197</v>
      </c>
      <c r="F58" s="1476">
        <f t="shared" si="41"/>
        <v>107.96106557377048</v>
      </c>
      <c r="G58" s="3374">
        <v>2005</v>
      </c>
      <c r="H58" s="1464">
        <v>2</v>
      </c>
      <c r="I58" s="1464">
        <v>0.47</v>
      </c>
      <c r="J58" s="1464">
        <v>0.1</v>
      </c>
      <c r="K58" s="1464">
        <v>0.52</v>
      </c>
      <c r="L58" s="1478">
        <v>0.79</v>
      </c>
      <c r="N58" s="1523">
        <f t="shared" si="38"/>
        <v>1.420065760241713E-2</v>
      </c>
      <c r="O58" s="1524">
        <f t="shared" si="38"/>
        <v>3.3080938028376083E-3</v>
      </c>
      <c r="P58" s="1524">
        <f t="shared" si="39"/>
        <v>6.598984771573603E-2</v>
      </c>
      <c r="Q58" s="1524">
        <f t="shared" si="39"/>
        <v>5.2953117818293153E-3</v>
      </c>
      <c r="R58" s="1473"/>
      <c r="S58" s="1471"/>
      <c r="T58" s="1472"/>
      <c r="U58" s="1472"/>
      <c r="V58" s="1472"/>
      <c r="X58" s="1525"/>
      <c r="Y58" s="1525"/>
      <c r="Z58" s="1525"/>
    </row>
    <row r="59" spans="1:26">
      <c r="A59" s="1460" t="s">
        <v>1198</v>
      </c>
      <c r="B59" s="1476">
        <f t="shared" si="40"/>
        <v>122.57204301075269</v>
      </c>
      <c r="C59" s="1476">
        <f t="shared" si="40"/>
        <v>123.4932735426009</v>
      </c>
      <c r="D59" s="1476">
        <f t="shared" si="12"/>
        <v>123.4932735426009</v>
      </c>
      <c r="E59" s="1476">
        <f t="shared" si="41"/>
        <v>129.82233502538071</v>
      </c>
      <c r="F59" s="1476">
        <f t="shared" si="41"/>
        <v>107.39446721311475</v>
      </c>
      <c r="G59" s="3375">
        <v>2005</v>
      </c>
      <c r="H59" s="1463">
        <v>1</v>
      </c>
      <c r="I59" s="1463">
        <v>0.43</v>
      </c>
      <c r="J59" s="1463">
        <v>0.37</v>
      </c>
      <c r="K59" s="1463">
        <v>0.37</v>
      </c>
      <c r="L59" s="1477">
        <v>0.55000000000000004</v>
      </c>
      <c r="N59" s="1526">
        <f t="shared" si="38"/>
        <v>1.2992090997956099E-2</v>
      </c>
      <c r="O59" s="1527">
        <f t="shared" si="38"/>
        <v>1.2239947070499151E-2</v>
      </c>
      <c r="P59" s="1527">
        <f t="shared" si="39"/>
        <v>4.6954314720812178E-2</v>
      </c>
      <c r="Q59" s="1527">
        <f t="shared" si="39"/>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12"/>
        <v>122</v>
      </c>
      <c r="E60" s="1510">
        <v>124</v>
      </c>
      <c r="F60" s="1511">
        <v>107</v>
      </c>
      <c r="G60" s="3373">
        <v>2004</v>
      </c>
      <c r="H60" s="1481">
        <v>4</v>
      </c>
      <c r="I60" s="1481">
        <v>0.33</v>
      </c>
      <c r="J60" s="1481">
        <v>0.5</v>
      </c>
      <c r="K60" s="1481">
        <v>0.5</v>
      </c>
      <c r="L60" s="1482">
        <v>0</v>
      </c>
      <c r="N60" s="1523">
        <f t="shared" ref="N60:O63" si="42">I60/SUM(I$60:I$63)*(B$60/B$64-1)</f>
        <v>1.3391770148526898E-2</v>
      </c>
      <c r="O60" s="1524">
        <f t="shared" si="42"/>
        <v>1.063264221158958E-2</v>
      </c>
      <c r="P60" s="1524">
        <f t="shared" ref="P60:Q63" si="43">K60/SUM(K$60:K$63)*(E$60/E$64-1)</f>
        <v>2.2244466688911134E-2</v>
      </c>
      <c r="Q60" s="1524">
        <f t="shared" si="43"/>
        <v>0</v>
      </c>
      <c r="R60" s="1473"/>
      <c r="S60" s="1474"/>
      <c r="T60" s="1475"/>
      <c r="U60" s="1475"/>
      <c r="V60" s="1475"/>
      <c r="X60" s="1525"/>
      <c r="Y60" s="1525"/>
      <c r="Z60" s="1525"/>
    </row>
    <row r="61" spans="1:26">
      <c r="A61" s="1460" t="s">
        <v>1200</v>
      </c>
      <c r="B61" s="1476">
        <f t="shared" ref="B61:C63" si="44">B62+(B$60-B$64)*I61/SUM(I$60:I$63)</f>
        <v>119.51351351351352</v>
      </c>
      <c r="C61" s="1476">
        <f t="shared" si="44"/>
        <v>120.7878787878788</v>
      </c>
      <c r="D61" s="1476">
        <f t="shared" si="12"/>
        <v>120.7878787878788</v>
      </c>
      <c r="E61" s="1476">
        <f t="shared" ref="E61:F63" si="45">E62+(E$60-E$64)*K61/SUM(K$60:K$63)</f>
        <v>121.5975975975976</v>
      </c>
      <c r="F61" s="1476">
        <f t="shared" si="45"/>
        <v>107</v>
      </c>
      <c r="G61" s="3374">
        <v>2004</v>
      </c>
      <c r="H61" s="1486">
        <v>3</v>
      </c>
      <c r="I61" s="1486">
        <v>0.56000000000000005</v>
      </c>
      <c r="J61" s="1486">
        <v>0.8</v>
      </c>
      <c r="K61" s="1486">
        <v>0.83</v>
      </c>
      <c r="L61" s="1487">
        <v>0.06</v>
      </c>
      <c r="N61" s="1523">
        <f t="shared" si="42"/>
        <v>2.2725428130833527E-2</v>
      </c>
      <c r="O61" s="1524">
        <f t="shared" si="42"/>
        <v>1.7012227538543329E-2</v>
      </c>
      <c r="P61" s="1524">
        <f t="shared" si="43"/>
        <v>3.6925814703592477E-2</v>
      </c>
      <c r="Q61" s="1524">
        <f t="shared" si="43"/>
        <v>2.8846153846153744E-2</v>
      </c>
      <c r="R61" s="1473"/>
      <c r="S61" s="1471"/>
      <c r="T61" s="1472"/>
      <c r="U61" s="1472"/>
      <c r="V61" s="1472"/>
      <c r="X61" s="1525"/>
      <c r="Y61" s="1525"/>
      <c r="Z61" s="1525"/>
    </row>
    <row r="62" spans="1:26">
      <c r="A62" s="1460" t="s">
        <v>1201</v>
      </c>
      <c r="B62" s="1476">
        <f t="shared" si="44"/>
        <v>116.99099099099099</v>
      </c>
      <c r="C62" s="1476">
        <f t="shared" si="44"/>
        <v>118.84848484848486</v>
      </c>
      <c r="D62" s="1476">
        <f t="shared" si="12"/>
        <v>118.84848484848486</v>
      </c>
      <c r="E62" s="1476">
        <f t="shared" si="45"/>
        <v>117.60960960960961</v>
      </c>
      <c r="F62" s="1476">
        <f t="shared" si="45"/>
        <v>104</v>
      </c>
      <c r="G62" s="3374">
        <v>2004</v>
      </c>
      <c r="H62" s="1464">
        <v>2</v>
      </c>
      <c r="I62" s="1464">
        <v>1</v>
      </c>
      <c r="J62" s="1464">
        <v>1.5</v>
      </c>
      <c r="K62" s="1464">
        <v>1.5</v>
      </c>
      <c r="L62" s="1478">
        <v>0</v>
      </c>
      <c r="N62" s="1523">
        <f t="shared" si="42"/>
        <v>4.0581121662202721E-2</v>
      </c>
      <c r="O62" s="1524">
        <f t="shared" si="42"/>
        <v>3.1897926634768738E-2</v>
      </c>
      <c r="P62" s="1524">
        <f t="shared" si="43"/>
        <v>6.6733400066733395E-2</v>
      </c>
      <c r="Q62" s="1524">
        <f t="shared" si="43"/>
        <v>0</v>
      </c>
      <c r="R62" s="1473"/>
      <c r="S62" s="1471"/>
      <c r="T62" s="1472"/>
      <c r="U62" s="1472"/>
      <c r="V62" s="1472"/>
      <c r="X62" s="1525"/>
      <c r="Y62" s="1525"/>
      <c r="Z62" s="1525"/>
    </row>
    <row r="63" spans="1:26" s="1516" customFormat="1" ht="13.5" thickBot="1">
      <c r="A63" s="1460" t="s">
        <v>1202</v>
      </c>
      <c r="B63" s="1513">
        <f t="shared" si="44"/>
        <v>112.48648648648648</v>
      </c>
      <c r="C63" s="1513">
        <f t="shared" si="44"/>
        <v>115.21212121212122</v>
      </c>
      <c r="D63" s="1513">
        <f t="shared" si="12"/>
        <v>115.21212121212122</v>
      </c>
      <c r="E63" s="1513">
        <f t="shared" si="45"/>
        <v>110.4024024024024</v>
      </c>
      <c r="F63" s="1513">
        <f t="shared" si="45"/>
        <v>104</v>
      </c>
      <c r="G63" s="3375">
        <v>2004</v>
      </c>
      <c r="H63" s="1514">
        <v>1</v>
      </c>
      <c r="I63" s="1514">
        <v>0.33</v>
      </c>
      <c r="J63" s="1514">
        <v>0.5</v>
      </c>
      <c r="K63" s="1514">
        <v>0.5</v>
      </c>
      <c r="L63" s="1515">
        <v>0</v>
      </c>
      <c r="N63" s="1528">
        <f t="shared" si="42"/>
        <v>1.3391770148526898E-2</v>
      </c>
      <c r="O63" s="1529">
        <f t="shared" si="42"/>
        <v>1.063264221158958E-2</v>
      </c>
      <c r="P63" s="1529">
        <f t="shared" si="43"/>
        <v>2.2244466688911134E-2</v>
      </c>
      <c r="Q63" s="1529">
        <f t="shared" si="43"/>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12"/>
        <v>114</v>
      </c>
      <c r="E64" s="1531">
        <v>108</v>
      </c>
      <c r="F64" s="1532">
        <v>104</v>
      </c>
      <c r="G64" s="3373">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46">B66+(B$64-B$68)/4</f>
        <v>109.75</v>
      </c>
      <c r="C65" s="1535">
        <f t="shared" si="46"/>
        <v>112.25</v>
      </c>
      <c r="D65" s="1535">
        <f t="shared" si="12"/>
        <v>112.25</v>
      </c>
      <c r="E65" s="1535">
        <f t="shared" ref="E65:F67" si="47">E66+(E$64-E$68)/4</f>
        <v>107.25</v>
      </c>
      <c r="F65" s="1535">
        <f t="shared" si="47"/>
        <v>103.5</v>
      </c>
      <c r="G65" s="3374">
        <v>2003</v>
      </c>
      <c r="H65" s="1486">
        <v>3</v>
      </c>
      <c r="I65" s="1533"/>
      <c r="J65" s="1533"/>
      <c r="K65" s="1533"/>
      <c r="L65" s="1533"/>
      <c r="X65" s="1525"/>
      <c r="Y65" s="1525"/>
      <c r="Z65" s="1525"/>
    </row>
    <row r="66" spans="1:26">
      <c r="A66" s="1460" t="s">
        <v>1205</v>
      </c>
      <c r="B66" s="1535">
        <f t="shared" si="46"/>
        <v>108.5</v>
      </c>
      <c r="C66" s="1535">
        <f t="shared" si="46"/>
        <v>110.5</v>
      </c>
      <c r="D66" s="1535">
        <f t="shared" si="12"/>
        <v>110.5</v>
      </c>
      <c r="E66" s="1535">
        <f t="shared" si="47"/>
        <v>106.5</v>
      </c>
      <c r="F66" s="1535">
        <f t="shared" si="47"/>
        <v>103</v>
      </c>
      <c r="G66" s="3374">
        <v>2003</v>
      </c>
      <c r="H66" s="1464">
        <v>2</v>
      </c>
      <c r="I66" s="1533"/>
      <c r="J66" s="1533"/>
      <c r="K66" s="1533"/>
      <c r="L66" s="1533"/>
      <c r="X66" s="1525"/>
      <c r="Y66" s="1525"/>
      <c r="Z66" s="1525"/>
    </row>
    <row r="67" spans="1:26" ht="13.5" thickBot="1">
      <c r="A67" s="1460" t="s">
        <v>1206</v>
      </c>
      <c r="B67" s="1535">
        <f t="shared" si="46"/>
        <v>107.25</v>
      </c>
      <c r="C67" s="1535">
        <f t="shared" si="46"/>
        <v>108.75</v>
      </c>
      <c r="D67" s="1535">
        <f t="shared" si="12"/>
        <v>108.75</v>
      </c>
      <c r="E67" s="1535">
        <f t="shared" si="47"/>
        <v>105.75</v>
      </c>
      <c r="F67" s="1535">
        <f t="shared" si="47"/>
        <v>102.5</v>
      </c>
      <c r="G67" s="3375">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12"/>
        <v>107</v>
      </c>
      <c r="E68" s="1537">
        <v>105</v>
      </c>
      <c r="F68" s="1538">
        <v>102</v>
      </c>
      <c r="G68" s="3373">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48">B70+(B$68-B$72)/4</f>
        <v>105</v>
      </c>
      <c r="C69" s="1535">
        <f t="shared" si="48"/>
        <v>106</v>
      </c>
      <c r="D69" s="1535">
        <f t="shared" si="12"/>
        <v>106</v>
      </c>
      <c r="E69" s="1535">
        <f t="shared" ref="E69:F71" si="49">E70+(E$68-E$72)/4</f>
        <v>104.5</v>
      </c>
      <c r="F69" s="1535">
        <f t="shared" si="49"/>
        <v>101.5</v>
      </c>
      <c r="G69" s="3374">
        <v>2002</v>
      </c>
      <c r="H69" s="1486">
        <v>3</v>
      </c>
      <c r="I69" s="1533"/>
      <c r="J69" s="1533"/>
      <c r="K69" s="1533"/>
      <c r="L69" s="1533"/>
      <c r="X69" s="1525"/>
      <c r="Y69" s="1525"/>
      <c r="Z69" s="1525"/>
    </row>
    <row r="70" spans="1:26">
      <c r="A70" s="1460" t="s">
        <v>1209</v>
      </c>
      <c r="B70" s="1535">
        <f t="shared" si="48"/>
        <v>104</v>
      </c>
      <c r="C70" s="1535">
        <f t="shared" si="48"/>
        <v>105</v>
      </c>
      <c r="D70" s="1535">
        <f t="shared" si="12"/>
        <v>105</v>
      </c>
      <c r="E70" s="1535">
        <f t="shared" si="49"/>
        <v>104</v>
      </c>
      <c r="F70" s="1535">
        <f t="shared" si="49"/>
        <v>101</v>
      </c>
      <c r="G70" s="3374">
        <v>2002</v>
      </c>
      <c r="H70" s="1464">
        <v>2</v>
      </c>
      <c r="I70" s="1533"/>
      <c r="J70" s="1533"/>
      <c r="K70" s="1533"/>
      <c r="L70" s="1533"/>
      <c r="X70" s="1525"/>
      <c r="Y70" s="1525"/>
      <c r="Z70" s="1525"/>
    </row>
    <row r="71" spans="1:26" s="1497" customFormat="1" ht="13.5" thickBot="1">
      <c r="A71" s="1493" t="s">
        <v>1210</v>
      </c>
      <c r="B71" s="1539">
        <f t="shared" si="48"/>
        <v>103</v>
      </c>
      <c r="C71" s="1539">
        <f t="shared" si="48"/>
        <v>104</v>
      </c>
      <c r="D71" s="1539">
        <f t="shared" si="12"/>
        <v>104</v>
      </c>
      <c r="E71" s="1539">
        <f t="shared" si="49"/>
        <v>103.5</v>
      </c>
      <c r="F71" s="1539">
        <f t="shared" si="49"/>
        <v>100.5</v>
      </c>
      <c r="G71" s="3375">
        <v>2002</v>
      </c>
      <c r="H71" s="1540">
        <v>1</v>
      </c>
      <c r="I71" s="1541"/>
      <c r="J71" s="1541"/>
      <c r="K71" s="1541"/>
      <c r="L71" s="1541"/>
      <c r="N71" s="1542"/>
      <c r="S71" s="1542"/>
      <c r="X71" s="1543"/>
      <c r="Y71" s="1543"/>
      <c r="Z71" s="1543"/>
    </row>
    <row r="72" spans="1:26" ht="13.5" thickBot="1">
      <c r="B72" s="1544">
        <v>102</v>
      </c>
      <c r="C72" s="1545">
        <v>103</v>
      </c>
      <c r="D72" s="1545">
        <f t="shared" si="12"/>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3" t="s">
        <v>2998</v>
      </c>
      <c r="C1" s="3382" t="s">
        <v>2999</v>
      </c>
      <c r="D1" s="3383"/>
      <c r="E1" s="3383"/>
      <c r="F1" s="3383"/>
      <c r="G1" s="3383"/>
      <c r="H1" s="3383"/>
      <c r="I1" s="3383"/>
      <c r="J1" s="3383"/>
      <c r="K1" s="3383"/>
      <c r="L1" s="3383"/>
      <c r="M1" s="3383"/>
      <c r="N1" s="3383"/>
      <c r="O1" s="3383"/>
      <c r="P1" s="3383"/>
      <c r="Q1" s="3383"/>
      <c r="R1" s="3383"/>
      <c r="S1" s="3384"/>
      <c r="T1" s="1203" t="s">
        <v>3000</v>
      </c>
    </row>
    <row r="2" spans="1:45" s="706" customFormat="1">
      <c r="A2" s="1204"/>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5"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4"/>
      <c r="B6" s="1115"/>
      <c r="C6" s="1121">
        <v>100</v>
      </c>
      <c r="D6" s="1118">
        <f>C6-$T5</f>
        <v>100</v>
      </c>
      <c r="E6" s="1118">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4"/>
      <c r="B8" s="1115"/>
      <c r="C8" s="1121">
        <v>100</v>
      </c>
      <c r="D8" s="1118">
        <f>C8-$T7</f>
        <v>100</v>
      </c>
      <c r="E8" s="1118">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4"/>
      <c r="B10" s="1208"/>
      <c r="C10" s="1219">
        <v>100</v>
      </c>
      <c r="D10" s="1220">
        <f>C10-$T9</f>
        <v>100</v>
      </c>
      <c r="E10" s="1220">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4"/>
      <c r="B12" s="1115"/>
      <c r="C12" s="1121">
        <v>100</v>
      </c>
      <c r="D12" s="1118">
        <f>C12-$T11</f>
        <v>100</v>
      </c>
      <c r="E12" s="1118">
        <f t="shared" ref="E12:S12" si="5">D12-$T11</f>
        <v>100</v>
      </c>
      <c r="F12" s="1118">
        <f t="shared" si="5"/>
        <v>100</v>
      </c>
      <c r="G12" s="1118">
        <f t="shared" si="5"/>
        <v>100</v>
      </c>
      <c r="H12" s="1118">
        <f t="shared" si="5"/>
        <v>100</v>
      </c>
      <c r="I12" s="1118">
        <f t="shared" si="5"/>
        <v>100</v>
      </c>
      <c r="J12" s="1118">
        <f t="shared" si="5"/>
        <v>100</v>
      </c>
      <c r="K12" s="1118">
        <f t="shared" si="5"/>
        <v>100</v>
      </c>
      <c r="L12" s="1118">
        <f t="shared" si="5"/>
        <v>100</v>
      </c>
      <c r="M12" s="1118">
        <f t="shared" si="5"/>
        <v>100</v>
      </c>
      <c r="N12" s="1118">
        <f t="shared" si="5"/>
        <v>100</v>
      </c>
      <c r="O12" s="1118">
        <f t="shared" si="5"/>
        <v>100</v>
      </c>
      <c r="P12" s="1118">
        <f t="shared" si="5"/>
        <v>100</v>
      </c>
      <c r="Q12" s="1118">
        <f t="shared" si="5"/>
        <v>100</v>
      </c>
      <c r="R12" s="1118">
        <f>Q12-$T11</f>
        <v>100</v>
      </c>
      <c r="S12" s="1118">
        <f t="shared" si="5"/>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2" t="s">
        <v>3008</v>
      </c>
      <c r="B17" s="2913"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7"/>
      <c r="B19" s="167"/>
      <c r="C19" s="167"/>
      <c r="D19" s="2914" t="s">
        <v>3010</v>
      </c>
      <c r="E19" s="1791"/>
      <c r="F19" s="1791"/>
      <c r="G19" s="1791"/>
      <c r="H19" s="1279"/>
      <c r="I19" s="167"/>
      <c r="J19" s="167"/>
      <c r="K19" s="167"/>
      <c r="L19" s="167"/>
      <c r="M19" s="167"/>
      <c r="N19" s="167"/>
      <c r="O19" s="167"/>
      <c r="P19" s="167"/>
      <c r="Q19" s="167"/>
      <c r="R19" s="786"/>
      <c r="S19" s="137"/>
    </row>
    <row r="20" spans="1:45" ht="16.5" thickBot="1">
      <c r="A20" s="714" t="s">
        <v>3011</v>
      </c>
      <c r="B20" s="337" t="e">
        <f ca="1">IF(D20="——",S22,S22-F20)</f>
        <v>#REF!</v>
      </c>
      <c r="C20" s="167"/>
      <c r="D20" s="2915" t="s">
        <v>3012</v>
      </c>
      <c r="E20" s="1792"/>
      <c r="F20" s="1203" t="e">
        <f ca="1">SUMIF(INDIRECT("'"&amp;H20&amp;"'"&amp;"!A:A"),"承租人权益价值",INDIRECT("'"&amp;H20&amp;"'"&amp;"!c:c"))</f>
        <v>#REF!</v>
      </c>
      <c r="G20" s="1203" t="s">
        <v>3013</v>
      </c>
      <c r="H20" s="2916"/>
      <c r="I20" s="167"/>
      <c r="J20" s="167"/>
      <c r="K20" s="167"/>
      <c r="L20" s="167"/>
      <c r="M20" s="167"/>
      <c r="N20" s="167"/>
      <c r="O20" s="167"/>
      <c r="P20" s="167"/>
      <c r="Q20" s="167"/>
      <c r="R20" s="786"/>
      <c r="S20" s="137"/>
    </row>
    <row r="21" spans="1:45" ht="15.75">
      <c r="A21" s="714" t="s">
        <v>3014</v>
      </c>
      <c r="B21" s="337">
        <f>R22</f>
        <v>10000</v>
      </c>
      <c r="C21" s="167"/>
      <c r="D21" s="167"/>
      <c r="E21" s="167"/>
      <c r="F21" s="167"/>
      <c r="G21" s="167"/>
      <c r="H21" s="167"/>
      <c r="I21" s="167"/>
      <c r="J21" s="167"/>
      <c r="K21" s="167"/>
      <c r="L21" s="167"/>
      <c r="M21" s="167"/>
      <c r="N21" s="167"/>
      <c r="O21" s="167"/>
      <c r="P21" s="167"/>
      <c r="Q21" s="167"/>
      <c r="R21" s="786"/>
      <c r="S21" s="137"/>
    </row>
    <row r="22" spans="1:45">
      <c r="A22" s="360" t="s">
        <v>3015</v>
      </c>
      <c r="B22" s="24">
        <f>SUM(B24:B10000)</f>
        <v>100</v>
      </c>
      <c r="C22" s="3161" t="s">
        <v>33</v>
      </c>
      <c r="D22" s="3162"/>
      <c r="E22" s="3162"/>
      <c r="F22" s="3162"/>
      <c r="G22" s="3162"/>
      <c r="H22" s="3162"/>
      <c r="I22" s="3162"/>
      <c r="J22" s="3162"/>
      <c r="K22" s="3162"/>
      <c r="L22" s="3162"/>
      <c r="M22" s="3162"/>
      <c r="N22" s="3162"/>
      <c r="O22" s="3162"/>
      <c r="P22" s="3162"/>
      <c r="Q22" s="3381"/>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1641</v>
      </c>
      <c r="B2" s="3069" t="s">
        <v>1642</v>
      </c>
      <c r="C2" s="3069" t="s">
        <v>1643</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
      <c r="A3" s="3070"/>
      <c r="B3" s="3070"/>
      <c r="C3" s="3070"/>
      <c r="D3" s="1043" t="s">
        <v>1638</v>
      </c>
      <c r="E3" s="1043" t="s">
        <v>1644</v>
      </c>
      <c r="F3" s="1043" t="s">
        <v>1638</v>
      </c>
      <c r="G3" s="1043" t="s">
        <v>1639</v>
      </c>
      <c r="H3" s="1043" t="s">
        <v>1638</v>
      </c>
      <c r="I3" s="1043" t="s">
        <v>1639</v>
      </c>
    </row>
    <row r="4" spans="1:9" ht="60">
      <c r="A4" s="1972" t="str">
        <f>项目基本情况!S2</f>
        <v>广东省广州市天河区元岗路粤隆客车厂地块1、地块2出让国有建设用地使用权及在建建筑物房地产</v>
      </c>
      <c r="B4" s="1043">
        <f>项目基本情况!C17</f>
        <v>73865.87</v>
      </c>
      <c r="C4" s="1043">
        <f>项目基本情况!C18</f>
        <v>11089.73</v>
      </c>
      <c r="D4" s="1043">
        <f ca="1">结果表!D118</f>
        <v>111053</v>
      </c>
      <c r="E4" s="1043">
        <f ca="1">结果表!E118</f>
        <v>15034</v>
      </c>
      <c r="F4" s="1043">
        <f ca="1">结果表!F118</f>
        <v>29521</v>
      </c>
      <c r="G4" s="1043">
        <f ca="1">结果表!G118</f>
        <v>3997</v>
      </c>
      <c r="H4" s="1043">
        <f ca="1">结果表!H118</f>
        <v>140574</v>
      </c>
      <c r="I4" s="1043">
        <f ca="1">结果表!I118</f>
        <v>19031</v>
      </c>
    </row>
    <row r="5" spans="1:9" ht="30" customHeight="1">
      <c r="A5" s="3070" t="s">
        <v>1640</v>
      </c>
      <c r="B5" s="3070"/>
      <c r="C5" s="3070"/>
      <c r="D5" s="3071" t="str">
        <f ca="1">结果表!D119</f>
        <v>壹拾壹亿壹仟零伍拾叁万元整</v>
      </c>
      <c r="E5" s="3071"/>
      <c r="F5" s="3071" t="str">
        <f ca="1">结果表!F119</f>
        <v>贰亿玖仟伍佰贰拾壹万元整</v>
      </c>
      <c r="G5" s="3071"/>
      <c r="H5" s="3071" t="str">
        <f ca="1">结果表!H119</f>
        <v>壹拾肆亿零伍佰柒拾肆万元整</v>
      </c>
      <c r="I5" s="3071"/>
    </row>
    <row r="6" spans="1:9" ht="15.75">
      <c r="A6" s="3072" t="str">
        <f>结果表!A120</f>
        <v>估价师知悉的法定优先受偿款</v>
      </c>
      <c r="B6" s="3072"/>
      <c r="C6" s="3072"/>
      <c r="D6" s="3072">
        <f>结果表!D120</f>
        <v>0</v>
      </c>
      <c r="E6" s="3072"/>
      <c r="F6" s="3072"/>
      <c r="G6" s="3072"/>
      <c r="H6" s="3072"/>
      <c r="I6" s="3072"/>
    </row>
    <row r="7" spans="1:9" ht="15">
      <c r="A7" s="3070" t="s">
        <v>1640</v>
      </c>
      <c r="B7" s="3070"/>
      <c r="C7" s="3070"/>
      <c r="D7" s="3073" t="str">
        <f>结果表!D121</f>
        <v>零元整</v>
      </c>
      <c r="E7" s="3074"/>
      <c r="F7" s="3074"/>
      <c r="G7" s="3074"/>
      <c r="H7" s="3074"/>
      <c r="I7" s="3075"/>
    </row>
    <row r="8" spans="1:9" ht="15.75">
      <c r="A8" s="3072" t="str">
        <f>结果表!A122</f>
        <v>房地产抵押价值</v>
      </c>
      <c r="B8" s="3072"/>
      <c r="C8" s="3072"/>
      <c r="D8" s="3072">
        <f ca="1">结果表!D122</f>
        <v>140574</v>
      </c>
      <c r="E8" s="3072"/>
      <c r="F8" s="3072"/>
      <c r="G8" s="3072"/>
      <c r="H8" s="3072"/>
      <c r="I8" s="3072"/>
    </row>
    <row r="9" spans="1:9" ht="15">
      <c r="A9" s="3070" t="s">
        <v>1640</v>
      </c>
      <c r="B9" s="3070"/>
      <c r="C9" s="3070"/>
      <c r="D9" s="3071" t="str">
        <f ca="1">结果表!D123</f>
        <v>壹拾肆亿零伍佰柒拾肆万元整</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1640</v>
      </c>
      <c r="B11" s="3070"/>
      <c r="C11" s="3070"/>
      <c r="D11" s="3071" t="e">
        <f>结果表!D125</f>
        <v>#VALUE!</v>
      </c>
      <c r="E11" s="3071"/>
      <c r="F11" s="3071"/>
      <c r="G11" s="3071"/>
      <c r="H11" s="3071"/>
      <c r="I11" s="3071"/>
    </row>
    <row r="12" spans="1:9" ht="15.75">
      <c r="A12" s="3072" t="str">
        <f>结果表!A126</f>
        <v/>
      </c>
      <c r="B12" s="3072"/>
      <c r="C12" s="3072"/>
      <c r="D12" s="3072" t="str">
        <f>结果表!D126</f>
        <v>——</v>
      </c>
      <c r="E12" s="3072"/>
      <c r="F12" s="3072"/>
      <c r="G12" s="3072"/>
      <c r="H12" s="3072"/>
      <c r="I12" s="3072"/>
    </row>
    <row r="13" spans="1:9" ht="15.75" thickBot="1">
      <c r="A13" s="3076" t="s">
        <v>1640</v>
      </c>
      <c r="B13" s="3076"/>
      <c r="C13" s="3076"/>
      <c r="D13" s="3077" t="e">
        <f>结果表!D127</f>
        <v>#VALUE!</v>
      </c>
      <c r="E13" s="3077"/>
      <c r="F13" s="3077"/>
      <c r="G13" s="3077"/>
      <c r="H13" s="3077"/>
      <c r="I13" s="3077"/>
    </row>
    <row r="14" spans="1:9" ht="15" thickTop="1">
      <c r="A14" s="3078" t="s">
        <v>1645</v>
      </c>
      <c r="B14" s="3078"/>
      <c r="C14" s="3078"/>
      <c r="D14" s="3078"/>
      <c r="E14" s="3078"/>
      <c r="F14" s="3078"/>
      <c r="G14" s="3078"/>
      <c r="H14" s="3078"/>
      <c r="I14" s="3078"/>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52822</v>
      </c>
      <c r="C2" s="2" t="s">
        <v>133</v>
      </c>
      <c r="D2" s="242"/>
      <c r="E2" s="242"/>
      <c r="F2" s="242"/>
      <c r="G2" s="242"/>
    </row>
    <row r="3" spans="1:7" s="243" customFormat="1" ht="18" customHeight="1" thickBot="1">
      <c r="A3" s="246" t="s">
        <v>85</v>
      </c>
      <c r="B3" s="247">
        <f ca="1">ROUND(B2*10000/'数据-汇总表'!E3,0)</f>
        <v>7151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83</v>
      </c>
      <c r="F9" s="264"/>
      <c r="G9" s="269"/>
    </row>
    <row r="10" spans="1:7" s="257" customFormat="1" ht="13.5" customHeight="1">
      <c r="A10" s="949" t="s">
        <v>801</v>
      </c>
      <c r="B10" s="267" t="s">
        <v>94</v>
      </c>
      <c r="C10" s="268">
        <f>ROUND(D10*E10/10000,0)</f>
        <v>613</v>
      </c>
      <c r="D10" s="1031">
        <f>'数据-汇总表'!E6</f>
        <v>73865.87</v>
      </c>
      <c r="E10" s="268">
        <f>'数据-取费表'!B28</f>
        <v>83</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1477</v>
      </c>
      <c r="D19" s="1035">
        <f>'数据-汇总表'!E3</f>
        <v>73865.87</v>
      </c>
      <c r="E19" s="254">
        <f>'数据-取费表'!B31</f>
        <v>200</v>
      </c>
      <c r="F19" s="274"/>
      <c r="G19" s="1" t="s">
        <v>1074</v>
      </c>
    </row>
    <row r="20" spans="1:7" s="257" customFormat="1" ht="13.5" customHeight="1">
      <c r="A20" s="947" t="s">
        <v>1057</v>
      </c>
      <c r="B20" s="253" t="s">
        <v>104</v>
      </c>
      <c r="C20" s="275">
        <f>ROUND((C5+C19)*F20,0)</f>
        <v>442</v>
      </c>
      <c r="D20" s="275"/>
      <c r="E20" s="275"/>
      <c r="F20" s="276">
        <f>'数据-取费表'!B37</f>
        <v>0.02</v>
      </c>
      <c r="G20" s="1288" t="s">
        <v>1068</v>
      </c>
    </row>
    <row r="21" spans="1:7" s="257" customFormat="1" ht="13.5" customHeight="1">
      <c r="A21" s="947" t="s">
        <v>1059</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1944</v>
      </c>
      <c r="D22" s="278">
        <f ca="1">C26</f>
        <v>1.2999999999999999E-3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1061</v>
      </c>
      <c r="C23" s="1354">
        <f ca="1">ROUND(IF('数据-取费表'!B22&lt;=1,C5*F22*'数据-取费表'!B23,C5*(POWER((1+F22),'数据-取费表'!B23)-1)),0)</f>
        <v>1796</v>
      </c>
      <c r="D23" s="281"/>
      <c r="E23" s="281"/>
      <c r="F23" s="282"/>
      <c r="G23" s="283" t="s">
        <v>108</v>
      </c>
    </row>
    <row r="24" spans="1:7" s="257" customFormat="1" ht="13.5" customHeight="1">
      <c r="A24" s="950" t="s">
        <v>792</v>
      </c>
      <c r="B24" s="258" t="s">
        <v>1056</v>
      </c>
      <c r="C24" s="1354">
        <f ca="1">ROUND(IF('数据-取费表'!B22&lt;=1,C19*F22*('数据-取费表'!B19/2+'数据-取费表'!B21),C19*(POWER((1+F22),('数据-取费表'!B19/2+'数据-取费表'!B21))-1)),0)</f>
        <v>129</v>
      </c>
      <c r="D24" s="281"/>
      <c r="E24" s="281"/>
      <c r="F24" s="282"/>
      <c r="G24" s="283" t="s">
        <v>109</v>
      </c>
    </row>
    <row r="25" spans="1:7" s="257" customFormat="1" ht="24">
      <c r="A25" s="950" t="s">
        <v>793</v>
      </c>
      <c r="B25" s="258" t="s">
        <v>1058</v>
      </c>
      <c r="C25" s="1354">
        <f ca="1">ROUND(IF('数据-取费表'!B22&lt;=1,C20*F22*'数据-取费表'!B23/2,C20*(POWER((1+F22),'数据-取费表'!B23/2)-1)),0)</f>
        <v>19</v>
      </c>
      <c r="D25" s="281"/>
      <c r="E25" s="284"/>
      <c r="F25" s="282"/>
      <c r="G25" s="285" t="s">
        <v>110</v>
      </c>
    </row>
    <row r="26" spans="1:7" s="257" customFormat="1">
      <c r="A26" s="950" t="s">
        <v>795</v>
      </c>
      <c r="B26" s="258" t="s">
        <v>1060</v>
      </c>
      <c r="C26" s="281">
        <f ca="1">ROUND(IF('数据-取费表'!B22&lt;=1,F21*F22*'数据-取费表'!B23/2,F21*(POWER((1+F22),'数据-取费表'!B23/2)-1)),4)</f>
        <v>1.2999999999999999E-3</v>
      </c>
      <c r="D26" s="281"/>
      <c r="E26" s="284"/>
      <c r="F26" s="282"/>
      <c r="G26" s="286"/>
    </row>
    <row r="27" spans="1:7" s="257" customFormat="1" ht="24.75">
      <c r="A27" s="947" t="s">
        <v>787</v>
      </c>
      <c r="B27" s="287" t="s">
        <v>112</v>
      </c>
      <c r="C27" s="288">
        <f>C28</f>
        <v>2230</v>
      </c>
      <c r="D27" s="278">
        <f>C29</f>
        <v>3.0000000000000001E-3</v>
      </c>
      <c r="E27" s="279" t="s">
        <v>126</v>
      </c>
      <c r="F27" s="289">
        <f>'数据-取费表'!Q16</f>
        <v>0.11</v>
      </c>
      <c r="G27" s="290" t="s">
        <v>1069</v>
      </c>
    </row>
    <row r="28" spans="1:7" s="257" customFormat="1" ht="13.5" customHeight="1">
      <c r="A28" s="950" t="s">
        <v>794</v>
      </c>
      <c r="B28" s="291" t="s">
        <v>1062</v>
      </c>
      <c r="C28" s="292">
        <f>ROUND((C5+C19+C20)*F27*'数据-取费表'!B21/'数据-取费表'!B20,0)</f>
        <v>2230</v>
      </c>
      <c r="D28" s="278"/>
      <c r="E28" s="279"/>
      <c r="F28" s="289"/>
      <c r="G28" s="290"/>
    </row>
    <row r="29" spans="1:7" s="257" customFormat="1" ht="13.5" customHeight="1">
      <c r="A29" s="950" t="s">
        <v>792</v>
      </c>
      <c r="B29" s="291" t="s">
        <v>1063</v>
      </c>
      <c r="C29" s="281">
        <f>ROUND(C21*F27*'数据-取费表'!B21/'数据-取费表'!B20,4)</f>
        <v>3.0000000000000001E-3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29268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18273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16458</v>
      </c>
      <c r="D34" s="260"/>
      <c r="E34" s="263"/>
      <c r="F34" s="300">
        <f>IF('数据-取费表'!B24=0,1,'数据-取费表'!N16)</f>
        <v>0.72699999999999998</v>
      </c>
      <c r="G34" s="262" t="s">
        <v>116</v>
      </c>
    </row>
    <row r="35" spans="1:7" ht="13.5" customHeight="1">
      <c r="A35" s="950" t="s">
        <v>796</v>
      </c>
      <c r="B35" s="258" t="s">
        <v>60</v>
      </c>
      <c r="C35" s="263">
        <f>ROUND(C34*F35,0)</f>
        <v>494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1074</v>
      </c>
      <c r="D37" s="260">
        <f>'数据-汇总表'!E3</f>
        <v>73865.87</v>
      </c>
      <c r="E37" s="292">
        <f>'数据-取费表'!B35</f>
        <v>200</v>
      </c>
      <c r="F37" s="302"/>
      <c r="G37" s="304" t="s">
        <v>119</v>
      </c>
    </row>
    <row r="38" spans="1:7" ht="13.5" customHeight="1">
      <c r="A38" s="950" t="s">
        <v>799</v>
      </c>
      <c r="B38" s="258" t="s">
        <v>63</v>
      </c>
      <c r="C38" s="263">
        <f>ROUND(C34*F38,0)</f>
        <v>247</v>
      </c>
      <c r="D38" s="263"/>
      <c r="E38" s="263"/>
      <c r="F38" s="302">
        <f>'数据-取费表'!B36</f>
        <v>1.4999999999999999E-2</v>
      </c>
      <c r="G38" s="262" t="s">
        <v>117</v>
      </c>
    </row>
    <row r="39" spans="1:7" s="257" customFormat="1" ht="13.5" customHeight="1">
      <c r="A39" s="947" t="s">
        <v>783</v>
      </c>
      <c r="B39" s="253" t="s">
        <v>104</v>
      </c>
      <c r="C39" s="275">
        <f>ROUND(C33*F20,0)</f>
        <v>365</v>
      </c>
      <c r="D39" s="275"/>
      <c r="E39" s="275"/>
      <c r="F39" s="276"/>
      <c r="G39" s="1288" t="s">
        <v>1071</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795</v>
      </c>
      <c r="D41" s="278">
        <f ca="1">C44</f>
        <v>1.2999999999999999E-3</v>
      </c>
      <c r="E41" s="279" t="s">
        <v>129</v>
      </c>
      <c r="F41" s="280"/>
      <c r="G41" s="1288" t="str">
        <f>IF('数据-取费表'!B22&lt;=1,"单利计息","复利计息")</f>
        <v>复利计息</v>
      </c>
    </row>
    <row r="42" spans="1:7" ht="13.5" customHeight="1">
      <c r="A42" s="950" t="s">
        <v>794</v>
      </c>
      <c r="B42" s="258" t="s">
        <v>1061</v>
      </c>
      <c r="C42" s="281">
        <f ca="1">ROUND(IF('数据-取费表'!B22&lt;=1,C33*F22*'数据-取费表'!B21/2,C33*(POWER((1+F22),'数据-取费表'!B21/2)-1)),0)</f>
        <v>779</v>
      </c>
      <c r="D42" s="281"/>
      <c r="E42" s="281"/>
      <c r="F42" s="282"/>
      <c r="G42" s="3246" t="s">
        <v>121</v>
      </c>
    </row>
    <row r="43" spans="1:7" ht="13.5" customHeight="1">
      <c r="A43" s="950" t="s">
        <v>792</v>
      </c>
      <c r="B43" s="258" t="s">
        <v>1064</v>
      </c>
      <c r="C43" s="281">
        <f ca="1">ROUND(IF('数据-取费表'!B22&lt;=1,C39*F22*'数据-取费表'!B21/2,C39*(POWER((1+F22),'数据-取费表'!B21/2)-1)),0)</f>
        <v>16</v>
      </c>
      <c r="D43" s="281"/>
      <c r="E43" s="281"/>
      <c r="F43" s="282"/>
      <c r="G43" s="3247"/>
    </row>
    <row r="44" spans="1:7" ht="13.5" customHeight="1">
      <c r="A44" s="950" t="s">
        <v>793</v>
      </c>
      <c r="B44" s="258" t="s">
        <v>1066</v>
      </c>
      <c r="C44" s="281">
        <f ca="1">ROUND(IF('数据-取费表'!B22&lt;=1,C40*F22*'数据-取费表'!B21/2,C40*(POWER((1+F22),'数据-取费表'!B21/2)-1)),4)</f>
        <v>1.2999999999999999E-3</v>
      </c>
      <c r="D44" s="281"/>
      <c r="E44" s="281"/>
      <c r="F44" s="282"/>
      <c r="G44" s="3248"/>
    </row>
    <row r="45" spans="1:7" s="257" customFormat="1" ht="13.5" customHeight="1">
      <c r="A45" s="947" t="s">
        <v>786</v>
      </c>
      <c r="B45" s="287" t="s">
        <v>112</v>
      </c>
      <c r="C45" s="288">
        <f>C46</f>
        <v>2050</v>
      </c>
      <c r="D45" s="278">
        <f>C47</f>
        <v>3.3E-3</v>
      </c>
      <c r="E45" s="279" t="s">
        <v>129</v>
      </c>
      <c r="F45" s="289"/>
      <c r="G45" s="290" t="s">
        <v>1072</v>
      </c>
    </row>
    <row r="46" spans="1:7" s="257" customFormat="1" ht="13.5" customHeight="1">
      <c r="A46" s="950" t="s">
        <v>794</v>
      </c>
      <c r="B46" s="291" t="s">
        <v>1065</v>
      </c>
      <c r="C46" s="292">
        <f>ROUND((C33+C39)*F27,0)</f>
        <v>2050</v>
      </c>
      <c r="D46" s="306"/>
      <c r="E46" s="279"/>
      <c r="F46" s="289"/>
      <c r="G46" s="290"/>
    </row>
    <row r="47" spans="1:7" s="257" customFormat="1" ht="13.5" customHeight="1">
      <c r="A47" s="950" t="s">
        <v>792</v>
      </c>
      <c r="B47" s="291" t="s">
        <v>1067</v>
      </c>
      <c r="C47" s="281">
        <f>ROUND(C40*F27,4)</f>
        <v>3.3E-3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23554</v>
      </c>
      <c r="D49" s="275"/>
      <c r="E49" s="275"/>
      <c r="F49" s="307"/>
      <c r="G49" s="277" t="s">
        <v>1073</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23554</v>
      </c>
      <c r="D51" s="275"/>
      <c r="E51" s="275"/>
      <c r="F51" s="307"/>
      <c r="G51" s="277" t="s">
        <v>64</v>
      </c>
    </row>
    <row r="52" spans="1:7" s="251" customFormat="1" ht="16.5" thickBot="1">
      <c r="A52" s="308" t="s">
        <v>65</v>
      </c>
      <c r="B52" s="309"/>
      <c r="C52" s="310">
        <f ca="1">C31+C51</f>
        <v>52822</v>
      </c>
      <c r="D52" s="309"/>
      <c r="E52" s="309"/>
      <c r="F52" s="309"/>
      <c r="G52" s="311"/>
    </row>
    <row r="55" spans="1:7" ht="15">
      <c r="B55" s="313" t="s">
        <v>66</v>
      </c>
      <c r="C55" s="314"/>
    </row>
    <row r="56" spans="1:7">
      <c r="B56" s="316" t="s">
        <v>67</v>
      </c>
      <c r="C56" s="317">
        <f ca="1">ROUND(C51/C52,3)</f>
        <v>0.44600000000000001</v>
      </c>
    </row>
    <row r="57" spans="1:7">
      <c r="B57" s="316" t="s">
        <v>68</v>
      </c>
      <c r="C57" s="318">
        <f ca="1">1-C56</f>
        <v>0.55400000000000005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85" t="s">
        <v>156</v>
      </c>
      <c r="B1" s="3385"/>
      <c r="C1" s="3385"/>
      <c r="D1" s="3385"/>
      <c r="E1" s="3385"/>
      <c r="F1" s="338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6" t="s">
        <v>169</v>
      </c>
      <c r="B2" s="3386"/>
      <c r="C2" s="3386"/>
      <c r="D2" s="3386"/>
      <c r="E2" s="3386"/>
      <c r="F2" s="338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5" t="s">
        <v>871</v>
      </c>
      <c r="B1" s="338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43321</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79" t="s">
        <v>1662</v>
      </c>
      <c r="B1" s="3079"/>
      <c r="C1" s="3079"/>
      <c r="D1" s="3079"/>
    </row>
    <row r="2" spans="1:4" ht="18">
      <c r="A2" s="3080" t="s">
        <v>1646</v>
      </c>
      <c r="B2" s="3080"/>
      <c r="C2" s="3080"/>
      <c r="D2" s="3080"/>
    </row>
    <row r="3" spans="1:4" ht="18.75">
      <c r="A3" s="1976" t="s">
        <v>1647</v>
      </c>
      <c r="B3" s="1976" t="s">
        <v>1648</v>
      </c>
      <c r="C3" s="1976" t="s">
        <v>1649</v>
      </c>
      <c r="D3" s="1976" t="s">
        <v>1650</v>
      </c>
    </row>
    <row r="4" spans="1:4" ht="56.25" customHeight="1">
      <c r="A4" s="1977" t="str">
        <f>项目基本情况!B4</f>
        <v>王鹏</v>
      </c>
      <c r="B4" s="1978">
        <f ca="1">项目基本情况!C4</f>
        <v>1120050019</v>
      </c>
      <c r="C4" s="1979"/>
      <c r="D4" s="1980" t="s">
        <v>1651</v>
      </c>
    </row>
    <row r="5" spans="1:4" ht="56.25" customHeight="1">
      <c r="A5" s="1977" t="str">
        <f>项目基本情况!D4</f>
        <v>郑燚</v>
      </c>
      <c r="B5" s="1978">
        <f ca="1">项目基本情况!E4</f>
        <v>1120070131</v>
      </c>
      <c r="C5" s="1981"/>
      <c r="D5" s="1980" t="s">
        <v>1651</v>
      </c>
    </row>
    <row r="6" spans="1:4" ht="18">
      <c r="A6" s="3080" t="s">
        <v>1652</v>
      </c>
      <c r="B6" s="3080"/>
      <c r="C6" s="3080"/>
      <c r="D6" s="3080"/>
    </row>
    <row r="7" spans="1:4" ht="18.75">
      <c r="A7" s="1976" t="s">
        <v>1647</v>
      </c>
      <c r="B7" s="1978" t="s">
        <v>1653</v>
      </c>
      <c r="C7" s="1976" t="s">
        <v>1649</v>
      </c>
      <c r="D7" s="1976" t="s">
        <v>1650</v>
      </c>
    </row>
    <row r="8" spans="1:4" ht="56.25" customHeight="1">
      <c r="A8" s="1982" t="s">
        <v>869</v>
      </c>
      <c r="B8" s="1982" t="s">
        <v>1</v>
      </c>
      <c r="C8" s="1979"/>
      <c r="D8" s="1980" t="s">
        <v>1651</v>
      </c>
    </row>
    <row r="9" spans="1:4">
      <c r="A9" s="726"/>
      <c r="B9" s="726"/>
      <c r="C9" s="726"/>
      <c r="D9" s="726"/>
    </row>
    <row r="10" spans="1:4" ht="18.75">
      <c r="A10" s="1983" t="s">
        <v>1654</v>
      </c>
      <c r="B10" s="726"/>
      <c r="C10" s="726"/>
      <c r="D10" s="726"/>
    </row>
    <row r="11" spans="1:4" ht="30" customHeight="1">
      <c r="A11" s="3081" t="s">
        <v>1655</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v>
      </c>
      <c r="B15" s="3082"/>
      <c r="C15" s="3082"/>
      <c r="D15" s="3082"/>
    </row>
    <row r="16" spans="1:4" ht="30" customHeight="1">
      <c r="A16" s="3085" t="s">
        <v>1656</v>
      </c>
      <c r="B16" s="3085"/>
      <c r="C16" s="3085"/>
      <c r="D16" s="3085"/>
    </row>
    <row r="17" spans="1:4" ht="144" customHeight="1">
      <c r="A17" s="3085" t="s">
        <v>1657</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1658</v>
      </c>
      <c r="B22" s="3087"/>
      <c r="C22" s="3087"/>
      <c r="D22" s="3087"/>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93" t="s">
        <v>1669</v>
      </c>
      <c r="B15" s="3088" t="s">
        <v>136</v>
      </c>
      <c r="C15" s="3089"/>
    </row>
    <row r="16" spans="1:7" ht="13.5">
      <c r="A16" s="3094"/>
      <c r="B16" s="3088" t="s">
        <v>69</v>
      </c>
      <c r="C16" s="3089"/>
    </row>
    <row r="17" spans="1:3" ht="13.5">
      <c r="A17" s="3094"/>
      <c r="B17" s="3091" t="s">
        <v>1670</v>
      </c>
      <c r="C17" s="1999" t="s">
        <v>1669</v>
      </c>
    </row>
    <row r="18" spans="1:3" ht="13.5">
      <c r="A18" s="3094"/>
      <c r="B18" s="3091"/>
      <c r="C18" s="1999" t="s">
        <v>1671</v>
      </c>
    </row>
    <row r="19" spans="1:3" ht="13.5">
      <c r="A19" s="3094"/>
      <c r="B19" s="3091"/>
      <c r="C19" s="1999" t="s">
        <v>1672</v>
      </c>
    </row>
    <row r="20" spans="1:3" ht="13.5">
      <c r="A20" s="3095"/>
      <c r="B20" s="3090" t="s">
        <v>1673</v>
      </c>
      <c r="C20" s="3089"/>
    </row>
    <row r="21" spans="1:3" ht="13.5">
      <c r="A21" s="2000" t="s">
        <v>1674</v>
      </c>
      <c r="B21" s="2001"/>
      <c r="C21" s="2002"/>
    </row>
    <row r="22" spans="1:3" ht="13.5">
      <c r="A22" s="3092" t="s">
        <v>1675</v>
      </c>
      <c r="B22" s="3090" t="s">
        <v>1676</v>
      </c>
      <c r="C22" s="3089"/>
    </row>
    <row r="23" spans="1:3" ht="13.5">
      <c r="A23" s="3092"/>
      <c r="B23" s="3090" t="s">
        <v>1677</v>
      </c>
      <c r="C23" s="3089"/>
    </row>
    <row r="24" spans="1:3" ht="13.5">
      <c r="A24" s="3092"/>
      <c r="B24" s="3090" t="s">
        <v>1678</v>
      </c>
      <c r="C24" s="3089"/>
    </row>
    <row r="25" spans="1:3" ht="13.5">
      <c r="A25" s="3092"/>
      <c r="B25" s="3091" t="s">
        <v>1679</v>
      </c>
      <c r="C25" s="1999" t="s">
        <v>1680</v>
      </c>
    </row>
    <row r="26" spans="1:3" ht="13.5">
      <c r="A26" s="3092"/>
      <c r="B26" s="3091"/>
      <c r="C26" s="1999" t="s">
        <v>1681</v>
      </c>
    </row>
    <row r="27" spans="1:3" ht="13.5">
      <c r="A27" s="3092"/>
      <c r="B27" s="3091"/>
      <c r="C27" s="1999" t="s">
        <v>1682</v>
      </c>
    </row>
    <row r="28" spans="1:3" ht="13.5">
      <c r="A28" s="3092"/>
      <c r="B28" s="3091"/>
      <c r="C28" s="1999" t="s">
        <v>1683</v>
      </c>
    </row>
    <row r="29" spans="1:3" ht="13.5">
      <c r="A29" s="3092"/>
      <c r="B29" s="3091"/>
      <c r="C29" s="1999" t="s">
        <v>1684</v>
      </c>
    </row>
    <row r="30" spans="1:3" ht="13.5">
      <c r="A30" s="3092"/>
      <c r="B30" s="3091"/>
      <c r="C30" s="1999" t="s">
        <v>1685</v>
      </c>
    </row>
    <row r="31" spans="1:3" ht="13.5">
      <c r="A31" s="3092"/>
      <c r="B31" s="3091"/>
      <c r="C31" s="1999" t="s">
        <v>1686</v>
      </c>
    </row>
    <row r="32" spans="1:3" ht="13.5">
      <c r="A32" s="3092"/>
      <c r="B32" s="3091"/>
      <c r="C32" s="1999" t="s">
        <v>1687</v>
      </c>
    </row>
    <row r="33" spans="1:3" ht="13.5">
      <c r="A33" s="3092"/>
      <c r="B33" s="3091"/>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43332</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3037</v>
      </c>
      <c r="B12" s="1021">
        <v>1120110054</v>
      </c>
      <c r="C12" s="2936">
        <v>43937</v>
      </c>
      <c r="D12" s="1701" t="s">
        <v>3037</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936">
        <v>44339</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96" t="s">
        <v>846</v>
      </c>
      <c r="B25" s="3096"/>
      <c r="C25" s="3096"/>
      <c r="D25" s="3096"/>
      <c r="E25" s="3096"/>
      <c r="F25" s="3096"/>
      <c r="G25" s="3096"/>
    </row>
    <row r="26" spans="1:7" s="1024" customFormat="1" ht="24" customHeight="1">
      <c r="A26" s="3097" t="s">
        <v>847</v>
      </c>
      <c r="B26" s="3097"/>
      <c r="C26" s="3098"/>
      <c r="D26" s="3099" t="s">
        <v>848</v>
      </c>
      <c r="E26" s="3097"/>
      <c r="F26" s="3097"/>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149</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精装公寓</vt:lpstr>
      <vt:lpstr>B2办公</vt:lpstr>
      <vt:lpstr>各层面积表</vt:lpstr>
      <vt:lpstr>Sheet6</vt:lpstr>
      <vt:lpstr>自编B-1栋</vt:lpstr>
      <vt:lpstr>自编B-2栋</vt:lpstr>
      <vt:lpstr>自编B-3栋</vt:lpstr>
      <vt:lpstr>数据-取费表</vt:lpstr>
      <vt:lpstr>估价对象房地状况</vt:lpstr>
      <vt:lpstr>系统读取表</vt:lpstr>
      <vt:lpstr>结果表</vt:lpstr>
      <vt:lpstr>成本法</vt:lpstr>
      <vt:lpstr>成本法 (元)</vt:lpstr>
      <vt:lpstr>土地比较法-住宅、综合</vt:lpstr>
      <vt:lpstr>假设开发法</vt:lpstr>
      <vt:lpstr>精装公寓比较法</vt:lpstr>
      <vt:lpstr>简装公寓比较法</vt:lpstr>
      <vt:lpstr>商业收益法</vt:lpstr>
      <vt:lpstr>收益法 (元)</vt:lpstr>
      <vt:lpstr>收益法（汇总）</vt:lpstr>
      <vt:lpstr>酒店收入计算</vt:lpstr>
      <vt:lpstr>办公收益法</vt:lpstr>
      <vt:lpstr>地下车库收益法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办公收益法!Print_Area</vt:lpstr>
      <vt:lpstr>地下车库收益法!Print_Area</vt:lpstr>
      <vt:lpstr>估价师及机构信息!Print_Area</vt:lpstr>
      <vt:lpstr>商业收益法!Print_Area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精装公寓比较法!住宅朝向</vt:lpstr>
      <vt:lpstr>住宅朝向</vt:lpstr>
      <vt:lpstr>精装公寓比较法!住宅房型</vt:lpstr>
      <vt:lpstr>住宅房型</vt:lpstr>
      <vt:lpstr>精装公寓比较法!住宅公共部分装修</vt:lpstr>
      <vt:lpstr>住宅公共部分装修</vt:lpstr>
      <vt:lpstr>精装公寓比较法!住宅基础设施水平</vt:lpstr>
      <vt:lpstr>住宅基础设施水平</vt:lpstr>
      <vt:lpstr>精装公寓比较法!住宅建筑结构</vt:lpstr>
      <vt:lpstr>住宅建筑结构</vt:lpstr>
      <vt:lpstr>精装公寓比较法!住宅建筑类型</vt:lpstr>
      <vt:lpstr>住宅建筑类型</vt:lpstr>
      <vt:lpstr>精装公寓比较法!住宅建筑品质</vt:lpstr>
      <vt:lpstr>住宅建筑品质</vt:lpstr>
      <vt:lpstr>精装公寓比较法!住宅交易情况</vt:lpstr>
      <vt:lpstr>住宅交易情况</vt:lpstr>
      <vt:lpstr>精装公寓比较法!住宅楼层</vt:lpstr>
      <vt:lpstr>住宅楼层</vt:lpstr>
      <vt:lpstr>精装公寓比较法!住宅内部装修</vt:lpstr>
      <vt:lpstr>住宅内部装修</vt:lpstr>
      <vt:lpstr>精装公寓比较法!住宅物业管理</vt:lpstr>
      <vt:lpstr>住宅物业管理</vt:lpstr>
      <vt:lpstr>精装公寓比较法!住宅用途</vt:lpstr>
      <vt:lpstr>住宅用途</vt:lpstr>
      <vt:lpstr>精装公寓比较法!住宅主力户型面积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2018-08-20T07:41:45Z</dcterms:modified>
</cp:coreProperties>
</file>