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66325 15-1+5-1\2025-1-0786北京市昌平区昌平镇昌盛园一区14号楼5单元5层502\"/>
    </mc:Choice>
  </mc:AlternateContent>
  <bookViews>
    <workbookView xWindow="14076" yWindow="96" windowWidth="14652" windowHeight="13176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H7" i="39"/>
  <c r="AB7" i="39" s="1"/>
  <c r="T47" i="39" s="1"/>
  <c r="G47" i="39" s="1"/>
  <c r="G51" i="39" s="1"/>
  <c r="H51" i="39" s="1"/>
  <c r="B7" i="64"/>
  <c r="E14" i="64" s="1"/>
  <c r="B5" i="64"/>
  <c r="C25" i="64" s="1"/>
  <c r="B10" i="64"/>
  <c r="D28" i="64" s="1"/>
  <c r="B9" i="64"/>
  <c r="D29" i="64" s="1"/>
  <c r="D14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43" i="63"/>
  <c r="D4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J64" i="63"/>
  <c r="I64" i="63" s="1"/>
  <c r="D75" i="63"/>
  <c r="D73" i="63"/>
  <c r="D71" i="63"/>
  <c r="D53" i="63"/>
  <c r="D51" i="63"/>
  <c r="I2" i="43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H9" i="44"/>
  <c r="H7" i="44"/>
  <c r="J17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N6" i="43"/>
  <c r="M3" i="43"/>
  <c r="M10" i="43"/>
  <c r="M8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M12" i="43"/>
  <c r="N11" i="43"/>
  <c r="M5" i="43"/>
  <c r="H14" i="44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H12" i="44"/>
  <c r="F114" i="43"/>
  <c r="H5" i="44"/>
  <c r="M1" i="43"/>
  <c r="A12" i="43"/>
  <c r="F59" i="43"/>
  <c r="H62" i="43" s="1"/>
  <c r="F19" i="43"/>
  <c r="F17" i="59"/>
  <c r="F12" i="59" s="1"/>
  <c r="C10" i="63"/>
  <c r="H16" i="63"/>
  <c r="I3" i="63"/>
  <c r="H7" i="65"/>
  <c r="H6" i="65"/>
  <c r="H5" i="65"/>
  <c r="G5" i="65"/>
  <c r="G4" i="65"/>
  <c r="H8" i="65"/>
  <c r="G6" i="65"/>
  <c r="G8" i="65"/>
  <c r="G7" i="65"/>
  <c r="H4" i="65"/>
  <c r="F36" i="43" l="1"/>
  <c r="F66" i="63"/>
  <c r="G66" i="63" s="1"/>
  <c r="D66" i="63" s="1"/>
  <c r="J45" i="63"/>
  <c r="I45" i="63" s="1"/>
  <c r="J51" i="63"/>
  <c r="I51" i="63" s="1"/>
  <c r="J74" i="63"/>
  <c r="I74" i="63" s="1"/>
  <c r="F46" i="63"/>
  <c r="G46" i="63" s="1"/>
  <c r="F70" i="63"/>
  <c r="G70" i="63" s="1"/>
  <c r="F67" i="63"/>
  <c r="G67" i="63" s="1"/>
  <c r="D67" i="63" s="1"/>
  <c r="F51" i="63"/>
  <c r="G51" i="63" s="1"/>
  <c r="E20" i="64"/>
  <c r="J7" i="39"/>
  <c r="AC7" i="39" s="1"/>
  <c r="F7" i="39"/>
  <c r="C5" i="68"/>
  <c r="D20" i="63"/>
  <c r="E17" i="64"/>
  <c r="D17" i="64"/>
  <c r="D20" i="64"/>
  <c r="D72" i="43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D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F33" i="59"/>
  <c r="B17" i="9" s="1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D64" i="63" s="1"/>
  <c r="F60" i="63"/>
  <c r="G60" i="63" s="1"/>
  <c r="D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4" i="65"/>
  <c r="D8" i="65"/>
  <c r="E8" i="65"/>
  <c r="E5" i="65"/>
  <c r="E6" i="65"/>
  <c r="D5" i="65"/>
  <c r="D6" i="65"/>
  <c r="D4" i="65"/>
  <c r="E7" i="65"/>
  <c r="D7" i="65"/>
  <c r="E60" i="63" l="1"/>
  <c r="B58" i="63" s="1"/>
  <c r="C15" i="63" s="1"/>
  <c r="S7" i="39"/>
  <c r="AA7" i="39"/>
  <c r="R47" i="39" s="1"/>
  <c r="AC9" i="39"/>
  <c r="W9" i="39"/>
  <c r="H70" i="43"/>
  <c r="I51" i="39"/>
  <c r="J51" i="39" s="1"/>
  <c r="G52" i="39"/>
  <c r="H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H12" i="63"/>
  <c r="E12" i="63"/>
  <c r="G13" i="63"/>
  <c r="B80" i="63"/>
  <c r="C21" i="63"/>
  <c r="E21" i="63" s="1"/>
  <c r="H13" i="63"/>
  <c r="G12" i="63"/>
  <c r="E13" i="63"/>
  <c r="F13" i="63" s="1"/>
  <c r="F12" i="63"/>
  <c r="C20" i="63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E8" i="67"/>
  <c r="D58" i="39"/>
  <c r="E56" i="39"/>
  <c r="S25" i="39"/>
  <c r="AA25" i="39"/>
  <c r="AC25" i="39"/>
  <c r="U25" i="39"/>
  <c r="AB25" i="39"/>
  <c r="AB27" i="39"/>
  <c r="U27" i="39"/>
  <c r="E20" i="43"/>
  <c r="G1" i="65"/>
  <c r="G2" i="65"/>
  <c r="G3" i="65"/>
  <c r="D5" i="43" l="1"/>
  <c r="E47" i="39"/>
  <c r="R48" i="39"/>
  <c r="D22" i="43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C22" i="63"/>
  <c r="B5" i="63" s="1"/>
  <c r="E20" i="63"/>
  <c r="B4" i="63"/>
  <c r="D12" i="63"/>
  <c r="C11" i="63" s="1"/>
  <c r="D13" i="63"/>
  <c r="T50" i="67"/>
  <c r="D50" i="67"/>
  <c r="I9" i="63" s="1"/>
  <c r="C9" i="63" s="1"/>
  <c r="C107" i="43"/>
  <c r="C104" i="43"/>
  <c r="C105" i="43"/>
  <c r="C108" i="43"/>
  <c r="C106" i="43"/>
  <c r="C103" i="43"/>
  <c r="C23" i="43" s="1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C19" i="63" l="1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G12" i="9"/>
  <c r="G20" i="43"/>
  <c r="C20" i="43" s="1"/>
  <c r="B9" i="67"/>
  <c r="B8" i="67" s="1"/>
  <c r="B7" i="67" s="1"/>
  <c r="S10" i="67"/>
  <c r="T18" i="67"/>
  <c r="D18" i="67"/>
  <c r="C17" i="67"/>
  <c r="C116" i="43"/>
  <c r="D114" i="43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3" i="63" l="1"/>
  <c r="E18" i="63"/>
  <c r="B17" i="59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B3" i="43" s="1"/>
  <c r="F6" i="59" s="1"/>
  <c r="C39" i="43"/>
  <c r="E29" i="43" l="1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<sst xmlns="http://schemas.openxmlformats.org/spreadsheetml/2006/main" count="3972" uniqueCount="1802">
  <si>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</si>
  <si>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</si>
  <si>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</si>
  <si>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</si>
  <si>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</si>
  <si>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</si>
  <si>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</si>
  <si>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</si>
  <si>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</si>
  <si>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</si>
  <si>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</si>
  <si>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</si>
  <si>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</si>
  <si>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</si>
  <si>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</si>
  <si>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</si>
  <si>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</si>
  <si>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</si>
  <si>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</si>
  <si>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</si>
  <si>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</si>
  <si>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</si>
  <si>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</si>
  <si>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</si>
  <si>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</si>
  <si>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</si>
  <si>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</si>
  <si>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</si>
  <si>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</si>
  <si>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</si>
  <si>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</si>
  <si>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</si>
  <si>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</si>
  <si>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</si>
  <si>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</si>
  <si>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</si>
  <si>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</si>
  <si>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</si>
  <si>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</si>
  <si>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</si>
  <si>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</si>
  <si>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</si>
  <si>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</si>
  <si>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</si>
  <si>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</si>
  <si>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</si>
  <si>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</si>
  <si>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</si>
  <si>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</si>
  <si>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</si>
  <si>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</si>
  <si>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</si>
  <si>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</si>
  <si>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</si>
  <si>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</si>
  <si>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</si>
  <si>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</si>
  <si>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</si>
  <si>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</si>
  <si>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</si>
  <si>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</si>
  <si>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</si>
  <si>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</si>
  <si>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</si>
  <si>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</si>
  <si>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</si>
  <si>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</si>
  <si>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</si>
  <si>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</si>
  <si>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</si>
  <si>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</si>
  <si>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</si>
  <si>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</si>
  <si>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</si>
  <si>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</si>
  <si>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</si>
  <si>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</si>
  <si>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</si>
  <si>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</si>
  <si>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</si>
  <si>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</si>
  <si>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</si>
  <si>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</si>
  <si>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</si>
  <si>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</si>
  <si>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</si>
  <si>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</si>
  <si>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</si>
  <si>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</si>
  <si>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</si>
  <si>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</si>
  <si>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</si>
  <si>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</si>
  <si>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</si>
  <si>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</si>
  <si>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</si>
  <si>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</si>
  <si>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</si>
  <si>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</si>
  <si>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</si>
  <si>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</si>
  <si>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</si>
  <si>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</si>
  <si>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</si>
  <si>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</si>
  <si>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</si>
  <si>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</si>
  <si>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</si>
  <si>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</si>
  <si>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</si>
  <si>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</si>
  <si>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</si>
  <si>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</si>
  <si>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</si>
  <si>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</si>
  <si>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</si>
  <si>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</si>
  <si>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</si>
  <si>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</si>
  <si>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</si>
  <si>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</si>
  <si>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</si>
  <si>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</si>
  <si>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</si>
  <si>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</si>
  <si>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</si>
  <si>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</si>
  <si>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</si>
  <si>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</si>
  <si>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</si>
  <si>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</si>
  <si>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</si>
  <si>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</si>
  <si>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</si>
  <si>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</si>
  <si>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</si>
  <si>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</si>
  <si>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</si>
  <si>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</si>
  <si>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</si>
  <si>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</si>
  <si>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</si>
  <si>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</si>
  <si>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</si>
  <si>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</si>
  <si>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</si>
  <si>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</si>
  <si>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</si>
  <si>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</si>
  <si>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</si>
  <si>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</si>
  <si>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</si>
  <si>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</si>
  <si>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</si>
  <si>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</si>
  <si>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</si>
  <si>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</si>
  <si>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</si>
  <si>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</si>
  <si>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</si>
  <si>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</si>
  <si>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</si>
  <si>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</si>
  <si>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</si>
  <si>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</si>
  <si>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</si>
  <si>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</si>
  <si>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</si>
  <si>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</si>
  <si>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</si>
  <si>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</si>
  <si>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</si>
  <si>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</si>
  <si>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</si>
  <si>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</si>
  <si>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</si>
  <si>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</si>
  <si>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</si>
  <si>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</si>
  <si>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</si>
  <si>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</si>
  <si>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</si>
  <si>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</si>
  <si>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</si>
  <si>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</si>
  <si>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</si>
  <si>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</si>
  <si>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</si>
  <si>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</si>
  <si>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</si>
  <si>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</si>
  <si>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</si>
  <si>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</si>
  <si>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</si>
  <si>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</si>
  <si>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</si>
  <si>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</si>
  <si>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</si>
  <si>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</si>
  <si>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</si>
  <si>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</si>
  <si>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</si>
  <si>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</si>
  <si>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</si>
  <si>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</si>
  <si>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</si>
  <si>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</si>
  <si>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</si>
  <si>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</si>
  <si>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</si>
  <si>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</si>
  <si>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</si>
  <si>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</si>
  <si>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</si>
  <si>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</si>
  <si>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</si>
  <si>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</si>
  <si>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</si>
  <si>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</si>
  <si>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</si>
  <si>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</si>
  <si>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</si>
  <si>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</si>
  <si>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</si>
  <si>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</si>
  <si>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</si>
  <si>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</si>
  <si>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</si>
  <si>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</si>
  <si>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</si>
  <si>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</si>
  <si>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</si>
  <si>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</si>
  <si>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</si>
  <si>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</si>
  <si>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</si>
  <si>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</si>
  <si>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</si>
  <si>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</si>
  <si>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</si>
  <si>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</si>
  <si>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</si>
  <si>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</si>
  <si>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</si>
  <si>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</si>
  <si>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</si>
  <si>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</si>
  <si>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</si>
  <si>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</si>
  <si>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</si>
  <si>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</si>
  <si>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</si>
  <si>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</si>
  <si>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</si>
  <si>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</si>
  <si>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</si>
  <si>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</si>
  <si>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</si>
  <si>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</si>
  <si>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</si>
  <si>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</si>
  <si>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</si>
  <si>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</si>
  <si>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</si>
  <si>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</si>
  <si>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</si>
  <si>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</si>
  <si>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</si>
  <si>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</si>
  <si>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</si>
  <si>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</si>
  <si>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</si>
  <si>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</si>
  <si>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</si>
  <si>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</si>
  <si>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</si>
  <si>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</si>
  <si>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</si>
  <si>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</si>
  <si>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</si>
  <si>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</si>
  <si>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</si>
  <si>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</si>
  <si>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</si>
  <si>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</si>
  <si>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</si>
  <si>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</si>
  <si>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</si>
  <si>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</si>
  <si>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</si>
  <si>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</si>
  <si>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</si>
  <si>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</si>
  <si>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</si>
  <si>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</si>
  <si>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</si>
  <si>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</si>
  <si>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</si>
  <si>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</si>
  <si>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</si>
  <si>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</si>
  <si>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</si>
  <si>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</si>
  <si>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</si>
  <si>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</si>
  <si>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</si>
  <si>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</si>
  <si>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</si>
  <si>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</si>
  <si>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</si>
  <si>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</si>
  <si>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</si>
  <si>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</si>
  <si>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</si>
  <si>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</si>
  <si>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</si>
  <si>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</si>
  <si>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</si>
  <si>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</si>
  <si>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</si>
  <si>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</si>
  <si>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</si>
  <si>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</si>
  <si>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</si>
  <si>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</si>
  <si>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</si>
  <si>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</si>
  <si>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</si>
  <si>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</si>
  <si>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</si>
  <si>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</si>
  <si>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</si>
  <si>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</si>
  <si>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</si>
  <si>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</si>
  <si>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</si>
  <si>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</si>
  <si>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</si>
  <si>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</si>
  <si>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</si>
  <si>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</si>
  <si>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</si>
  <si>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</si>
  <si>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</si>
  <si>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</si>
  <si>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</si>
  <si>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</si>
  <si>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</si>
  <si>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</si>
  <si>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</si>
  <si>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</si>
  <si>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</si>
  <si>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</si>
  <si>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</si>
  <si>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</si>
  <si>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</si>
  <si>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</si>
  <si>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</si>
  <si>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</si>
  <si>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</si>
  <si>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</si>
  <si>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</si>
  <si>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</si>
  <si>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</si>
  <si>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</si>
  <si>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</si>
  <si>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</si>
  <si>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</si>
  <si>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</si>
  <si>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</si>
  <si>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</si>
  <si>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</si>
  <si>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</si>
  <si>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</si>
  <si>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</si>
  <si>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</si>
  <si>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</si>
  <si>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</si>
  <si>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</si>
  <si>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</si>
  <si>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</si>
  <si>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</si>
  <si>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</si>
  <si>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</si>
  <si>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</si>
  <si>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</si>
  <si>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</si>
  <si>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</si>
  <si>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</si>
  <si>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</si>
  <si>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</si>
  <si>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</si>
  <si>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</si>
  <si>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</si>
  <si>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</si>
  <si>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</si>
  <si>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</si>
  <si>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</si>
  <si>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</si>
  <si>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</si>
  <si>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</si>
  <si>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</si>
  <si>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</si>
  <si>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</si>
  <si>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</si>
  <si>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</si>
  <si>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</si>
  <si>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</si>
  <si>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</si>
  <si>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</si>
  <si>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</si>
  <si>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</si>
  <si>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</si>
  <si>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</si>
  <si>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</si>
  <si>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</si>
  <si>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</si>
  <si>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</si>
  <si>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</si>
  <si>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</si>
  <si>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</si>
  <si>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</si>
  <si>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</si>
  <si>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</si>
  <si>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</si>
  <si>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</si>
  <si>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</si>
  <si>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</si>
  <si>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</si>
  <si>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</si>
  <si>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</si>
  <si>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</si>
  <si>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</si>
  <si>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</si>
  <si>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</si>
  <si>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</si>
  <si>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</si>
  <si>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</si>
  <si>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</si>
  <si>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</si>
  <si>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</si>
  <si>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</si>
  <si>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</si>
  <si>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</si>
  <si>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</si>
  <si>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</si>
  <si>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</si>
  <si>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</si>
  <si>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</si>
  <si>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</si>
  <si>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</si>
  <si>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</si>
  <si>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</si>
  <si>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</si>
  <si>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</si>
  <si>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</si>
  <si>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</si>
  <si>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</si>
  <si>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</si>
  <si>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</si>
  <si>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</si>
  <si>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</si>
  <si>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</si>
  <si>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</si>
  <si>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</si>
  <si>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</si>
  <si>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</si>
  <si>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</si>
  <si>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</si>
  <si>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</si>
  <si>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</si>
  <si>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</si>
  <si>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</si>
  <si>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</si>
  <si>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</si>
  <si>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</si>
  <si>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</si>
  <si>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</si>
  <si>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</si>
  <si>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</si>
  <si>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</si>
  <si>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</si>
  <si>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</si>
  <si>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</si>
  <si>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</si>
  <si>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</si>
  <si>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</si>
  <si>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</si>
  <si>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</si>
  <si>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</si>
  <si>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</si>
  <si>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</si>
  <si>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</si>
  <si>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</si>
  <si>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</si>
  <si>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</si>
  <si>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</si>
  <si>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</si>
  <si>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</si>
  <si>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</si>
  <si>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</si>
  <si>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</si>
  <si>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</si>
  <si>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</si>
  <si>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</si>
  <si>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</si>
  <si>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</si>
  <si>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</si>
  <si>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</si>
  <si>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</si>
  <si>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</si>
  <si>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</si>
  <si>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</si>
  <si>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</si>
  <si>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</si>
  <si>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</si>
  <si>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</si>
  <si>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</si>
  <si>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</si>
  <si>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</si>
  <si>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</si>
  <si>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</si>
  <si>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</si>
  <si>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</si>
  <si>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</si>
  <si>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</si>
  <si>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</si>
  <si>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</si>
  <si>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</si>
  <si>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</si>
  <si>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</si>
  <si>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</si>
  <si>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</si>
  <si>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</si>
  <si>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</si>
  <si>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</si>
  <si>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</si>
  <si>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</si>
  <si>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</si>
  <si>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</si>
  <si>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</si>
  <si>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</si>
  <si>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</si>
  <si>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</si>
  <si>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</si>
  <si>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</si>
  <si>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</si>
  <si>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</si>
  <si>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</si>
  <si>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</si>
  <si>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</si>
  <si>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</si>
  <si>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</si>
  <si>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</si>
  <si>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</si>
  <si>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</si>
  <si>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</si>
  <si>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</si>
  <si>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</si>
  <si>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</si>
  <si>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</si>
  <si>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</si>
  <si>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</si>
  <si>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</si>
  <si>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</si>
  <si>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</si>
  <si>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</si>
  <si>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</si>
  <si>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</si>
  <si>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</si>
  <si>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</si>
  <si>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</si>
  <si>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</si>
  <si>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</si>
  <si>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</si>
  <si>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</si>
  <si>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</si>
  <si>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</si>
  <si>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</si>
  <si>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</si>
  <si>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</si>
  <si>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</si>
  <si>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</si>
  <si>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</si>
  <si>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</si>
  <si>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</si>
  <si>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</si>
  <si>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</si>
  <si>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</si>
  <si>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</si>
  <si>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</si>
  <si>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</si>
  <si>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</si>
  <si>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</si>
  <si>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</si>
  <si>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</si>
  <si>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</si>
  <si>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</si>
  <si>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</si>
  <si>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</si>
  <si>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</si>
  <si>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</si>
  <si>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</si>
  <si>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</si>
  <si>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</si>
  <si>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</si>
  <si>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</si>
  <si>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</si>
  <si>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</si>
  <si>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</si>
  <si>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</si>
  <si>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</si>
  <si>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</si>
  <si>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</si>
  <si>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</si>
  <si>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</si>
  <si>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</si>
  <si>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</si>
  <si>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</si>
  <si>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</si>
  <si>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</si>
  <si>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</si>
  <si>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</si>
  <si>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</si>
  <si>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</si>
  <si>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</si>
  <si>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</si>
  <si>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</si>
  <si>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</si>
  <si>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</si>
  <si>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</si>
  <si>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</si>
  <si>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</si>
  <si>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</si>
  <si>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</si>
  <si>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</si>
  <si>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</si>
  <si>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</si>
  <si>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</si>
  <si>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</si>
  <si>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</si>
  <si>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</si>
  <si>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</si>
  <si>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</si>
  <si>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</si>
  <si>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</si>
  <si>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</si>
  <si>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</si>
  <si>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</si>
  <si>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</si>
  <si>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</si>
  <si>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</si>
  <si>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</si>
  <si>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</si>
  <si>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</si>
  <si>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</si>
  <si>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</si>
  <si>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</si>
  <si>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</si>
  <si>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</si>
  <si>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</si>
  <si>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</si>
  <si>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</si>
  <si>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</si>
  <si>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</si>
  <si>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</si>
  <si>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</si>
  <si>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</si>
  <si>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</si>
  <si>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</si>
  <si>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</si>
  <si>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</si>
  <si>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</si>
  <si>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</si>
  <si>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</si>
  <si>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</si>
  <si>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</si>
  <si>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</si>
  <si>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</si>
  <si>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</si>
  <si>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</si>
  <si>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</si>
  <si>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</si>
  <si>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</si>
  <si>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</si>
  <si>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</si>
  <si>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</si>
  <si>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</si>
  <si>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</si>
  <si>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</si>
  <si>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</si>
  <si>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</si>
  <si>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</si>
  <si>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</si>
  <si>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</si>
  <si>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</si>
  <si>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</si>
  <si>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</si>
  <si>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</si>
  <si>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</si>
  <si>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</si>
  <si>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</si>
  <si>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</si>
  <si>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</si>
  <si>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</si>
  <si>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</si>
  <si>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</si>
  <si>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</si>
  <si>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</si>
  <si>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</si>
  <si>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</si>
  <si>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</si>
  <si>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</si>
  <si>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</si>
  <si>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</si>
  <si>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</si>
  <si>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</si>
  <si>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</si>
  <si>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</si>
  <si>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</si>
  <si>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</si>
  <si>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</si>
  <si>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</si>
  <si>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</si>
  <si>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</si>
  <si>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</si>
  <si>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</si>
  <si>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</si>
  <si>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</si>
  <si>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</si>
  <si>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</si>
  <si>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</si>
  <si>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</si>
  <si>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</si>
  <si>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</si>
  <si>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</si>
  <si>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</si>
  <si>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</si>
  <si>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</si>
  <si>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</si>
  <si>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</si>
  <si>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</si>
  <si>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</si>
  <si>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</si>
  <si>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</si>
  <si>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</si>
  <si>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</si>
  <si>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</si>
  <si>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</si>
  <si>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</si>
  <si>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</si>
  <si>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</si>
  <si>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</si>
  <si>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</si>
  <si>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</si>
  <si>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</si>
  <si>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</si>
  <si>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</si>
  <si>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</si>
  <si>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</si>
  <si>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</si>
  <si>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</si>
  <si>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</si>
  <si>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</si>
  <si>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</si>
  <si>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</si>
  <si>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</si>
  <si>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</si>
  <si>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</si>
  <si>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</si>
  <si>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</si>
  <si>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</si>
  <si>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</si>
  <si>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</si>
  <si>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</si>
  <si>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</si>
  <si>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</si>
  <si>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</si>
  <si>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</si>
  <si>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</si>
  <si>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</si>
  <si>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</si>
  <si>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</si>
  <si>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</si>
  <si>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</si>
  <si>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</si>
  <si>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</si>
  <si>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</si>
  <si>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</si>
  <si>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</si>
  <si>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</si>
  <si>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</si>
  <si>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</si>
  <si>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</si>
  <si>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</si>
  <si>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</si>
  <si>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</si>
  <si>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</si>
  <si>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</si>
  <si>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</si>
  <si>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</si>
  <si>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</si>
  <si>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</si>
  <si>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</si>
  <si>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</si>
  <si>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</si>
  <si>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</si>
  <si>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</si>
  <si>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</si>
  <si>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</si>
  <si>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</si>
  <si>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</si>
  <si>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</si>
  <si>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</si>
  <si>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</si>
  <si>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</si>
  <si>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</si>
  <si>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</si>
  <si>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</si>
  <si>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</si>
  <si>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</si>
  <si>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</si>
  <si>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</si>
  <si>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</si>
  <si>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</si>
  <si>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</si>
  <si>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</si>
  <si>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</si>
  <si>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</si>
  <si>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</si>
  <si>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</si>
  <si>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</si>
  <si>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</si>
  <si>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</si>
  <si>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</si>
  <si>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</si>
  <si>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</si>
  <si>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</si>
  <si>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</si>
  <si>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</si>
  <si>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</si>
  <si>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</si>
  <si>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</si>
  <si>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</si>
  <si>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</si>
  <si>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</si>
  <si>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</si>
  <si>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</si>
  <si>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</si>
  <si>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</si>
  <si>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</si>
  <si>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</si>
  <si>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</si>
  <si>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</si>
  <si>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</si>
  <si>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</si>
  <si>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</si>
  <si>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</si>
  <si>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</si>
  <si>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</si>
  <si>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</si>
  <si>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</si>
  <si>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</si>
  <si>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</si>
  <si>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</si>
  <si>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</si>
  <si>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</si>
  <si>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</si>
  <si>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</si>
  <si>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</si>
  <si>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</si>
  <si>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</si>
  <si>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</si>
  <si>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</si>
  <si>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</si>
  <si>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</si>
  <si>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</si>
  <si>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</si>
  <si>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</si>
  <si>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</si>
  <si>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</si>
  <si>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</si>
  <si>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</si>
  <si>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</si>
  <si>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</si>
  <si>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</si>
  <si>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</si>
  <si>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</si>
  <si>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</si>
  <si>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</si>
  <si>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</si>
  <si>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</si>
  <si>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</si>
  <si>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</si>
  <si>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</si>
  <si>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</si>
  <si>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</si>
  <si>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</si>
  <si>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</si>
  <si>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</si>
  <si>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</si>
  <si>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</si>
  <si>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</si>
  <si>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</si>
  <si>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</si>
  <si>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</si>
  <si>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</si>
  <si>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</si>
  <si>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</si>
  <si>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</si>
  <si>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</si>
  <si>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</si>
  <si>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</si>
  <si>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</si>
  <si>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</si>
  <si>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</si>
  <si>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</si>
  <si>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</si>
  <si>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</si>
  <si>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</si>
  <si>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</si>
  <si>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</si>
  <si>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</si>
  <si>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</si>
  <si>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</si>
  <si>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</si>
  <si>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</si>
  <si>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</si>
  <si>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</si>
  <si>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</si>
  <si>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</si>
  <si>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</si>
  <si>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</si>
  <si>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</si>
  <si>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</si>
  <si>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</si>
  <si>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</si>
  <si>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</si>
  <si>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</si>
  <si>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</si>
  <si>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</si>
  <si>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</si>
  <si>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</si>
  <si>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</si>
  <si>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</si>
  <si>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</si>
  <si>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</si>
  <si>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</si>
  <si>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</si>
  <si>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</si>
  <si>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</si>
  <si>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</si>
  <si>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</si>
  <si>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</si>
  <si>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</si>
  <si>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</si>
  <si>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</si>
  <si>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</si>
  <si>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</si>
  <si>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</si>
  <si>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</si>
  <si>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</si>
  <si>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</si>
  <si>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</si>
  <si>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</si>
  <si>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</si>
  <si>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</si>
  <si>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</si>
  <si>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</si>
  <si>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</si>
  <si>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</si>
  <si>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</si>
  <si>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</si>
  <si>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</si>
  <si>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</si>
  <si>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</si>
  <si>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</si>
  <si>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</si>
  <si>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</si>
  <si>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</si>
  <si>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</si>
  <si>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</si>
  <si>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</si>
  <si>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</si>
  <si>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</si>
  <si>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</si>
  <si>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</si>
  <si>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</si>
  <si>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</si>
  <si>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</si>
  <si>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</si>
  <si>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</si>
  <si>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</si>
  <si>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</si>
  <si>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</si>
  <si>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</si>
  <si>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</si>
  <si>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</si>
  <si>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</si>
  <si>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</si>
  <si>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</si>
  <si>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</si>
  <si>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</si>
  <si>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</si>
  <si>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</si>
  <si>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</si>
  <si>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</si>
  <si>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</si>
  <si>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</si>
  <si>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</si>
  <si>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</si>
  <si>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</si>
  <si>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</si>
  <si>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</si>
  <si>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</si>
  <si>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</si>
  <si>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</si>
  <si>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</si>
  <si>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</si>
  <si>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</si>
  <si>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</si>
  <si>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</si>
  <si>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</si>
  <si>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</si>
  <si>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</si>
  <si>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</si>
  <si>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</si>
  <si>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</si>
  <si>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</si>
  <si>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</si>
  <si>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</si>
  <si>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</si>
  <si>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</si>
  <si>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</si>
  <si>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</si>
  <si>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</si>
  <si>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</si>
  <si>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</si>
  <si>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</si>
  <si>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</si>
  <si>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</si>
  <si>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</si>
  <si>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</si>
  <si>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</si>
  <si>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</si>
  <si>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</si>
  <si>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</si>
  <si>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</si>
  <si>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</si>
  <si>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</si>
  <si>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</si>
  <si>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</si>
  <si>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</si>
  <si>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</si>
  <si>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</si>
  <si>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</si>
  <si>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</si>
  <si>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</si>
  <si>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</si>
  <si>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</si>
  <si>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</si>
  <si>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</si>
  <si>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</si>
  <si>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</si>
  <si>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</si>
  <si>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</si>
  <si>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</si>
  <si>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</si>
  <si>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</si>
  <si>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</si>
  <si>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</si>
  <si>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</si>
  <si>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</si>
  <si>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</si>
  <si>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</si>
  <si>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</si>
  <si>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</si>
  <si>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</si>
  <si>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</si>
  <si>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</si>
  <si>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</si>
  <si>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</si>
  <si>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</si>
  <si>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</si>
  <si>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</si>
  <si>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</si>
  <si>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</si>
  <si>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</si>
  <si>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</si>
  <si>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</si>
  <si>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</si>
  <si>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</si>
  <si>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</si>
  <si>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</si>
  <si>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</si>
  <si>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</si>
  <si>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</si>
  <si>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</si>
  <si>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</si>
  <si>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</si>
  <si>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</si>
  <si>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</si>
  <si>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</si>
  <si>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</si>
  <si>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</si>
  <si>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</si>
  <si>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</si>
  <si>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</si>
  <si>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</si>
  <si>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</si>
  <si>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</si>
  <si>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</si>
  <si>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</si>
  <si>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</si>
  <si>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</si>
  <si>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</si>
  <si>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</si>
  <si>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</si>
  <si>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</si>
  <si>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</si>
  <si>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</si>
  <si>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</si>
  <si>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</si>
  <si>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</si>
  <si>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</si>
  <si>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</si>
  <si>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</si>
  <si>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</si>
  <si>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</si>
  <si>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</si>
  <si>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</si>
  <si>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</si>
  <si>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</si>
  <si>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</si>
  <si>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</si>
  <si>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</si>
  <si>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</si>
  <si>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</si>
  <si>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</si>
  <si>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</si>
  <si>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</si>
  <si>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</si>
  <si>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</si>
  <si>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</si>
  <si>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</si>
  <si>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</si>
  <si>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</si>
  <si>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</si>
  <si>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</si>
  <si>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</si>
  <si>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</si>
  <si>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</si>
  <si>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</si>
  <si>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</si>
  <si>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</si>
  <si>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</si>
  <si>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</si>
  <si>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</si>
  <si>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</si>
  <si>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</si>
  <si>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</si>
  <si>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</si>
  <si>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</si>
  <si>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</si>
  <si>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</si>
  <si>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</si>
  <si>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</si>
  <si>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</si>
  <si>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</si>
  <si>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</si>
  <si>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</si>
  <si>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</si>
  <si>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</si>
  <si>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</si>
  <si>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</si>
  <si>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</si>
  <si>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</si>
  <si>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</si>
  <si>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</si>
  <si>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</si>
  <si>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</si>
  <si>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</si>
  <si>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</si>
  <si>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</si>
  <si>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</si>
  <si>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</si>
  <si>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</si>
  <si>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</si>
  <si>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</si>
  <si>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</si>
  <si>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</si>
  <si>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</si>
  <si>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</si>
  <si>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</si>
  <si>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</si>
  <si>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</si>
  <si>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</si>
  <si>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</si>
  <si>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</si>
  <si>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</si>
  <si>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</si>
  <si>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</si>
  <si>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</si>
  <si>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</si>
  <si>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</si>
  <si>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</si>
  <si>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</si>
  <si>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</si>
  <si>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</si>
  <si>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</si>
  <si>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</si>
  <si>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</si>
  <si>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</si>
  <si>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</si>
  <si>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</si>
  <si>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</si>
  <si>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</si>
  <si>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</si>
  <si>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</si>
  <si>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</si>
  <si>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</si>
  <si>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</si>
  <si>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</si>
  <si>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</si>
  <si>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</si>
  <si>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</si>
  <si>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</si>
  <si>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</si>
  <si>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</si>
  <si>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</si>
  <si>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</si>
  <si>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</si>
  <si>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</si>
  <si>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</si>
  <si>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</si>
  <si>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</si>
  <si>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</si>
  <si>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</si>
  <si>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</si>
  <si>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</si>
  <si>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</si>
  <si>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</si>
  <si>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</si>
  <si>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</si>
  <si>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</si>
  <si>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</si>
  <si>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</si>
  <si>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</si>
  <si>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</si>
  <si>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</si>
  <si>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</si>
  <si>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</si>
  <si>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</si>
  <si>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</si>
  <si>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</si>
  <si>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</si>
  <si>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</si>
  <si>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</si>
  <si>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</si>
  <si>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</si>
  <si>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</si>
  <si>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</si>
  <si>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</si>
  <si>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</si>
  <si>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</si>
  <si>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</si>
  <si>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</si>
  <si>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</si>
  <si>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</si>
  <si>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</si>
  <si>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</si>
  <si>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</si>
  <si>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</si>
  <si>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</si>
  <si>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</si>
  <si>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</si>
  <si>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</si>
  <si>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</si>
  <si>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</si>
  <si>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</si>
  <si>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</si>
  <si>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</si>
  <si>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</si>
  <si>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</si>
  <si>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</si>
  <si>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</si>
  <si>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</si>
  <si>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</si>
  <si>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</si>
  <si>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</si>
  <si>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</si>
  <si>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</si>
  <si>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</si>
  <si>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</si>
  <si>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</si>
  <si>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</si>
  <si>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</si>
  <si>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</si>
  <si>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</si>
  <si>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</si>
  <si>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</si>
  <si>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</si>
  <si>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</si>
  <si>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</si>
  <si>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</si>
  <si>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</si>
  <si>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</si>
  <si>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</si>
  <si>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</si>
  <si>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</si>
  <si>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</si>
  <si>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</si>
  <si>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</si>
  <si>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</si>
  <si>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</si>
  <si>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</si>
  <si>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</si>
  <si>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</si>
  <si>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</si>
  <si>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</si>
  <si>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</si>
  <si>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</si>
  <si>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</si>
  <si>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</si>
  <si>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</si>
  <si>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</si>
  <si>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</si>
  <si>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</si>
  <si>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</si>
  <si>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</si>
  <si>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</si>
  <si>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</si>
  <si>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</si>
  <si>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</si>
  <si>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</si>
  <si>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</si>
  <si>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</si>
  <si>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</si>
  <si>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</si>
  <si>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</si>
  <si>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</si>
  <si>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</si>
  <si>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</si>
  <si>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</si>
  <si>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</si>
  <si>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</si>
  <si>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</si>
  <si>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</si>
  <si>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</si>
  <si>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</si>
  <si>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</si>
  <si>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</si>
  <si>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</si>
  <si>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</si>
  <si>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</si>
  <si>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</si>
  <si>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</si>
  <si>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</si>
  <si>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</si>
  <si>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</si>
  <si>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</si>
  <si>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</si>
  <si>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</si>
  <si>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</si>
  <si>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</si>
  <si>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</si>
  <si>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</si>
  <si>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</si>
  <si>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</si>
  <si>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</si>
  <si>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</si>
  <si>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</si>
  <si>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</si>
  <si>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</si>
  <si>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</si>
  <si>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</si>
  <si>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</si>
  <si>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</si>
  <si>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</si>
  <si>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</si>
  <si>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</si>
  <si>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</si>
  <si>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</si>
  <si>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</si>
  <si>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</si>
  <si>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</si>
  <si>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</si>
  <si>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</si>
  <si>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</si>
  <si>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</si>
  <si>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</si>
  <si>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</si>
  <si>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</si>
  <si>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</si>
  <si>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</si>
  <si>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</si>
  <si>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</si>
  <si>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</si>
  <si>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</si>
  <si>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</si>
  <si>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</si>
  <si>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</si>
  <si>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</si>
  <si>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</si>
  <si>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</si>
  <si>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</si>
  <si>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</si>
  <si>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</si>
  <si>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</si>
  <si>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</si>
  <si>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</si>
  <si>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</si>
  <si>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</si>
  <si>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</si>
  <si>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</si>
  <si>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</si>
  <si>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</si>
  <si>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</si>
  <si>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</si>
  <si>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</si>
  <si>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</si>
  <si>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</si>
  <si>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</si>
  <si>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</si>
  <si>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</si>
  <si>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</si>
  <si>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</si>
  <si>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</si>
  <si>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</si>
  <si>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</si>
  <si>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</si>
  <si>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</si>
  <si>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</si>
  <si>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</si>
  <si>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</si>
  <si>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</si>
  <si>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</si>
  <si>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</si>
  <si>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</si>
  <si>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</si>
  <si>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</si>
  <si>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</si>
  <si>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</si>
  <si>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</si>
  <si>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</si>
  <si>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</si>
  <si>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</si>
  <si>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</si>
  <si>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</si>
  <si>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</si>
  <si>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</si>
  <si>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</si>
  <si>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</si>
  <si>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</si>
  <si>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</si>
  <si>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</si>
  <si>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</si>
  <si>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</si>
  <si>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</si>
  <si>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</si>
  <si>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</si>
  <si>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</si>
  <si>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</si>
  <si>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</si>
  <si>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</si>
  <si>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</si>
  <si>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</si>
  <si>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</si>
  <si>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</si>
  <si>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</si>
  <si>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</si>
  <si>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</si>
  <si>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</si>
  <si>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</si>
  <si>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</si>
  <si>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</si>
  <si>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</si>
  <si>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</si>
  <si>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</si>
  <si>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</si>
  <si>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</si>
  <si>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</si>
  <si>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</si>
  <si>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</si>
  <si>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</si>
  <si>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</si>
  <si>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</si>
  <si>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</si>
  <si>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</si>
  <si>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</si>
  <si>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</si>
  <si>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</si>
  <si>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</si>
  <si>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</si>
  <si>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</si>
  <si>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</si>
  <si>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</si>
  <si>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</si>
  <si>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</si>
  <si>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</si>
  <si>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</si>
  <si>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</si>
  <si>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</si>
  <si>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</si>
  <si>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</si>
  <si>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</si>
  <si>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</si>
  <si>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</si>
  <si>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</si>
  <si>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</si>
  <si>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</si>
  <si>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</si>
  <si>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</si>
  <si>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</si>
  <si>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</si>
  <si>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</si>
  <si>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</si>
  <si>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</si>
  <si>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</si>
  <si>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</si>
  <si>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</si>
  <si>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</si>
  <si>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</si>
  <si>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</si>
  <si>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</si>
  <si>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</si>
  <si>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</si>
  <si>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</si>
  <si>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</si>
  <si>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</si>
  <si>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</si>
  <si>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</si>
  <si>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</si>
  <si>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</si>
  <si>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</si>
  <si>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</si>
  <si>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</si>
  <si>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</si>
  <si>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</si>
  <si>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</si>
  <si>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</si>
  <si>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</si>
  <si>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</si>
  <si>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</si>
  <si>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</si>
  <si>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</si>
  <si>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</si>
  <si>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</si>
  <si>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</si>
  <si>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</si>
  <si>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</si>
  <si>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</si>
  <si>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</si>
  <si>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</si>
  <si>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</si>
  <si>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</si>
  <si>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</si>
  <si>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</si>
  <si>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</si>
  <si>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</si>
  <si>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</si>
  <si>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</si>
  <si>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</si>
  <si>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</si>
  <si>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</si>
  <si>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</si>
  <si>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</si>
  <si>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</si>
  <si>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</si>
  <si>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</si>
  <si>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</si>
  <si>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</si>
  <si>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</si>
  <si>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</si>
  <si>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</si>
  <si>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</si>
  <si>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</si>
  <si>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</si>
  <si>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</si>
  <si>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</si>
  <si>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</si>
  <si>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</si>
  <si>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</si>
  <si>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</si>
  <si>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</si>
  <si>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</si>
  <si>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</si>
  <si>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</si>
  <si>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</si>
  <si>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</si>
  <si>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</si>
  <si>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</si>
  <si>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</si>
  <si>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</si>
  <si>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</si>
  <si>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</si>
  <si>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</si>
  <si>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</si>
  <si>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</si>
  <si>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</si>
  <si>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</si>
  <si>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</si>
  <si>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</si>
  <si>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</si>
  <si>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</si>
  <si>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</si>
  <si>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</si>
  <si>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</si>
  <si>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</si>
  <si>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</si>
  <si>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</si>
  <si>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</si>
  <si>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</si>
  <si>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</si>
  <si>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</si>
  <si>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</si>
  <si>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</si>
  <si>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</si>
  <si>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</si>
  <si>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</si>
  <si>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</si>
  <si>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</si>
  <si>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</si>
  <si>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</si>
  <si>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</si>
  <si>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</si>
  <si>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</si>
  <si>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</si>
  <si>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</si>
  <si>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</si>
  <si>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</si>
  <si>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</si>
  <si>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</si>
  <si>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</si>
  <si>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</si>
  <si>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</si>
  <si>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</si>
  <si>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</si>
  <si>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</si>
  <si>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</si>
  <si>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</si>
  <si>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</si>
  <si>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</si>
  <si>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</si>
  <si>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</si>
  <si>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</si>
  <si>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</si>
  <si>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</si>
  <si>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</si>
  <si>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</si>
  <si>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</si>
  <si>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</si>
  <si>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</si>
  <si>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</si>
  <si>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</si>
  <si>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</si>
  <si>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</si>
  <si>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</si>
  <si>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</si>
  <si>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</si>
  <si>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</si>
  <si>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</si>
  <si>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</si>
  <si>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</si>
  <si>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</si>
  <si>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</si>
  <si>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</si>
  <si>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</si>
  <si>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</si>
  <si>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</si>
  <si>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</si>
  <si>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</si>
  <si>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</si>
  <si>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</si>
  <si>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</si>
  <si>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</si>
  <si>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</si>
  <si>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</si>
  <si>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</si>
  <si>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</si>
  <si>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</si>
  <si>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</si>
  <si>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</si>
  <si>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</si>
  <si>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</si>
  <si>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</si>
  <si>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</si>
  <si>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</si>
  <si>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</si>
  <si>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</si>
  <si>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</si>
  <si>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</si>
  <si>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</si>
  <si>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</si>
  <si>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</si>
  <si>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</si>
  <si>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</si>
  <si>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</si>
  <si>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</si>
  <si>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</si>
  <si>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</si>
  <si>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</si>
  <si>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</si>
  <si>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</si>
  <si>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</si>
  <si>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</si>
  <si>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</si>
  <si>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</si>
  <si>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</si>
  <si>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</si>
  <si>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</si>
  <si>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</si>
  <si>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</si>
  <si>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</si>
  <si>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</si>
  <si>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</si>
  <si>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</si>
  <si>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</si>
  <si>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</si>
  <si>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</si>
  <si>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</si>
  <si>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</si>
  <si>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</si>
  <si>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</si>
  <si>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</si>
  <si>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</si>
  <si>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</si>
  <si>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</si>
  <si>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</si>
  <si>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</si>
  <si>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</si>
  <si>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</si>
  <si>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</si>
  <si>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</si>
  <si>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</si>
  <si>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</si>
  <si>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</si>
  <si>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</si>
  <si>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</si>
  <si>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</si>
  <si>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</si>
  <si>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</si>
  <si>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</si>
  <si>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</si>
  <si>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</si>
  <si>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</si>
  <si>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</si>
  <si>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</si>
  <si>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</si>
  <si>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</si>
  <si>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</si>
  <si>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</si>
  <si>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</si>
  <si>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</si>
  <si>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</si>
  <si>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</si>
  <si>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</si>
  <si>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</si>
  <si>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</si>
  <si>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</si>
  <si>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</si>
  <si>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</si>
  <si>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</si>
  <si>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</si>
  <si>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</si>
  <si>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</si>
  <si>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</si>
  <si>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</si>
  <si>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</si>
  <si>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</si>
  <si>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</si>
  <si>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</si>
  <si>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</si>
  <si>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</si>
  <si>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</si>
  <si>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</si>
  <si>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</si>
  <si>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</si>
  <si>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</si>
  <si>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</si>
  <si>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</si>
  <si>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</si>
  <si>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</si>
  <si>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</si>
  <si>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</si>
  <si>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</si>
  <si>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</si>
  <si>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</si>
  <si>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</si>
  <si>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</si>
  <si>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</si>
  <si>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</si>
  <si>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</si>
  <si>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砖混</t>
  </si>
  <si>
    <t>1000米以外</t>
  </si>
  <si>
    <t>与级别开发程度一致</t>
  </si>
  <si>
    <t>剩余土地使用年限（设定）</t>
  </si>
  <si>
    <t>设定容积率</t>
  </si>
  <si>
    <t>较好</t>
  </si>
  <si>
    <t>好</t>
  </si>
  <si>
    <t>郊区</t>
  </si>
  <si>
    <t>七通一平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</si>
</sst>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05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05"/>
      <c r="B19" s="1805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05"/>
      <c r="B24" s="1805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05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05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05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05"/>
      <c r="B36" s="1805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29" sqref="F29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117.77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六级</v>
      </c>
      <c r="H2" s="715" t="s">
        <v>1349</v>
      </c>
      <c r="I2" s="1311" t="s">
        <v>1790</v>
      </c>
      <c r="J2" s="717"/>
      <c r="AE2" s="712"/>
      <c r="AF2" s="712"/>
    </row>
    <row r="3" spans="1:36" ht="24">
      <c r="A3" s="668" t="s">
        <v>911</v>
      </c>
      <c r="B3" s="1398">
        <f>C18</f>
        <v>4214</v>
      </c>
      <c r="C3" s="713" t="s">
        <v>912</v>
      </c>
      <c r="D3" s="714" t="s">
        <v>252</v>
      </c>
      <c r="E3" s="718" t="s">
        <v>1791</v>
      </c>
      <c r="F3" s="1459" t="s">
        <v>1797</v>
      </c>
      <c r="G3" s="238">
        <f>IF(F3="容积率",主表!B8,主表!B9)</f>
        <v>2.5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1563</v>
      </c>
      <c r="B4" s="616">
        <f>C20</f>
        <v>939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>
        <f>C22</f>
        <v>563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1440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>
        <f>(190+430)/2</f>
        <v>310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2.8172999999999999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40078</v>
      </c>
      <c r="I9" s="1517">
        <f>ROUND(SUMPRODUCT((地价!A36:A86=YEAR(H9)&amp;"-"&amp;ROUNDUP(MONTH(H9)/3,0))*(地价!B3:F3=E2)*(地价!B36:F86)),0)</f>
        <v>293</v>
      </c>
      <c r="J9" s="770"/>
      <c r="AE9" s="712"/>
      <c r="AF9" s="712"/>
    </row>
    <row r="10" spans="1:36" ht="24.6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 t="s">
        <v>1796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>
        <f>IF(E2="工业",1,IF(G3&gt;10,D14,IF(D11="郊区",D13,D12)))</f>
        <v>0.94699999999999995</v>
      </c>
      <c r="D11" s="1487" t="s">
        <v>1800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>
        <f>IF(E12=G12,F12,IF(G3&lt;=10,ROUND(F12+(H12-F12)*(G3-E12)/(G12-E12),4),"——"))</f>
        <v>0.94699999999999995</v>
      </c>
      <c r="E12" s="1478">
        <f>ROUNDDOWN(G3,1)</f>
        <v>2.5</v>
      </c>
      <c r="F12" s="1479">
        <f>IF(G3&lt;=10,SUMPRODUCT(('2002容积率修正'!A3:A102=E12)*('2002容积率修正'!B2:D2=E2)*('2002容积率修正'!B3:D102)),"——")</f>
        <v>0.94699999999999995</v>
      </c>
      <c r="G12" s="1477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>
        <f>IF(E12=G12,F12,IF(G3&lt;=10,ROUND(F12+(H12-F12)*(G3-E12)/(G12-E12),4),"——"))</f>
        <v>0.94699999999999995</v>
      </c>
      <c r="E13" s="1478">
        <f>ROUNDDOWN(G3,1)</f>
        <v>2.5</v>
      </c>
      <c r="F13" s="1479">
        <f>IF(G3&lt;=10,SUMPRODUCT(('2002容积率修正'!A3:A102=E13)*('2002容积率修正'!E2:G2=E2)*('2002容积率修正'!E3:G102)),"——")</f>
        <v>0.80500000000000005</v>
      </c>
      <c r="G13" s="1477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1.0753999999999999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>
        <v>1.02</v>
      </c>
      <c r="D16" s="1525" t="s">
        <v>1335</v>
      </c>
      <c r="E16" s="1482" t="s">
        <v>924</v>
      </c>
      <c r="F16" s="1483" t="s">
        <v>1801</v>
      </c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1336</v>
      </c>
      <c r="B18" s="761" t="s">
        <v>1323</v>
      </c>
      <c r="C18" s="629">
        <f>ROUND(C7*C9*C10*C11*C15*C16,0)</f>
        <v>4214</v>
      </c>
      <c r="D18" s="630">
        <f>H1</f>
        <v>117.77</v>
      </c>
      <c r="E18" s="631">
        <f>ROUND(C18*D18,0)</f>
        <v>496283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1326</v>
      </c>
      <c r="C19" s="621">
        <f>ROUND(C7*C9*C10*C11*C15*C16*G3,0)</f>
        <v>10536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1337</v>
      </c>
      <c r="B20" s="748" t="s">
        <v>1324</v>
      </c>
      <c r="C20" s="635">
        <f>ROUND(IF(G3&gt;=I3,C8*C9*C10*C15,C8*C9*C10*C15*G3),0)</f>
        <v>939</v>
      </c>
      <c r="D20" s="636">
        <f>H1</f>
        <v>117.77</v>
      </c>
      <c r="E20" s="637">
        <f>ROUND(C20*D20,0)</f>
        <v>110586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1325</v>
      </c>
      <c r="C21" s="638">
        <f>ROUND(IF(G3&lt;I3,C8*C9*C10*C15,C8*C9*C10*C15*G3),0)</f>
        <v>2348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>
        <f>ROUND(IF(D22="四环路内",C20*0.4,C20*0.6),0)</f>
        <v>563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31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 hidden="1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 hidden="1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 hidden="1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 hidden="1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 hidden="1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 hidden="1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 hidden="1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 hidden="1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hidden="1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1.0753999999999999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1798</v>
      </c>
      <c r="D60" s="490">
        <f t="shared" ref="D60:D67" si="7">SUMIF($F$59:$J$59,C60,F60:J60)</f>
        <v>1.2999999999999999E-2</v>
      </c>
      <c r="E60" s="253">
        <f>SUM(D60:D67)</f>
        <v>7.5399999999999995E-2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1798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 t="s">
        <v>1798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1798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 t="s">
        <v>1798</v>
      </c>
      <c r="D67" s="490">
        <f t="shared" si="7"/>
        <v>1.2999999999999999E-2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45" t="s">
        <v>1422</v>
      </c>
      <c r="E2" s="1835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6"/>
      <c r="E3" s="1836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7"/>
      <c r="E5" s="1837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45" t="s">
        <v>1423</v>
      </c>
      <c r="E6" s="1835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六类</v>
      </c>
      <c r="C7" s="703"/>
      <c r="D7" s="1846"/>
      <c r="E7" s="1836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7"/>
      <c r="E8" s="1837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117.77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45" t="s">
        <v>1401</v>
      </c>
      <c r="E10" s="1835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8"/>
      <c r="E11" s="1838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0.89219999999999999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44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1336</v>
      </c>
      <c r="B27" s="761" t="s">
        <v>1323</v>
      </c>
      <c r="C27" s="621" t="e">
        <f>ROUND(C28/B11,0)</f>
        <v>#DIV/0!</v>
      </c>
      <c r="D27" s="630">
        <f>B9</f>
        <v>117.77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1449</v>
      </c>
      <c r="B29" s="748" t="s">
        <v>1450</v>
      </c>
      <c r="C29" s="635" t="e">
        <f>ROUND(C30/B11,0)</f>
        <v>#DIV/0!</v>
      </c>
      <c r="D29" s="636">
        <f>B9</f>
        <v>117.77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61" t="s">
        <v>90</v>
      </c>
      <c r="D4" s="1862"/>
      <c r="E4" s="1863" t="s">
        <v>91</v>
      </c>
      <c r="F4" s="1864"/>
      <c r="G4" s="1861" t="s">
        <v>92</v>
      </c>
      <c r="H4" s="1862"/>
      <c r="I4" s="1861" t="s">
        <v>93</v>
      </c>
      <c r="J4" s="1862"/>
      <c r="K4" s="142" t="s">
        <v>94</v>
      </c>
      <c r="L4" s="448"/>
      <c r="M4" s="449"/>
      <c r="N4" s="449"/>
      <c r="O4" s="449"/>
      <c r="P4" s="1865" t="s">
        <v>95</v>
      </c>
      <c r="Q4" s="1866"/>
      <c r="R4" s="1871" t="s">
        <v>91</v>
      </c>
      <c r="S4" s="1872"/>
      <c r="T4" s="1871" t="s">
        <v>92</v>
      </c>
      <c r="U4" s="1872"/>
      <c r="V4" s="1877" t="s">
        <v>93</v>
      </c>
      <c r="W4" s="1877"/>
      <c r="X4" s="201"/>
      <c r="Y4" s="1871" t="s">
        <v>95</v>
      </c>
      <c r="Z4" s="1872"/>
      <c r="AA4" s="1858" t="s">
        <v>91</v>
      </c>
      <c r="AB4" s="1859" t="s">
        <v>92</v>
      </c>
      <c r="AC4" s="1858" t="s">
        <v>93</v>
      </c>
    </row>
    <row r="5" spans="1:30" ht="14.4">
      <c r="A5" s="41"/>
      <c r="B5" s="42"/>
      <c r="C5" s="1854" t="s">
        <v>226</v>
      </c>
      <c r="D5" s="1855"/>
      <c r="E5" s="1878" t="s">
        <v>227</v>
      </c>
      <c r="F5" s="1879"/>
      <c r="G5" s="1854" t="s">
        <v>230</v>
      </c>
      <c r="H5" s="1855"/>
      <c r="I5" s="1854" t="s">
        <v>228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229</v>
      </c>
      <c r="D6" s="1852"/>
      <c r="E6" s="1849" t="s">
        <v>229</v>
      </c>
      <c r="F6" s="1850"/>
      <c r="G6" s="1851" t="s">
        <v>229</v>
      </c>
      <c r="H6" s="1852"/>
      <c r="I6" s="1851" t="s">
        <v>229</v>
      </c>
      <c r="J6" s="1852"/>
      <c r="K6" s="142" t="s">
        <v>96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97</v>
      </c>
      <c r="B7" s="46"/>
      <c r="C7" s="1344">
        <f>主表!B4</f>
        <v>40078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98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98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124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124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六级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2009-9-1</v>
      </c>
      <c r="D56" s="1533">
        <f>EDATE(C56,-3)</f>
        <v>39965</v>
      </c>
      <c r="E56" s="1533">
        <f t="shared" ref="E56:O56" si="15">EDATE(D56,-3)</f>
        <v>39873</v>
      </c>
      <c r="F56" s="1533">
        <f t="shared" si="15"/>
        <v>39783</v>
      </c>
      <c r="G56" s="1533">
        <f t="shared" si="15"/>
        <v>39692</v>
      </c>
      <c r="H56" s="1533">
        <f t="shared" si="15"/>
        <v>39600</v>
      </c>
      <c r="I56" s="1533">
        <f t="shared" si="15"/>
        <v>39508</v>
      </c>
      <c r="J56" s="1533">
        <f t="shared" si="15"/>
        <v>39417</v>
      </c>
      <c r="K56" s="1533">
        <f t="shared" si="15"/>
        <v>39326</v>
      </c>
      <c r="L56" s="1533">
        <f t="shared" si="15"/>
        <v>39234</v>
      </c>
      <c r="M56" s="1533">
        <f t="shared" si="15"/>
        <v>39142</v>
      </c>
      <c r="N56" s="1533">
        <f t="shared" si="15"/>
        <v>39052</v>
      </c>
      <c r="O56" s="1533">
        <f t="shared" si="15"/>
        <v>38961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2009-3</v>
      </c>
      <c r="D58" s="1532" t="str">
        <f t="shared" ref="D58:O58" si="16">YEAR(D56)&amp;"-"&amp;ROUNDUP(MONTH(D56)/3,0)</f>
        <v>2009-2</v>
      </c>
      <c r="E58" s="1532" t="str">
        <f t="shared" si="16"/>
        <v>2009-1</v>
      </c>
      <c r="F58" s="1532" t="str">
        <f t="shared" si="16"/>
        <v>2008-4</v>
      </c>
      <c r="G58" s="1532" t="str">
        <f t="shared" si="16"/>
        <v>2008-3</v>
      </c>
      <c r="H58" s="1532" t="str">
        <f t="shared" si="16"/>
        <v>2008-2</v>
      </c>
      <c r="I58" s="1532" t="str">
        <f t="shared" si="16"/>
        <v>2008-1</v>
      </c>
      <c r="J58" s="1532" t="str">
        <f t="shared" si="16"/>
        <v>2007-4</v>
      </c>
      <c r="K58" s="1532" t="str">
        <f t="shared" si="16"/>
        <v>2007-3</v>
      </c>
      <c r="L58" s="1532" t="str">
        <f t="shared" si="16"/>
        <v>2007-2</v>
      </c>
      <c r="M58" s="1532" t="str">
        <f t="shared" si="16"/>
        <v>2007-1</v>
      </c>
      <c r="N58" s="1532" t="str">
        <f t="shared" si="16"/>
        <v>2006-4</v>
      </c>
      <c r="O58" s="1532" t="str">
        <f t="shared" si="16"/>
        <v>2006-3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40078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5.3099999999999994E-2</v>
      </c>
      <c r="H1" s="970" t="s">
        <v>1506</v>
      </c>
      <c r="I1" s="971">
        <f ca="1">SUMIF(F4:F8,E1,G4:G8)/100</f>
        <v>2.2499999999999999E-2</v>
      </c>
      <c r="J1" s="1138">
        <f>IF(C1&gt;C14,0,MATCH(C1,C$14:C$68,-1))+IF(SUMIF(C14:C68,C1,D14:D68)=0,14,13)</f>
        <v>36</v>
      </c>
      <c r="K1" s="1138">
        <f ca="1">MATCH(E1,C4:C8,1)+IF(SUMIF(C4:C8,E1,D4:D8)=0,3,2)</f>
        <v>5</v>
      </c>
      <c r="L1" s="1138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40078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5.3099999999999994E-2</v>
      </c>
      <c r="H2" s="970" t="s">
        <v>1506</v>
      </c>
      <c r="I2" s="971">
        <f ca="1">SUMIF(F4:F8,E2,G4:G8)/100</f>
        <v>2.2499999999999999E-2</v>
      </c>
      <c r="J2" s="1138">
        <f>IF(C2&gt;C14,0,MATCH(C2,C$14:C$68,-1))+IF(SUMIF(C14:C68,C2,D14:D68)=0,14,13)</f>
        <v>36</v>
      </c>
      <c r="K2" s="1138">
        <f ca="1">MATCH(E2,C4:C8,1)+IF(SUMIF(C4:C8,E2,D4:D8)=0,3,2)</f>
        <v>5</v>
      </c>
      <c r="L2" s="1138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5.4000000000000006E-2</v>
      </c>
      <c r="H3" s="1019" t="s">
        <v>1506</v>
      </c>
      <c r="I3" s="1020">
        <f ca="1">SUMIF(F4:F8,E3,H4:H8)/100</f>
        <v>3.3300000000000003E-2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4.8600000000000003</v>
      </c>
      <c r="E4" s="1004">
        <f ca="1">INDIRECT("d"&amp;$J$2)</f>
        <v>4.8600000000000003</v>
      </c>
      <c r="F4" s="1005">
        <v>0.5</v>
      </c>
      <c r="G4" s="1006">
        <f ca="1">INDIRECT("p"&amp;$L$1)</f>
        <v>1.98</v>
      </c>
      <c r="H4" s="1006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7">
        <f ca="1">INDIRECT("r"&amp;$L$1)</f>
        <v>2.79</v>
      </c>
      <c r="H6" s="1007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7">
        <f ca="1">INDIRECT("s"&amp;$L$1)</f>
        <v>3.33</v>
      </c>
      <c r="H7" s="1007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0" t="s">
        <v>1636</v>
      </c>
      <c r="O2" s="1890"/>
      <c r="P2" s="1890"/>
      <c r="Q2" s="1890"/>
      <c r="S2" s="1890" t="s">
        <v>1637</v>
      </c>
      <c r="T2" s="1890"/>
      <c r="U2" s="1890"/>
      <c r="V2" s="1890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17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31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117.77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40078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117.77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83" t="s">
        <v>1351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4.4">
      <c r="A3" s="1784" t="s">
        <v>1352</v>
      </c>
      <c r="B3" s="1785"/>
      <c r="C3" s="1786"/>
      <c r="D3" s="1787" t="s">
        <v>1353</v>
      </c>
      <c r="E3" s="1785"/>
      <c r="F3" s="1785"/>
      <c r="G3" s="1788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89" t="s">
        <v>1354</v>
      </c>
      <c r="E4" s="1781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90" t="s">
        <v>1358</v>
      </c>
      <c r="B5" s="1775">
        <f>主表!F5</f>
        <v>3651</v>
      </c>
      <c r="C5" s="1791" t="s">
        <v>1359</v>
      </c>
      <c r="D5" s="1781" t="s">
        <v>1360</v>
      </c>
      <c r="E5" s="1782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90"/>
      <c r="B6" s="1775"/>
      <c r="C6" s="1791"/>
      <c r="D6" s="179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90"/>
      <c r="B7" s="1775"/>
      <c r="C7" s="1791"/>
      <c r="D7" s="179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90"/>
      <c r="B8" s="1775"/>
      <c r="C8" s="1791"/>
      <c r="D8" s="1777" t="s">
        <v>1382</v>
      </c>
      <c r="E8" s="1778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90"/>
      <c r="B9" s="1775"/>
      <c r="C9" s="1791"/>
      <c r="D9" s="1777" t="s">
        <v>1383</v>
      </c>
      <c r="E9" s="1778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90"/>
      <c r="B10" s="1775"/>
      <c r="C10" s="1791"/>
      <c r="D10" s="1777" t="s">
        <v>1384</v>
      </c>
      <c r="E10" s="1778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81" t="s">
        <v>1365</v>
      </c>
      <c r="E11" s="1782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194</v>
      </c>
      <c r="C12" s="1299" t="str">
        <f ca="1">"前期开发期为"&amp;主表!B24&amp;"年，贷款利率为"&amp;TEXT(主表!G9,"0.00%")&amp;"，"&amp;主表!H9</f>
        <v>前期开发期为1年，贷款利率为5.31%，计息期为1年，复利计息</v>
      </c>
      <c r="D12" s="1781" t="s">
        <v>1367</v>
      </c>
      <c r="E12" s="1782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房屋建设期为1年，贷款利率为5.31%，计息期为1年，复利计息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81" t="s">
        <v>1368</v>
      </c>
      <c r="E13" s="1782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3845</v>
      </c>
      <c r="C14" s="1299" t="s">
        <v>1370</v>
      </c>
      <c r="D14" s="1781" t="s">
        <v>1369</v>
      </c>
      <c r="E14" s="1782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5">
        <f ca="1">主表!F24</f>
        <v>3845</v>
      </c>
      <c r="C15" s="1776"/>
      <c r="D15" s="1777" t="s">
        <v>1372</v>
      </c>
      <c r="E15" s="1778"/>
      <c r="F15" s="1778"/>
      <c r="G15" s="1779"/>
      <c r="H15" s="1743"/>
      <c r="I15" s="1742"/>
      <c r="X15" s="221"/>
      <c r="AG15" s="189"/>
    </row>
    <row r="16" spans="1:33" ht="29.4" thickBot="1">
      <c r="A16" s="1292" t="s">
        <v>1373</v>
      </c>
      <c r="B16" s="1775">
        <f ca="1">主表!F25</f>
        <v>45.282600000000002</v>
      </c>
      <c r="C16" s="1776"/>
      <c r="D16" s="1777" t="s">
        <v>1374</v>
      </c>
      <c r="E16" s="1778"/>
      <c r="F16" s="1778"/>
      <c r="G16" s="1779"/>
      <c r="H16" s="1301" t="str">
        <f ca="1">NUMBERSTRING(INT(B16*10000),2)&amp;"元整"</f>
        <v>肆拾伍万贰仟捌佰贰拾陆元整</v>
      </c>
      <c r="I16" s="1302"/>
      <c r="X16" s="221"/>
      <c r="AG16" s="189"/>
    </row>
    <row r="17" spans="1:33" ht="14.4">
      <c r="A17" s="1292" t="s">
        <v>1375</v>
      </c>
      <c r="B17" s="1780">
        <f>主表!F33</f>
        <v>0</v>
      </c>
      <c r="C17" s="1776"/>
      <c r="D17" s="1777" t="s">
        <v>1376</v>
      </c>
      <c r="E17" s="1778"/>
      <c r="F17" s="1778"/>
      <c r="G17" s="1779"/>
      <c r="H17" s="1743"/>
      <c r="I17" s="1742"/>
      <c r="X17" s="221"/>
      <c r="AG17" s="189"/>
    </row>
    <row r="18" spans="1:33" ht="29.4" thickBot="1">
      <c r="A18" s="1292" t="s">
        <v>1377</v>
      </c>
      <c r="B18" s="1775">
        <f ca="1">主表!F35</f>
        <v>0</v>
      </c>
      <c r="C18" s="1776"/>
      <c r="D18" s="1777" t="s">
        <v>1378</v>
      </c>
      <c r="E18" s="1778"/>
      <c r="F18" s="1778"/>
      <c r="G18" s="1779"/>
      <c r="H18" s="1743"/>
      <c r="I18" s="1742"/>
      <c r="X18" s="221"/>
      <c r="AG18" s="189"/>
    </row>
    <row r="19" spans="1:33" ht="29.4" thickBot="1">
      <c r="A19" s="1300" t="s">
        <v>1379</v>
      </c>
      <c r="B19" s="1770">
        <f ca="1">主表!F36</f>
        <v>0</v>
      </c>
      <c r="C19" s="1771"/>
      <c r="D19" s="1772" t="s">
        <v>1380</v>
      </c>
      <c r="E19" s="1773"/>
      <c r="F19" s="1773"/>
      <c r="G19" s="1774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C13" sqref="C13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50</v>
      </c>
    </row>
    <row r="3" spans="1:18" ht="15.75" customHeight="1">
      <c r="A3" s="1179" t="s">
        <v>1773</v>
      </c>
      <c r="B3" s="1565">
        <v>40078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24</v>
      </c>
    </row>
    <row r="4" spans="1:18" ht="15.75" customHeight="1">
      <c r="A4" s="1191" t="s">
        <v>1774</v>
      </c>
      <c r="B4" s="1565">
        <f>B3</f>
        <v>40078</v>
      </c>
      <c r="C4" s="1164"/>
      <c r="D4" s="1171" t="s">
        <v>1274</v>
      </c>
      <c r="E4" s="1172" t="s">
        <v>1567</v>
      </c>
      <c r="F4" s="1173">
        <f ca="1">F5+F8+F9+F10</f>
        <v>3845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0.02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>IF(B4&lt;DATE(2002,12,10),F6,F6-F7)</f>
        <v>3651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>IF(B4&lt;DATE(2002,12,10),'1993基准地价'!B3,IF(B4&gt;=DATE(2014,8,28),'2014基准地价'!B3,'2002基准地价'!B3))</f>
        <v>4214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117.77</v>
      </c>
      <c r="C7" s="1164"/>
      <c r="D7" s="1183" t="s">
        <v>1267</v>
      </c>
      <c r="E7" s="1179" t="s">
        <v>1223</v>
      </c>
      <c r="F7" s="1021">
        <f>IF(B4&lt;DATE(2002,12,10),'1993基准地价'!C14,IF(B4&gt;=DATE(2014,8,28),'2014基准地价'!B4,IF(H7="采用比较法计算",比较法!B3,IF(H7="扣毛地价",'2002基准地价'!B4,'2002基准地价'!B5))))</f>
        <v>563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2.5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194</v>
      </c>
      <c r="G9" s="1194">
        <f ca="1">存贷款利率!G2</f>
        <v>5.3099999999999994E-2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33</v>
      </c>
      <c r="C10" s="1164"/>
      <c r="D10" s="1198">
        <v>4</v>
      </c>
      <c r="E10" s="1199" t="s">
        <v>1227</v>
      </c>
      <c r="F10" s="1200">
        <f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395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/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44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>IF(B4&lt;DATE(2002,12,10),'1993基准地价'!C23,IF(B4&gt;=DATE(2014,8,28),'2014基准地价'!G20,'2002基准地价'!E10))</f>
        <v>0.04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>IF(ISERROR(ROUND(POWER(1+B17,B13-B15)*(POWER(1+B17,B15)-1)/(POWER(1+B17,B13)-1),3)),0,ROUND(POWER(1+B17,B13-B15)*(POWER(1+B17,B15)-1)/(POWER(1+B17,B13)-1),3))</f>
        <v>0.878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1793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5.3099999999999994E-2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1985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3845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45.282600000000002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0.53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0.45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0.35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22" sqref="C22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117.77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0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六级</v>
      </c>
      <c r="H2" s="811" t="s">
        <v>910</v>
      </c>
      <c r="I2" s="665" t="str">
        <f>主表!B11</f>
        <v>Ⅵ-08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0</v>
      </c>
      <c r="C3" s="667" t="s">
        <v>912</v>
      </c>
      <c r="D3" s="714" t="s">
        <v>252</v>
      </c>
      <c r="E3" s="718" t="s">
        <v>1791</v>
      </c>
      <c r="F3" s="1459" t="s">
        <v>1797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10970</v>
      </c>
      <c r="D5" s="1540">
        <f>ROUND(C6+C16,0)</f>
        <v>10970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10970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10970</v>
      </c>
      <c r="N6" s="438">
        <f>SUMPRODUCT(('2014因素修正幅度'!B110:B157=I2)*('2014因素修正幅度'!C3:F3=E2)*('2014因素修正幅度'!C110:F157))</f>
        <v>0.129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25</v>
      </c>
      <c r="D14" s="795" t="s">
        <v>25</v>
      </c>
      <c r="E14" s="795" t="s">
        <v>25</v>
      </c>
      <c r="F14" s="848" t="s">
        <v>1794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20" t="s">
        <v>926</v>
      </c>
      <c r="E16" s="1821"/>
      <c r="F16" s="1820" t="s">
        <v>924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5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1795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17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0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40078</v>
      </c>
      <c r="I19" s="1507">
        <f>ROUND(SUMPRODUCT((地价!A5:A38=YEAR(H19)&amp;"-"&amp;ROUNDUP(MONTH(H19)/3,0))*(地价!B3:F3=E2)*(地价!B5:F38)),0)</f>
        <v>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5.3099999999999994E-2</v>
      </c>
      <c r="F20" s="1465" t="s">
        <v>934</v>
      </c>
      <c r="G20" s="1469">
        <f ca="1">SUMIF(P18:S18,E2,P20:S20)</f>
        <v>6.0999999999999999E-2</v>
      </c>
      <c r="H20" s="1470" t="s">
        <v>1796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1.0297000000000001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0</v>
      </c>
      <c r="D29" s="607">
        <f>主表!B7</f>
        <v>117.77</v>
      </c>
      <c r="E29" s="397">
        <f ca="1">ROUND(C29*D29,0)</f>
        <v>0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1737</v>
      </c>
      <c r="B33" s="912" t="s">
        <v>280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281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282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283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6.0999999999999999E-2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1.0297000000000001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9.0300000000000016E-3</v>
      </c>
      <c r="E70" s="253">
        <f>ROUND(SUM(D70:D78),4)</f>
        <v>2.9700000000000001E-2</v>
      </c>
      <c r="F70" s="937">
        <f>IF(E2="住宅/居住",SUMIF(L1:L12,G2,N1:N12),"——")</f>
        <v>0.129</v>
      </c>
      <c r="G70" s="491">
        <v>9.0300000000000016E-3</v>
      </c>
      <c r="H70" s="494">
        <f t="shared" ref="H70:H78" si="15">IFERROR($F$70*I70/2,"——")</f>
        <v>9.0300000000000016E-3</v>
      </c>
      <c r="I70" s="252">
        <v>0.14000000000000001</v>
      </c>
      <c r="J70" s="492">
        <f t="shared" ref="J70:J78" si="16">K70+$G70</f>
        <v>1.8060000000000003E-2</v>
      </c>
      <c r="K70" s="492">
        <f t="shared" ref="K70:K78" si="17">$L70+$G70</f>
        <v>9.0300000000000016E-3</v>
      </c>
      <c r="L70" s="492">
        <v>0</v>
      </c>
      <c r="M70" s="492">
        <f t="shared" ref="M70:N78" si="18">L70-$G70</f>
        <v>-9.0300000000000016E-3</v>
      </c>
      <c r="N70" s="492">
        <f t="shared" si="18"/>
        <v>-1.8060000000000003E-2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1.9349999999999999E-2</v>
      </c>
      <c r="H71" s="494">
        <f t="shared" si="15"/>
        <v>1.9349999999999999E-2</v>
      </c>
      <c r="I71" s="252">
        <v>0.3</v>
      </c>
      <c r="J71" s="492">
        <f t="shared" si="16"/>
        <v>3.8699999999999998E-2</v>
      </c>
      <c r="K71" s="492">
        <f t="shared" si="17"/>
        <v>1.9349999999999999E-2</v>
      </c>
      <c r="L71" s="492">
        <v>0</v>
      </c>
      <c r="M71" s="492">
        <f t="shared" si="18"/>
        <v>-1.9349999999999999E-2</v>
      </c>
      <c r="N71" s="492">
        <f t="shared" si="18"/>
        <v>-3.8699999999999998E-2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5.1600000000000005E-3</v>
      </c>
      <c r="E72" s="263"/>
      <c r="F72" s="938"/>
      <c r="G72" s="491">
        <v>5.1600000000000005E-3</v>
      </c>
      <c r="H72" s="494">
        <f t="shared" si="15"/>
        <v>5.1600000000000005E-3</v>
      </c>
      <c r="I72" s="252">
        <v>0.08</v>
      </c>
      <c r="J72" s="492">
        <f t="shared" si="16"/>
        <v>1.0320000000000001E-2</v>
      </c>
      <c r="K72" s="492">
        <f t="shared" si="17"/>
        <v>5.1600000000000005E-3</v>
      </c>
      <c r="L72" s="492">
        <v>0</v>
      </c>
      <c r="M72" s="492">
        <f t="shared" si="18"/>
        <v>-5.1600000000000005E-3</v>
      </c>
      <c r="N72" s="492">
        <f t="shared" si="18"/>
        <v>-1.0320000000000001E-2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2.5800000000000003E-3</v>
      </c>
      <c r="H73" s="494">
        <f t="shared" si="15"/>
        <v>2.5800000000000003E-3</v>
      </c>
      <c r="I73" s="252">
        <v>0.04</v>
      </c>
      <c r="J73" s="492">
        <f t="shared" si="16"/>
        <v>5.1600000000000005E-3</v>
      </c>
      <c r="K73" s="492">
        <f t="shared" si="17"/>
        <v>2.5800000000000003E-3</v>
      </c>
      <c r="L73" s="492">
        <v>0</v>
      </c>
      <c r="M73" s="492">
        <f t="shared" si="18"/>
        <v>-2.5800000000000003E-3</v>
      </c>
      <c r="N73" s="492">
        <f t="shared" si="18"/>
        <v>-5.1600000000000005E-3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5.1600000000000005E-3</v>
      </c>
      <c r="H74" s="494">
        <f t="shared" si="15"/>
        <v>5.1600000000000005E-3</v>
      </c>
      <c r="I74" s="252">
        <v>0.08</v>
      </c>
      <c r="J74" s="492">
        <f t="shared" si="16"/>
        <v>1.0320000000000001E-2</v>
      </c>
      <c r="K74" s="492">
        <f t="shared" si="17"/>
        <v>5.1600000000000005E-3</v>
      </c>
      <c r="L74" s="492">
        <v>0</v>
      </c>
      <c r="M74" s="492">
        <f t="shared" si="18"/>
        <v>-5.1600000000000005E-3</v>
      </c>
      <c r="N74" s="492">
        <f t="shared" si="18"/>
        <v>-1.0320000000000001E-2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1.5480000000000001E-2</v>
      </c>
      <c r="E75" s="263"/>
      <c r="F75" s="938"/>
      <c r="G75" s="491">
        <v>7.7400000000000004E-3</v>
      </c>
      <c r="H75" s="494">
        <f t="shared" si="15"/>
        <v>7.7400000000000004E-3</v>
      </c>
      <c r="I75" s="252">
        <v>0.12</v>
      </c>
      <c r="J75" s="492">
        <f t="shared" si="16"/>
        <v>1.5480000000000001E-2</v>
      </c>
      <c r="K75" s="492">
        <f t="shared" si="17"/>
        <v>7.7400000000000004E-3</v>
      </c>
      <c r="L75" s="492">
        <v>0</v>
      </c>
      <c r="M75" s="492">
        <f t="shared" si="18"/>
        <v>-7.7400000000000004E-3</v>
      </c>
      <c r="N75" s="492">
        <f t="shared" si="18"/>
        <v>-1.5480000000000001E-2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3.2250000000000004E-3</v>
      </c>
      <c r="H76" s="494">
        <f t="shared" si="15"/>
        <v>3.2250000000000004E-3</v>
      </c>
      <c r="I76" s="252">
        <v>0.05</v>
      </c>
      <c r="J76" s="492">
        <f t="shared" si="16"/>
        <v>6.4500000000000009E-3</v>
      </c>
      <c r="K76" s="492">
        <f t="shared" si="17"/>
        <v>3.2250000000000004E-3</v>
      </c>
      <c r="L76" s="492">
        <v>0</v>
      </c>
      <c r="M76" s="492">
        <f t="shared" si="18"/>
        <v>-3.2250000000000004E-3</v>
      </c>
      <c r="N76" s="492">
        <f t="shared" si="18"/>
        <v>-6.4500000000000009E-3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15</v>
      </c>
      <c r="D77" s="490">
        <f t="shared" si="14"/>
        <v>0</v>
      </c>
      <c r="E77" s="263"/>
      <c r="F77" s="938"/>
      <c r="G77" s="491">
        <v>9.6749999999999996E-3</v>
      </c>
      <c r="H77" s="494">
        <f t="shared" si="15"/>
        <v>9.6749999999999996E-3</v>
      </c>
      <c r="I77" s="252">
        <v>0.15</v>
      </c>
      <c r="J77" s="492">
        <f t="shared" si="16"/>
        <v>1.9349999999999999E-2</v>
      </c>
      <c r="K77" s="492">
        <f t="shared" si="17"/>
        <v>9.6749999999999996E-3</v>
      </c>
      <c r="L77" s="492">
        <v>0</v>
      </c>
      <c r="M77" s="492">
        <f t="shared" si="18"/>
        <v>-9.6749999999999996E-3</v>
      </c>
      <c r="N77" s="492">
        <f t="shared" si="18"/>
        <v>-1.9349999999999999E-2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15</v>
      </c>
      <c r="D78" s="490">
        <f t="shared" si="14"/>
        <v>0</v>
      </c>
      <c r="E78" s="264"/>
      <c r="F78" s="938"/>
      <c r="G78" s="491">
        <v>2.5800000000000003E-3</v>
      </c>
      <c r="H78" s="494">
        <f t="shared" si="15"/>
        <v>2.5800000000000003E-3</v>
      </c>
      <c r="I78" s="260">
        <v>0.04</v>
      </c>
      <c r="J78" s="492">
        <f t="shared" si="16"/>
        <v>5.1600000000000005E-3</v>
      </c>
      <c r="K78" s="492">
        <f t="shared" si="17"/>
        <v>2.5800000000000003E-3</v>
      </c>
      <c r="L78" s="492">
        <v>0</v>
      </c>
      <c r="M78" s="492">
        <f t="shared" si="18"/>
        <v>-2.5800000000000003E-3</v>
      </c>
      <c r="N78" s="492">
        <f t="shared" si="18"/>
        <v>-5.1600000000000005E-3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1157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1158</v>
      </c>
      <c r="B92" s="1805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06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07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07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07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07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07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07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07"/>
      <c r="B109" s="1809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04" t="s">
        <v>1173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0.8548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983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287</v>
      </c>
      <c r="B1" s="1823"/>
      <c r="C1" s="1823"/>
      <c r="D1" s="1823"/>
      <c r="E1" s="1823"/>
      <c r="F1" s="1823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4" t="s">
        <v>300</v>
      </c>
      <c r="B2" s="1824"/>
      <c r="C2" s="1824"/>
      <c r="D2" s="1824"/>
      <c r="E2" s="1824"/>
      <c r="F2" s="1824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5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6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10970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2025-11-25T08:15:37Z</dcterms:modified>
</cp:coreProperties>
</file>