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66325 15-1+5-1\2025-1-0786北京市昌平区昌平镇昌盛园一区14号楼5单元5层502\"/>
    </mc:Choice>
  </mc:AlternateContent>
  <bookViews>
    <workbookView xWindow="0" yWindow="0" windowWidth="18948"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I33" i="21"/>
  <c r="G33" i="21"/>
  <c r="E33" i="21"/>
  <c r="C33" i="21"/>
  <c r="I47" i="21"/>
  <c r="G47" i="21"/>
  <c r="E47" i="21"/>
  <c r="I7" i="21"/>
  <c r="G7" i="21"/>
  <c r="E7" i="21"/>
  <c r="I6" i="21"/>
  <c r="G6" i="21"/>
  <c r="E6" i="21"/>
  <c r="G5" i="21"/>
  <c r="I5" i="21"/>
  <c r="E5" i="21"/>
  <c r="N20" i="1"/>
  <c r="N59" i="21" l="1"/>
  <c r="M59" i="21"/>
  <c r="J59" i="21"/>
  <c r="G59" i="21"/>
  <c r="D90" i="21" l="1"/>
  <c r="D5" i="9" l="1"/>
  <c r="E90" i="21"/>
  <c r="I12" i="21" l="1"/>
  <c r="G12" i="21"/>
  <c r="C37" i="21" l="1"/>
  <c r="I37" i="21" l="1"/>
  <c r="G37" i="21"/>
  <c r="E37" i="21"/>
  <c r="K59" i="21"/>
  <c r="H59" i="21"/>
  <c r="C90" i="21"/>
  <c r="C126" i="21" l="1"/>
  <c r="B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2" i="68"/>
  <c r="F7" i="67"/>
  <c r="B10" i="76"/>
  <c r="E12" i="76"/>
  <c r="F4" i="73"/>
  <c r="F3" i="73"/>
  <c r="D35" i="9"/>
  <c r="E8" i="76"/>
  <c r="D34" i="9"/>
  <c r="M8" i="15"/>
  <c r="B8" i="76"/>
  <c r="E10" i="76"/>
  <c r="AO13" i="1"/>
  <c r="E2" i="69"/>
  <c r="B9" i="76"/>
  <c r="B11" i="76"/>
  <c r="B13" i="76"/>
  <c r="C76" i="67"/>
  <c r="M8" i="67"/>
  <c r="M23" i="67"/>
  <c r="E11" i="76"/>
  <c r="E13" i="76"/>
  <c r="M9" i="67"/>
  <c r="B7" i="76"/>
  <c r="F20" i="31"/>
  <c r="B12" i="76"/>
  <c r="E9" i="76"/>
  <c r="F7" i="73"/>
  <c r="M22" i="67"/>
  <c r="E7" i="76"/>
  <c r="F5" i="73"/>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8" i="15"/>
  <c r="M26" i="67"/>
  <c r="F40" i="15"/>
  <c r="M24" i="15"/>
  <c r="F43" i="67"/>
  <c r="M29" i="15"/>
  <c r="F38" i="67"/>
  <c r="M29" i="67"/>
  <c r="F42" i="15"/>
  <c r="F13" i="15"/>
  <c r="F36" i="67"/>
  <c r="M24" i="67"/>
  <c r="D7" i="73"/>
  <c r="F42" i="67"/>
  <c r="F36" i="15"/>
  <c r="C36" i="69"/>
  <c r="D3" i="73"/>
  <c r="F9" i="67"/>
  <c r="F6" i="67"/>
  <c r="M22" i="15"/>
  <c r="F6" i="15"/>
  <c r="F26" i="15"/>
  <c r="F37" i="67"/>
  <c r="C76" i="15"/>
  <c r="D6" i="73"/>
  <c r="L48" i="67"/>
  <c r="L48" i="15"/>
  <c r="F40" i="67"/>
  <c r="F8" i="15"/>
  <c r="F8" i="67"/>
  <c r="J15" i="67"/>
  <c r="L47" i="15"/>
  <c r="D5" i="73"/>
  <c r="F7" i="15"/>
  <c r="F43" i="15"/>
  <c r="F26" i="67"/>
  <c r="M6" i="67"/>
  <c r="M23" i="15"/>
  <c r="D9" i="69"/>
  <c r="F16" i="67"/>
  <c r="L47" i="67"/>
  <c r="D4" i="73"/>
  <c r="F9" i="15"/>
  <c r="F38" i="15"/>
  <c r="F37" i="15"/>
  <c r="M9" i="15"/>
  <c r="M6" i="15"/>
  <c r="M28" i="67"/>
  <c r="F13" i="67"/>
  <c r="J15" i="15"/>
  <c r="M26" i="15"/>
  <c r="F16" i="15"/>
  <c r="C77" i="9" l="1"/>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C16" i="67"/>
  <c r="F41" i="67"/>
  <c r="G1" i="73"/>
  <c r="F27" i="69"/>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AY297"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50" i="3"/>
  <c r="AY289" i="3"/>
  <c r="AY372" i="3"/>
  <c r="AY342" i="3"/>
  <c r="AY77" i="3"/>
  <c r="AY61" i="3"/>
  <c r="AY149" i="3"/>
  <c r="AY133" i="3"/>
  <c r="AY392" i="3"/>
  <c r="AY397" i="3"/>
  <c r="AY197" i="3"/>
  <c r="AY166" i="3"/>
  <c r="AY317" i="3"/>
  <c r="AY348" i="3"/>
  <c r="AY581" i="3"/>
  <c r="BQ6" i="3"/>
  <c r="AY171" i="3"/>
  <c r="AY90" i="3"/>
  <c r="AY311" i="3"/>
  <c r="AY481" i="3"/>
  <c r="AY178" i="3"/>
  <c r="AY146" i="3"/>
  <c r="AY57" i="3"/>
  <c r="AY40" i="3"/>
  <c r="AY422" i="3"/>
  <c r="AY435" i="3"/>
  <c r="AY81" i="3"/>
  <c r="AY49" i="3"/>
  <c r="AY229" i="3"/>
  <c r="AY212" i="3"/>
  <c r="AY52" i="3"/>
  <c r="AY20" i="3"/>
  <c r="AY227" i="3"/>
  <c r="AY368" i="3"/>
  <c r="AY275" i="3"/>
  <c r="AY483" i="3"/>
  <c r="AY536" i="3"/>
  <c r="AY584" i="3"/>
  <c r="AY80" i="3"/>
  <c r="AY194" i="3"/>
  <c r="AY251" i="3"/>
  <c r="AY266" i="3"/>
  <c r="AY313" i="3"/>
  <c r="AY487" i="3"/>
  <c r="AY410" i="3"/>
  <c r="AY407" i="3"/>
  <c r="AY565" i="3"/>
  <c r="AY509" i="3"/>
  <c r="AY94" i="3"/>
  <c r="AY35" i="3"/>
  <c r="AY280" i="3"/>
  <c r="AY232" i="3"/>
  <c r="AY469" i="3"/>
  <c r="AY466" i="3"/>
  <c r="AY512" i="3"/>
  <c r="AY86" i="3"/>
  <c r="AY159" i="3"/>
  <c r="AY277" i="3"/>
  <c r="AY354" i="3"/>
  <c r="AY323" i="3"/>
  <c r="AY550" i="3"/>
  <c r="AY504" i="3"/>
  <c r="AY235" i="3"/>
  <c r="AY352" i="3"/>
  <c r="AY431" i="3"/>
  <c r="AY399" i="3"/>
  <c r="AY110" i="3"/>
  <c r="AY140" i="3"/>
  <c r="AY482" i="3"/>
  <c r="AY13" i="3"/>
  <c r="AY136" i="3"/>
  <c r="AY288" i="3"/>
  <c r="AY413" i="3"/>
  <c r="AY64" i="3"/>
  <c r="AY361" i="3"/>
  <c r="AY320" i="3"/>
  <c r="AY538" i="3"/>
  <c r="AY522" i="3"/>
  <c r="AY19" i="3"/>
  <c r="AY265" i="3"/>
  <c r="AY500" i="3"/>
  <c r="AY107" i="3"/>
  <c r="AY240" i="3"/>
  <c r="AY38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AY566" i="3" l="1"/>
  <c r="AY62" i="3"/>
  <c r="AY22" i="3"/>
  <c r="AY205" i="3"/>
  <c r="AY27" i="3"/>
  <c r="AY560" i="3"/>
  <c r="AY167" i="3"/>
  <c r="AY99" i="3"/>
  <c r="AY453" i="3"/>
  <c r="AY329" i="3"/>
  <c r="AY129" i="3"/>
  <c r="AY519" i="3"/>
  <c r="AY572" i="3"/>
  <c r="AY286" i="3"/>
  <c r="AY573" i="3"/>
  <c r="AY350" i="3"/>
  <c r="AY508" i="3"/>
  <c r="AY356" i="3"/>
  <c r="AY222" i="3"/>
  <c r="AY89" i="3"/>
  <c r="AY425" i="3"/>
  <c r="AY495" i="3"/>
  <c r="AY462" i="3"/>
  <c r="AY242" i="3"/>
  <c r="AY109" i="3"/>
  <c r="AY247" i="3"/>
  <c r="AY190" i="3"/>
  <c r="AY533" i="3"/>
  <c r="AY441"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398" i="3"/>
  <c r="AY387" i="3"/>
  <c r="AY562" i="3"/>
  <c r="AY36" i="3"/>
  <c r="AY302" i="3"/>
  <c r="AY279" i="3"/>
  <c r="AY467" i="3"/>
  <c r="BN6" i="3"/>
  <c r="AY31" i="3"/>
  <c r="AY497" i="3"/>
  <c r="AY478" i="3"/>
  <c r="AY100" i="3"/>
  <c r="AY173" i="3"/>
  <c r="AY29" i="3"/>
  <c r="AY341" i="3"/>
  <c r="AY419" i="3"/>
  <c r="AY188" i="3"/>
  <c r="AY335" i="3"/>
  <c r="AY209" i="3"/>
  <c r="AY260" i="3"/>
  <c r="AY420" i="3"/>
  <c r="AY97" i="3"/>
  <c r="AY44" i="3"/>
  <c r="AY154" i="3"/>
  <c r="AY283" i="3"/>
  <c r="AY230" i="3"/>
  <c r="AY360" i="3"/>
  <c r="AY56" i="3"/>
  <c r="AY295" i="3"/>
  <c r="AY353" i="3"/>
  <c r="AY475" i="3"/>
  <c r="AY534" i="3"/>
  <c r="AY501" i="3"/>
  <c r="AY244" i="3"/>
  <c r="BS6" i="3"/>
  <c r="AY577" i="3"/>
  <c r="AY143" i="3"/>
  <c r="AY315" i="3"/>
  <c r="AY402" i="3"/>
  <c r="AY113" i="3"/>
  <c r="AY432" i="3"/>
  <c r="AY216" i="3"/>
  <c r="AY563" i="3"/>
  <c r="AY461" i="3"/>
  <c r="AY429" i="3"/>
  <c r="AY213" i="3"/>
  <c r="AY331" i="3"/>
  <c r="D3" i="6"/>
  <c r="AY121" i="3"/>
  <c r="AY443" i="3"/>
  <c r="AY71" i="3"/>
  <c r="AY359" i="3"/>
  <c r="BP6" i="3"/>
  <c r="AY479" i="3"/>
  <c r="AY153" i="3"/>
  <c r="AY339" i="3"/>
  <c r="AY528" i="3"/>
  <c r="AY233" i="3"/>
  <c r="AY537" i="3"/>
  <c r="AY321" i="3"/>
  <c r="AY32" i="3"/>
  <c r="AY459" i="3"/>
  <c r="AY273" i="3"/>
  <c r="AY38" i="3"/>
  <c r="AY405" i="3"/>
  <c r="AY221" i="3"/>
  <c r="AY156" i="3"/>
  <c r="AY531" i="3"/>
  <c r="AY579" i="3"/>
  <c r="AY468" i="3"/>
  <c r="AY369" i="3"/>
  <c r="AY189" i="3"/>
  <c r="AY582" i="3"/>
  <c r="AY480" i="3"/>
  <c r="AY507" i="3"/>
  <c r="AY291" i="3"/>
  <c r="AY557" i="3"/>
  <c r="AY220" i="3"/>
  <c r="AY559" i="3"/>
  <c r="AY393" i="3"/>
  <c r="AY254" i="3"/>
  <c r="AY555" i="3"/>
  <c r="AY444" i="3"/>
  <c r="AY546" i="3"/>
  <c r="AY457" i="3"/>
  <c r="AY274" i="3"/>
  <c r="BJ6" i="3"/>
  <c r="AY263" i="3"/>
  <c r="AY206" i="3"/>
  <c r="AY549" i="3"/>
  <c r="AY473" i="3"/>
  <c r="AY276"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67"/>
  <c r="C17" i="15"/>
  <c r="D10" i="69"/>
  <c r="C34" i="69"/>
  <c r="D28" i="6" l="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M21"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C20" i="9"/>
  <c r="D2" i="37"/>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10" i="1"/>
  <c r="AO9" i="1"/>
  <c r="AO6"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s="1"/>
  <c r="C52" i="69" s="1"/>
  <c r="B2" i="69" l="1"/>
  <c r="C57" i="69"/>
  <c r="C56" i="69" s="1"/>
  <c r="D19" i="9"/>
  <c r="B3" i="69"/>
  <c r="D102" i="9" l="1"/>
  <c r="D21" i="9"/>
  <c r="G19" i="9"/>
  <c r="D22" i="9"/>
  <c r="D20" i="9"/>
  <c r="G20" i="9" l="1"/>
  <c r="C32" i="9" s="1"/>
  <c r="C35" i="9" s="1"/>
  <c r="C34" i="9" s="1"/>
  <c r="D103" i="9"/>
  <c r="G21" i="9"/>
  <c r="D14" i="74"/>
  <c r="B5" i="74" l="1"/>
  <c r="D5" i="74" s="1"/>
  <c r="F14" i="74"/>
  <c r="E14" i="74"/>
  <c r="N58" i="9" l="1"/>
  <c r="P57" i="9"/>
  <c r="N61" i="9"/>
  <c r="N59" i="9"/>
  <c r="N60" i="9"/>
  <c r="D52" i="9"/>
  <c r="D53" i="9"/>
  <c r="B30" i="72"/>
  <c r="B47" i="72"/>
  <c r="C5" i="74"/>
  <c r="C105" i="9"/>
  <c r="I4" i="52"/>
  <c r="B20" i="72"/>
  <c r="B31" i="72"/>
  <c r="D8" i="52"/>
  <c r="C81" i="9"/>
  <c r="M48" i="9"/>
  <c r="H5" i="52"/>
  <c r="E4" i="52"/>
  <c r="B48" i="72"/>
  <c r="C93" i="9"/>
  <c r="C86" i="9"/>
  <c r="H102" i="9"/>
  <c r="D7" i="53"/>
  <c r="B21" i="72"/>
  <c r="N57" i="9"/>
  <c r="C104" i="9"/>
  <c r="H4" i="52"/>
  <c r="H119" i="9"/>
  <c r="D122" i="9"/>
  <c r="D123" i="9"/>
  <c r="D9" i="52"/>
  <c r="E97" i="9"/>
  <c r="D5" i="53"/>
  <c r="D6" i="53"/>
  <c r="B22" i="72"/>
  <c r="C6" i="74"/>
  <c r="H108" i="9"/>
  <c r="D15" i="53"/>
  <c r="C68" i="9"/>
  <c r="D54" i="9"/>
  <c r="D4" i="52"/>
  <c r="C78" i="9"/>
  <c r="C73" i="9"/>
  <c r="F4" i="52"/>
  <c r="B51" i="72"/>
  <c r="F119" i="9"/>
  <c r="F5" i="52"/>
  <c r="B53" i="72"/>
  <c r="F118" i="9"/>
  <c r="G118" i="9"/>
  <c r="G4" i="52"/>
  <c r="B52" i="72"/>
  <c r="D55" i="9"/>
  <c r="M53" i="9"/>
  <c r="C80" i="9"/>
  <c r="E80" i="9"/>
  <c r="E81" i="9"/>
  <c r="C96" i="9"/>
  <c r="E96" i="9"/>
  <c r="H107" i="9"/>
  <c r="D13" i="53"/>
  <c r="D14" i="53"/>
  <c r="B32" i="72"/>
  <c r="C72" i="9"/>
  <c r="C79" i="9"/>
  <c r="D59" i="9"/>
  <c r="M55" i="9"/>
  <c r="C64" i="9"/>
  <c r="C63" i="9"/>
  <c r="C67" i="9"/>
  <c r="C97" i="9"/>
  <c r="D58" i="9"/>
  <c r="D56" i="9"/>
  <c r="M54" i="9"/>
  <c r="E118" i="9"/>
  <c r="D118" i="9"/>
  <c r="D119" i="9"/>
  <c r="D5" i="52"/>
  <c r="B49"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N2" authorId="0" shapeId="0">
      <text>
        <r>
          <rPr>
            <b/>
            <sz val="9"/>
            <color indexed="81"/>
            <rFont val="宋体"/>
            <family val="3"/>
            <charset val="134"/>
          </rPr>
          <t>此项填写合同日期，无合同日期填写预售登记日期，均无则在备注中注明</t>
        </r>
      </text>
    </comment>
    <comment ref="AO2" authorId="0" shapeId="0">
      <text>
        <r>
          <rPr>
            <b/>
            <sz val="9"/>
            <color indexed="81"/>
            <rFont val="宋体"/>
            <family val="3"/>
            <charset val="134"/>
          </rPr>
          <t>在补充过程中发现合同遗漏的项目，不能正常补充的需注明。</t>
        </r>
      </text>
    </comment>
    <comment ref="AS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<sst xmlns="http://schemas.openxmlformats.org/spreadsheetml/2006/main" count="8623" uniqueCount="3764">
  <si>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</si>
  <si>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</si>
  <si>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</si>
  <si>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</si>
  <si>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</si>
  <si>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</si>
  <si>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</si>
  <si>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</si>
  <si>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</si>
  <si>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</si>
  <si>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</si>
  <si>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</si>
  <si>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</si>
  <si>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</si>
  <si>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</si>
  <si>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</si>
  <si>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</si>
  <si>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</si>
  <si>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</si>
  <si>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</si>
  <si>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</si>
  <si>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</si>
  <si>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</si>
  <si>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</si>
  <si>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</si>
  <si>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</si>
  <si>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</si>
  <si>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</si>
  <si>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</si>
  <si>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</si>
  <si>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</si>
  <si>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</si>
  <si>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</si>
  <si>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</si>
  <si>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</si>
  <si>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</si>
  <si>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</si>
  <si>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</si>
  <si>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</si>
  <si>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</si>
  <si>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</si>
  <si>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</si>
  <si>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</si>
  <si>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</si>
  <si>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</si>
  <si>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</si>
  <si>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</si>
  <si>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</si>
  <si>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</si>
  <si>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</si>
  <si>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</si>
  <si>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</si>
  <si>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</si>
  <si>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</si>
  <si>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</si>
  <si>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</si>
  <si>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</si>
  <si>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</si>
  <si>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</si>
  <si>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</si>
  <si>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</si>
  <si>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</si>
  <si>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</si>
  <si>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</si>
  <si>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</si>
  <si>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</si>
  <si>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</si>
  <si>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</si>
  <si>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</si>
  <si>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</si>
  <si>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</si>
  <si>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</si>
  <si>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</si>
  <si>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</si>
  <si>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</si>
  <si>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</si>
  <si>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</si>
  <si>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</si>
  <si>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</si>
  <si>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</si>
  <si>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</si>
  <si>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</si>
  <si>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</si>
  <si>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</si>
  <si>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</si>
  <si>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</si>
  <si>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</si>
  <si>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</si>
  <si>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</si>
  <si>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</si>
  <si>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</si>
  <si>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</si>
  <si>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</si>
  <si>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</si>
  <si>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</si>
  <si>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</si>
  <si>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</si>
  <si>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</si>
  <si>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</si>
  <si>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</si>
  <si>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</si>
  <si>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</si>
  <si>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</si>
  <si>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</si>
  <si>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</si>
  <si>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</si>
  <si>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</si>
  <si>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</si>
  <si>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</si>
  <si>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</si>
  <si>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</si>
  <si>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</si>
  <si>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</si>
  <si>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</si>
  <si>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</si>
  <si>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</si>
  <si>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</si>
  <si>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</si>
  <si>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</si>
  <si>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</si>
  <si>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</si>
  <si>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</si>
  <si>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</si>
  <si>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</si>
  <si>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</si>
  <si>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</si>
  <si>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</si>
  <si>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</si>
  <si>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</si>
  <si>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</si>
  <si>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</si>
  <si>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</si>
  <si>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</si>
  <si>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</si>
  <si>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</si>
  <si>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</si>
  <si>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</si>
  <si>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</si>
  <si>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</si>
  <si>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</si>
  <si>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</si>
  <si>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</si>
  <si>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</si>
  <si>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</si>
  <si>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</si>
  <si>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</si>
  <si>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</si>
  <si>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</si>
  <si>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</si>
  <si>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</si>
  <si>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</si>
  <si>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</si>
  <si>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</si>
  <si>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</si>
  <si>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</si>
  <si>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</si>
  <si>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</si>
  <si>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</si>
  <si>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</si>
  <si>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</si>
  <si>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</si>
  <si>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</si>
  <si>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</si>
  <si>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</si>
  <si>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</si>
  <si>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</si>
  <si>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</si>
  <si>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</si>
  <si>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</si>
  <si>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</si>
  <si>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</si>
  <si>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</si>
  <si>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</si>
  <si>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</si>
  <si>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</si>
  <si>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</si>
  <si>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</si>
  <si>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</si>
  <si>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</si>
  <si>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</si>
  <si>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</si>
  <si>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</si>
  <si>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</si>
  <si>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</si>
  <si>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</si>
  <si>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</si>
  <si>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</si>
  <si>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</si>
  <si>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</si>
  <si>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</si>
  <si>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</si>
  <si>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</si>
  <si>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</si>
  <si>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</si>
  <si>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</si>
  <si>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</si>
  <si>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</si>
  <si>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</si>
  <si>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</si>
  <si>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</si>
  <si>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</si>
  <si>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</si>
  <si>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</si>
  <si>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</si>
  <si>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</si>
  <si>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</si>
  <si>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</si>
  <si>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</si>
  <si>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</si>
  <si>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</si>
  <si>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</si>
  <si>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</si>
  <si>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</si>
  <si>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</si>
  <si>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</si>
  <si>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</si>
  <si>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</si>
  <si>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</si>
  <si>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</si>
  <si>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</si>
  <si>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</si>
  <si>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</si>
  <si>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</si>
  <si>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</si>
  <si>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</si>
  <si>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</si>
  <si>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</si>
  <si>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</si>
  <si>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</si>
  <si>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</si>
  <si>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</si>
  <si>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</si>
  <si>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</si>
  <si>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</si>
  <si>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</si>
  <si>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</si>
  <si>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</si>
  <si>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</si>
  <si>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</si>
  <si>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</si>
  <si>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</si>
  <si>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</si>
  <si>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</si>
  <si>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</si>
  <si>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</si>
  <si>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</si>
  <si>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</si>
  <si>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</si>
  <si>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</si>
  <si>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</si>
  <si>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</si>
  <si>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</si>
  <si>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</si>
  <si>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</si>
  <si>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</si>
  <si>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</si>
  <si>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</si>
  <si>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</si>
  <si>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</si>
  <si>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</si>
  <si>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</si>
  <si>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</si>
  <si>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</si>
  <si>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</si>
  <si>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</si>
  <si>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</si>
  <si>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</si>
  <si>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</si>
  <si>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</si>
  <si>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</si>
  <si>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</si>
  <si>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</si>
  <si>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</si>
  <si>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</si>
  <si>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</si>
  <si>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</si>
  <si>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</si>
  <si>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</si>
  <si>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</si>
  <si>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</si>
  <si>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</si>
  <si>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</si>
  <si>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</si>
  <si>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</si>
  <si>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</si>
  <si>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</si>
  <si>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</si>
  <si>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</si>
  <si>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</si>
  <si>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</si>
  <si>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</si>
  <si>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</si>
  <si>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</si>
  <si>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</si>
  <si>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</si>
  <si>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</si>
  <si>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</si>
  <si>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</si>
  <si>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</si>
  <si>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</si>
  <si>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</si>
  <si>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</si>
  <si>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</si>
  <si>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</si>
  <si>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</si>
  <si>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</si>
  <si>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</si>
  <si>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</si>
  <si>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</si>
  <si>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</si>
  <si>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</si>
  <si>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</si>
  <si>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</si>
  <si>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</si>
  <si>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</si>
  <si>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</si>
  <si>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</si>
  <si>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</si>
  <si>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</si>
  <si>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</si>
  <si>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</si>
  <si>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</si>
  <si>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</si>
  <si>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</si>
  <si>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</si>
  <si>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</si>
  <si>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</si>
  <si>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</si>
  <si>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</si>
  <si>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</si>
  <si>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</si>
  <si>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</si>
  <si>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</si>
  <si>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</si>
  <si>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</si>
  <si>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</si>
  <si>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</si>
  <si>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</si>
  <si>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</si>
  <si>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</si>
  <si>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</si>
  <si>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</si>
  <si>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</si>
  <si>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</si>
  <si>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</si>
  <si>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</si>
  <si>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</si>
  <si>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</si>
  <si>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</si>
  <si>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</si>
  <si>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</si>
  <si>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</si>
  <si>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</si>
  <si>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</si>
  <si>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</si>
  <si>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</si>
  <si>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</si>
  <si>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</si>
  <si>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</si>
  <si>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</si>
  <si>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</si>
  <si>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</si>
  <si>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</si>
  <si>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</si>
  <si>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</si>
  <si>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</si>
  <si>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</si>
  <si>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</si>
  <si>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</si>
  <si>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</si>
  <si>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</si>
  <si>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</si>
  <si>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</si>
  <si>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</si>
  <si>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</si>
  <si>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</si>
  <si>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</si>
  <si>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</si>
  <si>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</si>
  <si>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</si>
  <si>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</si>
  <si>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</si>
  <si>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</si>
  <si>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</si>
  <si>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</si>
  <si>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</si>
  <si>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</si>
  <si>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</si>
  <si>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</si>
  <si>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</si>
  <si>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</si>
  <si>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</si>
  <si>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</si>
  <si>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</si>
  <si>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</si>
  <si>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</si>
  <si>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</si>
  <si>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</si>
  <si>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</si>
  <si>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</si>
  <si>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</si>
  <si>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</si>
  <si>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</si>
  <si>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</si>
  <si>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</si>
  <si>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</si>
  <si>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</si>
  <si>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</si>
  <si>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</si>
  <si>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</si>
  <si>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</si>
  <si>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</si>
  <si>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</si>
  <si>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</si>
  <si>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</si>
  <si>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</si>
  <si>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</si>
  <si>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</si>
  <si>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</si>
  <si>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</si>
  <si>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</si>
  <si>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</si>
  <si>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</si>
  <si>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</si>
  <si>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</si>
  <si>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</si>
  <si>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</si>
  <si>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</si>
  <si>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</si>
  <si>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</si>
  <si>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</si>
  <si>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</si>
  <si>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</si>
  <si>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</si>
  <si>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</si>
  <si>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</si>
  <si>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</si>
  <si>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</si>
  <si>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</si>
  <si>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</si>
  <si>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</si>
  <si>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</si>
  <si>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</si>
  <si>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</si>
  <si>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</si>
  <si>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</si>
  <si>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</si>
  <si>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</si>
  <si>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</si>
  <si>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</si>
  <si>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</si>
  <si>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</si>
  <si>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</si>
  <si>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</si>
  <si>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</si>
  <si>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</si>
  <si>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</si>
  <si>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</si>
  <si>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</si>
  <si>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</si>
  <si>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</si>
  <si>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</si>
  <si>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</si>
  <si>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</si>
  <si>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</si>
  <si>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</si>
  <si>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</si>
  <si>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</si>
  <si>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</si>
  <si>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</si>
  <si>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</si>
  <si>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</si>
  <si>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</si>
  <si>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</si>
  <si>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</si>
  <si>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</si>
  <si>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</si>
  <si>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</si>
  <si>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</si>
  <si>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</si>
  <si>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</si>
  <si>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</si>
  <si>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</si>
  <si>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</si>
  <si>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</si>
  <si>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</si>
  <si>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</si>
  <si>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</si>
  <si>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</si>
  <si>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</si>
  <si>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</si>
  <si>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</si>
  <si>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</si>
  <si>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</si>
  <si>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</si>
  <si>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</si>
  <si>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</si>
  <si>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</si>
  <si>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</si>
  <si>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</si>
  <si>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</si>
  <si>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</si>
  <si>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</si>
  <si>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</si>
  <si>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</si>
  <si>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</si>
  <si>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</si>
  <si>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</si>
  <si>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</si>
  <si>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</si>
  <si>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</si>
  <si>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</si>
  <si>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</si>
  <si>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</si>
  <si>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</si>
  <si>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</si>
  <si>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</si>
  <si>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</si>
  <si>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</si>
  <si>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</si>
  <si>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</si>
  <si>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</si>
  <si>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</si>
  <si>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</si>
  <si>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</si>
  <si>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</si>
  <si>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</si>
  <si>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</si>
  <si>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</si>
  <si>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</si>
  <si>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</si>
  <si>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</si>
  <si>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</si>
  <si>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</si>
  <si>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</si>
  <si>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</si>
  <si>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</si>
  <si>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</si>
  <si>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</si>
  <si>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</si>
  <si>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</si>
  <si>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</si>
  <si>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</si>
  <si>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</si>
  <si>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</si>
  <si>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</si>
  <si>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</si>
  <si>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</si>
  <si>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</si>
  <si>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</si>
  <si>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</si>
  <si>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</si>
  <si>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</si>
  <si>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</si>
  <si>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</si>
  <si>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</si>
  <si>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</si>
  <si>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</si>
  <si>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</si>
  <si>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</si>
  <si>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</si>
  <si>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</si>
  <si>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</si>
  <si>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</si>
  <si>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</si>
  <si>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</si>
  <si>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</si>
  <si>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</si>
  <si>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</si>
  <si>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</si>
  <si>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</si>
  <si>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</si>
  <si>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</si>
  <si>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</si>
  <si>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</si>
  <si>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</si>
  <si>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</si>
  <si>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</si>
  <si>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</si>
  <si>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</si>
  <si>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</si>
  <si>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</si>
  <si>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</si>
  <si>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</si>
  <si>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</si>
  <si>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</si>
  <si>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</si>
  <si>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</si>
  <si>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</si>
  <si>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</si>
  <si>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</si>
  <si>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</si>
  <si>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</si>
  <si>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</si>
  <si>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</si>
  <si>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</si>
  <si>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</si>
  <si>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</si>
  <si>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</si>
  <si>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</si>
  <si>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</si>
  <si>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</si>
  <si>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</si>
  <si>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</si>
  <si>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</si>
  <si>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</si>
  <si>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</si>
  <si>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</si>
  <si>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</si>
  <si>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</si>
  <si>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</si>
  <si>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</si>
  <si>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</si>
  <si>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</si>
  <si>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</si>
  <si>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</si>
  <si>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</si>
  <si>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</si>
  <si>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</si>
  <si>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</si>
  <si>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</si>
  <si>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</si>
  <si>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</si>
  <si>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</si>
  <si>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</si>
  <si>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</si>
  <si>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</si>
  <si>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</si>
  <si>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</si>
  <si>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</si>
  <si>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</si>
  <si>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</si>
  <si>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</si>
  <si>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</si>
  <si>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</si>
  <si>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</si>
  <si>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</si>
  <si>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</si>
  <si>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</si>
  <si>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</si>
  <si>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</si>
  <si>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</si>
  <si>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</si>
  <si>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</si>
  <si>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</si>
  <si>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</si>
  <si>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</si>
  <si>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</si>
  <si>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</si>
  <si>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</si>
  <si>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</si>
  <si>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</si>
  <si>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</si>
  <si>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</si>
  <si>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</si>
  <si>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</si>
  <si>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</si>
  <si>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</si>
  <si>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</si>
  <si>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</si>
  <si>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</si>
  <si>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</si>
  <si>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</si>
  <si>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</si>
  <si>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</si>
  <si>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</si>
  <si>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</si>
  <si>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</si>
  <si>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</si>
  <si>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</si>
  <si>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</si>
  <si>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</si>
  <si>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</si>
  <si>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</si>
  <si>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</si>
  <si>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</si>
  <si>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</si>
  <si>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</si>
  <si>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</si>
  <si>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</si>
  <si>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</si>
  <si>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</si>
  <si>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</si>
  <si>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</si>
  <si>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</si>
  <si>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</si>
  <si>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</si>
  <si>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</si>
  <si>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</si>
  <si>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</si>
  <si>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</si>
  <si>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</si>
  <si>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</si>
  <si>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</si>
  <si>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</si>
  <si>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</si>
  <si>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</si>
  <si>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</si>
  <si>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</si>
  <si>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</si>
  <si>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</si>
  <si>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</si>
  <si>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</si>
  <si>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</si>
  <si>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</si>
  <si>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</si>
  <si>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</si>
  <si>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</si>
  <si>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</si>
  <si>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</si>
  <si>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</si>
  <si>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</si>
  <si>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</si>
  <si>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</si>
  <si>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</si>
  <si>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</si>
  <si>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</si>
  <si>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</si>
  <si>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</si>
  <si>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</si>
  <si>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</si>
  <si>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</si>
  <si>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</si>
  <si>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</si>
  <si>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</si>
  <si>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</si>
  <si>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</si>
  <si>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</si>
  <si>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</si>
  <si>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</si>
  <si>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</si>
  <si>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</si>
  <si>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</si>
  <si>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</si>
  <si>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</si>
  <si>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</si>
  <si>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</si>
  <si>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</si>
  <si>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</si>
  <si>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</si>
  <si>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</si>
  <si>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</si>
  <si>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</si>
  <si>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</si>
  <si>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</si>
  <si>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</si>
  <si>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</si>
  <si>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</si>
  <si>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</si>
  <si>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</si>
  <si>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</si>
  <si>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</si>
  <si>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</si>
  <si>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</si>
  <si>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</si>
  <si>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</si>
  <si>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</si>
  <si>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</si>
  <si>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</si>
  <si>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</si>
  <si>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</si>
  <si>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</si>
  <si>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</si>
  <si>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</si>
  <si>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</si>
  <si>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</si>
  <si>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</si>
  <si>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</si>
  <si>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</si>
  <si>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</si>
  <si>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</si>
  <si>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</si>
  <si>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</si>
  <si>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</si>
  <si>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</si>
  <si>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</si>
  <si>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</si>
  <si>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</si>
  <si>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</si>
  <si>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</si>
  <si>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</si>
  <si>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</si>
  <si>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</si>
  <si>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</si>
  <si>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</si>
  <si>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</si>
  <si>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</si>
  <si>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</si>
  <si>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</si>
  <si>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</si>
  <si>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</si>
  <si>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</si>
  <si>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</si>
  <si>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</si>
  <si>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</si>
  <si>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</si>
  <si>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</si>
  <si>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</si>
  <si>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</si>
  <si>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</si>
  <si>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</si>
  <si>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</si>
  <si>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</si>
  <si>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</si>
  <si>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</si>
  <si>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</si>
  <si>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</si>
  <si>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</si>
  <si>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</si>
  <si>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</si>
  <si>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</si>
  <si>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</si>
  <si>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</si>
  <si>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</si>
  <si>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</si>
  <si>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</si>
  <si>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</si>
  <si>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</si>
  <si>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</si>
  <si>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</si>
  <si>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</si>
  <si>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</si>
  <si>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</si>
  <si>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</si>
  <si>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</si>
  <si>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</si>
  <si>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</si>
  <si>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</si>
  <si>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</si>
  <si>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</si>
  <si>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</si>
  <si>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</si>
  <si>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</si>
  <si>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</si>
  <si>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</si>
  <si>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</si>
  <si>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</si>
  <si>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</si>
  <si>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</si>
  <si>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</si>
  <si>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</si>
  <si>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</si>
  <si>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</si>
  <si>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</si>
  <si>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</si>
  <si>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</si>
  <si>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</si>
  <si>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</si>
  <si>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</si>
  <si>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</si>
  <si>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</si>
  <si>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</si>
  <si>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</si>
  <si>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</si>
  <si>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</si>
  <si>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</si>
  <si>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</si>
  <si>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</si>
  <si>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</si>
  <si>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</si>
  <si>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</si>
  <si>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</si>
  <si>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</si>
  <si>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</si>
  <si>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</si>
  <si>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</si>
  <si>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</si>
  <si>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</si>
  <si>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</si>
  <si>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</si>
  <si>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</si>
  <si>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</si>
  <si>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</si>
  <si>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</si>
  <si>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</si>
  <si>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</si>
  <si>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</si>
  <si>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</si>
  <si>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</si>
  <si>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</si>
  <si>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</si>
  <si>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</si>
  <si>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</si>
  <si>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</si>
  <si>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</si>
  <si>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</si>
  <si>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</si>
  <si>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</si>
  <si>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</si>
  <si>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</si>
  <si>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</si>
  <si>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</si>
  <si>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</si>
  <si>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</si>
  <si>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</si>
  <si>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</si>
  <si>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</si>
  <si>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</si>
  <si>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</si>
  <si>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</si>
  <si>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</si>
  <si>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</si>
  <si>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</si>
  <si>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</si>
  <si>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</si>
  <si>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</si>
  <si>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</si>
  <si>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</si>
  <si>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</si>
  <si>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</si>
  <si>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</si>
  <si>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</si>
  <si>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</si>
  <si>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</si>
  <si>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</si>
  <si>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</si>
  <si>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</si>
  <si>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</si>
  <si>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</si>
  <si>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</si>
  <si>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</si>
  <si>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</si>
  <si>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</si>
  <si>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</si>
  <si>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</si>
  <si>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</si>
  <si>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</si>
  <si>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</si>
  <si>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</si>
  <si>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</si>
  <si>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</si>
  <si>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</si>
  <si>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</si>
  <si>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</si>
  <si>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</si>
  <si>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</si>
  <si>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</si>
  <si>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</si>
  <si>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</si>
  <si>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</si>
  <si>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</si>
  <si>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</si>
  <si>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</si>
  <si>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</si>
  <si>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</si>
  <si>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</si>
  <si>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</si>
  <si>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</si>
  <si>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</si>
  <si>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</si>
  <si>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</si>
  <si>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</si>
  <si>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</si>
  <si>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</si>
  <si>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</si>
  <si>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</si>
  <si>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</si>
  <si>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</si>
  <si>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</si>
  <si>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</si>
  <si>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</si>
  <si>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</si>
  <si>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</si>
  <si>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</si>
  <si>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</si>
  <si>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</si>
  <si>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</si>
  <si>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</si>
  <si>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</si>
  <si>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</si>
  <si>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</si>
  <si>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</si>
  <si>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</si>
  <si>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</si>
  <si>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</si>
  <si>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</si>
  <si>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</si>
  <si>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</si>
  <si>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</si>
  <si>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</si>
  <si>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</si>
  <si>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</si>
  <si>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</si>
  <si>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</si>
  <si>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</si>
  <si>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</si>
  <si>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</si>
  <si>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</si>
  <si>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</si>
  <si>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</si>
  <si>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</si>
  <si>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</si>
  <si>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</si>
  <si>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</si>
  <si>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</si>
  <si>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</si>
  <si>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</si>
  <si>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</si>
  <si>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</si>
  <si>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</si>
  <si>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</si>
  <si>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</si>
  <si>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</si>
  <si>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</si>
  <si>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</si>
  <si>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</si>
  <si>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</si>
  <si>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</si>
  <si>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</si>
  <si>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</si>
  <si>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</si>
  <si>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</si>
  <si>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</si>
  <si>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</si>
  <si>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</si>
  <si>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</si>
  <si>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</si>
  <si>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</si>
  <si>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</si>
  <si>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</si>
  <si>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</si>
  <si>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</si>
  <si>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</si>
  <si>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</si>
  <si>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</si>
  <si>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</si>
  <si>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</si>
  <si>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</si>
  <si>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</si>
  <si>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</si>
  <si>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</si>
  <si>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</si>
  <si>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</si>
  <si>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</si>
  <si>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</si>
  <si>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</si>
  <si>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</si>
  <si>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</si>
  <si>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</si>
  <si>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</si>
  <si>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</si>
  <si>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</si>
  <si>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</si>
  <si>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</si>
  <si>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</si>
  <si>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</si>
  <si>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</si>
  <si>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</si>
  <si>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</si>
  <si>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</si>
  <si>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</si>
  <si>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</si>
  <si>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</si>
  <si>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</si>
  <si>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</si>
  <si>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</si>
  <si>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</si>
  <si>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</si>
  <si>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</si>
  <si>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</si>
  <si>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</si>
  <si>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</si>
  <si>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</si>
  <si>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</si>
  <si>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</si>
  <si>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</si>
  <si>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</si>
  <si>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</si>
  <si>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</si>
  <si>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</si>
  <si>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</si>
  <si>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</si>
  <si>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</si>
  <si>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</si>
  <si>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</si>
  <si>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</si>
  <si>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</si>
  <si>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</si>
  <si>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</si>
  <si>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</si>
  <si>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</si>
  <si>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</si>
  <si>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</si>
  <si>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</si>
  <si>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</si>
  <si>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</si>
  <si>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</si>
  <si>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</si>
  <si>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</si>
  <si>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</si>
  <si>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</si>
  <si>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</si>
  <si>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</si>
  <si>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</si>
  <si>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</si>
  <si>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</si>
  <si>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</si>
  <si>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</si>
  <si>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</si>
  <si>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</si>
  <si>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</si>
  <si>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</si>
  <si>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</si>
  <si>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</si>
  <si>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</si>
  <si>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</si>
  <si>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</si>
  <si>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</si>
  <si>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</si>
  <si>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</si>
  <si>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</si>
  <si>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</si>
  <si>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</si>
  <si>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</si>
  <si>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</si>
  <si>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</si>
  <si>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</si>
  <si>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</si>
  <si>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</si>
  <si>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</si>
  <si>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</si>
  <si>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</si>
  <si>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</si>
  <si>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</si>
  <si>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</si>
  <si>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</si>
  <si>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</si>
  <si>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</si>
  <si>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</si>
  <si>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</si>
  <si>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</si>
  <si>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</si>
  <si>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</si>
  <si>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</si>
  <si>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</si>
  <si>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</si>
  <si>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</si>
  <si>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</si>
  <si>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</si>
  <si>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</si>
  <si>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</si>
  <si>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</si>
  <si>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</si>
  <si>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</si>
  <si>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</si>
  <si>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</si>
  <si>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</si>
  <si>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</si>
  <si>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</si>
  <si>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</si>
  <si>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</si>
  <si>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</si>
  <si>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</si>
  <si>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</si>
  <si>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</si>
  <si>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</si>
  <si>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</si>
  <si>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</si>
  <si>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</si>
  <si>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</si>
  <si>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</si>
  <si>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</si>
  <si>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</si>
  <si>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</si>
  <si>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</si>
  <si>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</si>
  <si>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</si>
  <si>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</si>
  <si>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</si>
  <si>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</si>
  <si>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</si>
  <si>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</si>
  <si>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</si>
  <si>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</si>
  <si>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</si>
  <si>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</si>
  <si>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</si>
  <si>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</si>
  <si>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</si>
  <si>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</si>
  <si>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</si>
  <si>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</si>
  <si>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</si>
  <si>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</si>
  <si>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</si>
  <si>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</si>
  <si>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</si>
  <si>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</si>
  <si>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</si>
  <si>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</si>
  <si>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</si>
  <si>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</si>
  <si>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</si>
  <si>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</si>
  <si>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</si>
  <si>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</si>
  <si>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</si>
  <si>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</si>
  <si>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</si>
  <si>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</si>
  <si>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</si>
  <si>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</si>
  <si>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</si>
  <si>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</si>
  <si>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</si>
  <si>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</si>
  <si>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</si>
  <si>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</si>
  <si>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</si>
  <si>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</si>
  <si>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</si>
  <si>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</si>
  <si>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</si>
  <si>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</si>
  <si>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</si>
  <si>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</si>
  <si>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</si>
  <si>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</si>
  <si>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</si>
  <si>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</si>
  <si>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</si>
  <si>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</si>
  <si>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</si>
  <si>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</si>
  <si>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</si>
  <si>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</si>
  <si>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</si>
  <si>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</si>
  <si>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</si>
  <si>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</si>
  <si>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</si>
  <si>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</si>
  <si>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</si>
  <si>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</si>
  <si>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</si>
  <si>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</si>
  <si>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</si>
  <si>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</si>
  <si>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</si>
  <si>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</si>
  <si>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</si>
  <si>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</si>
  <si>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</si>
  <si>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</si>
  <si>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</si>
  <si>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</si>
  <si>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</si>
  <si>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</si>
  <si>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</si>
  <si>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</si>
  <si>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</si>
  <si>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</si>
  <si>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</si>
  <si>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</si>
  <si>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</si>
  <si>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</si>
  <si>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</si>
  <si>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</si>
  <si>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</si>
  <si>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</si>
  <si>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</si>
  <si>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</si>
  <si>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</si>
  <si>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</si>
  <si>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</si>
  <si>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</si>
  <si>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</si>
  <si>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</si>
  <si>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</si>
  <si>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</si>
  <si>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</si>
  <si>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</si>
  <si>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</si>
  <si>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</si>
  <si>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</si>
  <si>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</si>
  <si>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</si>
  <si>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</si>
  <si>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</si>
  <si>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</si>
  <si>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</si>
  <si>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</si>
  <si>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</si>
  <si>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</si>
  <si>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</si>
  <si>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</si>
  <si>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</si>
  <si>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</si>
  <si>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</si>
  <si>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</si>
  <si>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</si>
  <si>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</si>
  <si>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</si>
  <si>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</si>
  <si>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</si>
  <si>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</si>
  <si>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</si>
  <si>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</si>
  <si>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</si>
  <si>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</si>
  <si>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</si>
  <si>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</si>
  <si>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</si>
  <si>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</si>
  <si>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</si>
  <si>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</si>
  <si>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</si>
  <si>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</si>
  <si>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</si>
  <si>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</si>
  <si>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</si>
  <si>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</si>
  <si>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</si>
  <si>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</si>
  <si>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</si>
  <si>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</si>
  <si>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</si>
  <si>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</si>
  <si>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</si>
  <si>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</si>
  <si>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</si>
  <si>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</si>
  <si>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</si>
  <si>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</si>
  <si>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</si>
  <si>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</si>
  <si>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</si>
  <si>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</si>
  <si>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</si>
  <si>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</si>
  <si>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</si>
  <si>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</si>
  <si>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</si>
  <si>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</si>
  <si>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</si>
  <si>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</si>
  <si>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</si>
  <si>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</si>
  <si>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</si>
  <si>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</si>
  <si>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</si>
  <si>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</si>
  <si>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</si>
  <si>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</si>
  <si>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</si>
  <si>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</si>
  <si>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</si>
  <si>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</si>
  <si>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</si>
  <si>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</si>
  <si>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</si>
  <si>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</si>
  <si>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</si>
  <si>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</si>
  <si>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</si>
  <si>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</si>
  <si>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</si>
  <si>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</si>
  <si>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</si>
  <si>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</si>
  <si>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</si>
  <si>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</si>
  <si>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</si>
  <si>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</si>
  <si>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</si>
  <si>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</si>
  <si>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</si>
  <si>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</si>
  <si>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</si>
  <si>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</si>
  <si>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</si>
  <si>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</si>
  <si>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</si>
  <si>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</si>
  <si>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</si>
  <si>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</si>
  <si>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</si>
  <si>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</si>
  <si>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</si>
  <si>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</si>
  <si>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</si>
  <si>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</si>
  <si>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</si>
  <si>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</si>
  <si>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</si>
  <si>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</si>
  <si>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</si>
  <si>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</si>
  <si>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</si>
  <si>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</si>
  <si>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</si>
  <si>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</si>
  <si>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</si>
  <si>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</si>
  <si>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</si>
  <si>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</si>
  <si>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</si>
  <si>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</si>
  <si>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</si>
  <si>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</si>
  <si>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</si>
  <si>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</si>
  <si>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</si>
  <si>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</si>
  <si>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</si>
  <si>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</si>
  <si>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</si>
  <si>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</si>
  <si>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</si>
  <si>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</si>
  <si>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</si>
  <si>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</si>
  <si>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</si>
  <si>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</si>
  <si>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</si>
  <si>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</si>
  <si>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</si>
  <si>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</si>
  <si>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</si>
  <si>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</si>
  <si>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</si>
  <si>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</si>
  <si>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</si>
  <si>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</si>
  <si>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</si>
  <si>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</si>
  <si>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</si>
  <si>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</si>
  <si>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</si>
  <si>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</si>
  <si>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</si>
  <si>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</si>
  <si>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</si>
  <si>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</si>
  <si>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</si>
  <si>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</si>
  <si>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</si>
  <si>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</si>
  <si>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</si>
  <si>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</si>
  <si>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</si>
  <si>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</si>
  <si>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</si>
  <si>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</si>
  <si>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</si>
  <si>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</si>
  <si>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</si>
  <si>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</si>
  <si>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</si>
  <si>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</si>
  <si>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</si>
  <si>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</si>
  <si>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</si>
  <si>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</si>
  <si>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</si>
  <si>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</si>
  <si>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</si>
  <si>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</si>
  <si>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</si>
  <si>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</si>
  <si>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</si>
  <si>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</si>
  <si>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</si>
  <si>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</si>
  <si>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</si>
  <si>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</si>
  <si>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</si>
  <si>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</si>
  <si>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</si>
  <si>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</si>
  <si>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</si>
  <si>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</si>
  <si>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</si>
  <si>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</si>
  <si>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</si>
  <si>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</si>
  <si>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</si>
  <si>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</si>
  <si>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</si>
  <si>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</si>
  <si>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</si>
  <si>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</si>
  <si>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</si>
  <si>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</si>
  <si>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</si>
  <si>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</si>
  <si>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</si>
  <si>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</si>
  <si>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</si>
  <si>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</si>
  <si>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</si>
  <si>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</si>
  <si>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</si>
  <si>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</si>
  <si>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</si>
  <si>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</si>
  <si>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</si>
  <si>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</si>
  <si>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</si>
  <si>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</si>
  <si>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</si>
  <si>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</si>
  <si>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</si>
  <si>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</si>
  <si>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</si>
  <si>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</si>
  <si>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</si>
  <si>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</si>
  <si>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</si>
  <si>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</si>
  <si>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</si>
  <si>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</si>
  <si>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</si>
  <si>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</si>
  <si>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</si>
  <si>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</si>
  <si>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</si>
  <si>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</si>
  <si>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</si>
  <si>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</si>
  <si>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</si>
  <si>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</si>
  <si>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</si>
  <si>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</si>
  <si>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</si>
  <si>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</si>
  <si>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</si>
  <si>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</si>
  <si>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</si>
  <si>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</si>
  <si>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</si>
  <si>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</si>
  <si>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</si>
  <si>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</si>
  <si>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</si>
  <si>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</si>
  <si>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</si>
  <si>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</si>
  <si>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</si>
  <si>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</si>
  <si>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</si>
  <si>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</si>
  <si>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</si>
  <si>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</si>
  <si>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</si>
  <si>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</si>
  <si>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</si>
  <si>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</si>
  <si>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</si>
  <si>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</si>
  <si>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</si>
  <si>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</si>
  <si>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</si>
  <si>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</si>
  <si>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</si>
  <si>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</si>
  <si>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</si>
  <si>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</si>
  <si>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</si>
  <si>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</si>
  <si>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</si>
  <si>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</si>
  <si>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</si>
  <si>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</si>
  <si>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</si>
  <si>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</si>
  <si>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</si>
  <si>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</si>
  <si>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</si>
  <si>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</si>
  <si>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</si>
  <si>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</si>
  <si>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</si>
  <si>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</si>
  <si>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</si>
  <si>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</si>
  <si>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</si>
  <si>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</si>
  <si>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</si>
  <si>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</si>
  <si>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</si>
  <si>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</si>
  <si>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</si>
  <si>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</si>
  <si>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</si>
  <si>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</si>
  <si>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</si>
  <si>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</si>
  <si>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</si>
  <si>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</si>
  <si>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</si>
  <si>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</si>
  <si>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</si>
  <si>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</si>
  <si>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</si>
  <si>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</si>
  <si>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</si>
  <si>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</si>
  <si>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</si>
  <si>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</si>
  <si>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</si>
  <si>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</si>
  <si>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</si>
  <si>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</si>
  <si>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</si>
  <si>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</si>
  <si>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</si>
  <si>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</si>
  <si>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</si>
  <si>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</si>
  <si>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</si>
  <si>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</si>
  <si>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</si>
  <si>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</si>
  <si>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</si>
  <si>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</si>
  <si>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</si>
  <si>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</si>
  <si>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</si>
  <si>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</si>
  <si>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</si>
  <si>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</si>
  <si>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</si>
  <si>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</si>
  <si>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</si>
  <si>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</si>
  <si>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</si>
  <si>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</si>
  <si>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</si>
  <si>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</si>
  <si>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</si>
  <si>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</si>
  <si>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</si>
  <si>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</si>
  <si>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</si>
  <si>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</si>
  <si>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</si>
  <si>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</si>
  <si>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</si>
  <si>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</si>
  <si>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</si>
  <si>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</si>
  <si>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</si>
  <si>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</si>
  <si>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</si>
  <si>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</si>
  <si>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</si>
  <si>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</si>
  <si>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</si>
  <si>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</si>
  <si>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</si>
  <si>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</si>
  <si>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</si>
  <si>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</si>
  <si>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</si>
  <si>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</si>
  <si>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</si>
  <si>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</si>
  <si>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</si>
  <si>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</si>
  <si>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</si>
  <si>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</si>
  <si>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</si>
  <si>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</si>
  <si>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</si>
  <si>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</si>
  <si>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</si>
  <si>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</si>
  <si>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</si>
  <si>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</si>
  <si>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</si>
  <si>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</si>
  <si>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</si>
  <si>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</si>
  <si>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</si>
  <si>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</si>
  <si>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</si>
  <si>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</si>
  <si>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</si>
  <si>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</si>
  <si>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</si>
  <si>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</si>
  <si>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</si>
  <si>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</si>
  <si>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</si>
  <si>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</si>
  <si>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</si>
  <si>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</si>
  <si>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</si>
  <si>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</si>
  <si>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</si>
  <si>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</si>
  <si>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</si>
  <si>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</si>
  <si>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</si>
  <si>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</si>
  <si>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</si>
  <si>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</si>
  <si>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</si>
  <si>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</si>
  <si>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</si>
  <si>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</si>
  <si>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</si>
  <si>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</si>
  <si>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</si>
  <si>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</si>
  <si>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</si>
  <si>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</si>
  <si>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</si>
  <si>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</si>
  <si>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</si>
  <si>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</si>
  <si>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</si>
  <si>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</si>
  <si>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</si>
  <si>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</si>
  <si>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</si>
  <si>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</si>
  <si>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</si>
  <si>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</si>
  <si>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</si>
  <si>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</si>
  <si>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</si>
  <si>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</si>
  <si>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</si>
  <si>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</si>
  <si>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</si>
  <si>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</si>
  <si>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</si>
  <si>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</si>
  <si>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</si>
  <si>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</si>
  <si>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</si>
  <si>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</si>
  <si>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</si>
  <si>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</si>
  <si>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</si>
  <si>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</si>
  <si>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</si>
  <si>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</si>
  <si>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</si>
  <si>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</si>
  <si>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</si>
  <si>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</si>
  <si>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</si>
  <si>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</si>
  <si>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</si>
  <si>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</si>
  <si>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</si>
  <si>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</si>
  <si>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</si>
  <si>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</si>
  <si>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</si>
  <si>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</si>
  <si>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</si>
  <si>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</si>
  <si>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</si>
  <si>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</si>
  <si>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</si>
  <si>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</si>
  <si>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</si>
  <si>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</si>
  <si>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</si>
  <si>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</si>
  <si>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</si>
  <si>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</si>
  <si>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</si>
  <si>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</si>
  <si>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</si>
  <si>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</si>
  <si>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</si>
  <si>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</si>
  <si>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</si>
  <si>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</si>
  <si>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</si>
  <si>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</si>
  <si>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</si>
  <si>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</si>
  <si>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</si>
  <si>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</si>
  <si>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</si>
  <si>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</si>
  <si>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</si>
  <si>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</si>
  <si>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</si>
  <si>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</si>
  <si>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</si>
  <si>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</si>
  <si>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</si>
  <si>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</si>
  <si>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</si>
  <si>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</si>
  <si>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</si>
  <si>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</si>
  <si>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</si>
  <si>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</si>
  <si>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</si>
  <si>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</si>
  <si>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</si>
  <si>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</si>
  <si>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</si>
  <si>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</si>
  <si>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</si>
  <si>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</si>
  <si>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</si>
  <si>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</si>
  <si>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</si>
  <si>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</si>
  <si>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</si>
  <si>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</si>
  <si>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</si>
  <si>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</si>
  <si>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</si>
  <si>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</si>
  <si>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</si>
  <si>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</si>
  <si>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</si>
  <si>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</si>
  <si>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</si>
  <si>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</si>
  <si>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</si>
  <si>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</si>
  <si>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</si>
  <si>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</si>
  <si>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</si>
  <si>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</si>
  <si>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</si>
  <si>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</si>
  <si>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</si>
  <si>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</si>
  <si>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</si>
  <si>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</si>
  <si>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</si>
  <si>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</si>
  <si>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</si>
  <si>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</si>
  <si>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</si>
  <si>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</si>
  <si>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</si>
  <si>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</si>
  <si>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</si>
  <si>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</si>
  <si>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</si>
  <si>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</si>
  <si>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</si>
  <si>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</si>
  <si>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</si>
  <si>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</si>
  <si>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</si>
  <si>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</si>
  <si>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</si>
  <si>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</si>
  <si>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</si>
  <si>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</si>
  <si>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</si>
  <si>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</si>
  <si>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</si>
  <si>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</si>
  <si>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</si>
  <si>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</si>
  <si>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</si>
  <si>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</si>
  <si>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</si>
  <si>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</si>
  <si>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</si>
  <si>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</si>
  <si>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</si>
  <si>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</si>
  <si>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</si>
  <si>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</si>
  <si>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</si>
  <si>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</si>
  <si>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</si>
  <si>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</si>
  <si>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</si>
  <si>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</si>
  <si>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</si>
  <si>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</si>
  <si>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</si>
  <si>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</si>
  <si>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</si>
  <si>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</si>
  <si>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</si>
  <si>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</si>
  <si>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</si>
  <si>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</si>
  <si>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</si>
  <si>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</si>
  <si>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</si>
  <si>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</si>
  <si>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</si>
  <si>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</si>
  <si>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</si>
  <si>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</si>
  <si>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</si>
  <si>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</si>
  <si>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</si>
  <si>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</si>
  <si>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</si>
  <si>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</si>
  <si>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</si>
  <si>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</si>
  <si>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</si>
  <si>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</si>
  <si>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</si>
  <si>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</si>
  <si>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</si>
  <si>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</si>
  <si>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</si>
  <si>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</si>
  <si>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</si>
  <si>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</si>
  <si>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</si>
  <si>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</si>
  <si>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</si>
  <si>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</si>
  <si>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</si>
  <si>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</si>
  <si>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</si>
  <si>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</si>
  <si>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</si>
  <si>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</si>
  <si>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</si>
  <si>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</si>
  <si>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</si>
  <si>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</si>
  <si>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</si>
  <si>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</si>
  <si>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</si>
  <si>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</si>
  <si>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</si>
  <si>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</si>
  <si>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</si>
  <si>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</si>
  <si>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</si>
  <si>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</si>
  <si>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</si>
  <si>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</si>
  <si>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</si>
  <si>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</si>
  <si>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</si>
  <si>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</si>
  <si>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</si>
  <si>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</si>
  <si>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</si>
  <si>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</si>
  <si>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</si>
  <si>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</si>
  <si>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</si>
  <si>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</si>
  <si>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</si>
  <si>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</si>
  <si>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</si>
  <si>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</si>
  <si>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</si>
  <si>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</si>
  <si>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</si>
  <si>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</si>
  <si>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</si>
  <si>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</si>
  <si>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</si>
  <si>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</si>
  <si>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</si>
  <si>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</si>
  <si>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</si>
  <si>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</si>
  <si>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</si>
  <si>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</si>
  <si>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</si>
  <si>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</si>
  <si>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</si>
  <si>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</si>
  <si>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</si>
  <si>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</si>
  <si>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</si>
  <si>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</si>
  <si>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</si>
  <si>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</si>
  <si>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</si>
  <si>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</si>
  <si>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</si>
  <si>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</si>
  <si>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</si>
  <si>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</si>
  <si>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</si>
  <si>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</si>
  <si>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</si>
  <si>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</si>
  <si>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</si>
  <si>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</si>
  <si>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</si>
  <si>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</si>
  <si>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</si>
  <si>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</si>
  <si>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</si>
  <si>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</si>
  <si>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</si>
  <si>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</si>
  <si>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</si>
  <si>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</si>
  <si>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</si>
  <si>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</si>
  <si>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</si>
  <si>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</si>
  <si>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</si>
  <si>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</si>
  <si>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</si>
  <si>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</si>
  <si>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</si>
  <si>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</si>
  <si>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</si>
  <si>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</si>
  <si>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</si>
  <si>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</si>
  <si>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</si>
  <si>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</si>
  <si>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</si>
  <si>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</si>
  <si>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</si>
  <si>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</si>
  <si>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</si>
  <si>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</si>
  <si>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</si>
  <si>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</si>
  <si>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</si>
  <si>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</si>
  <si>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</si>
  <si>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</si>
  <si>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</si>
  <si>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</si>
  <si>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</si>
  <si>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</si>
  <si>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</si>
  <si>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</si>
  <si>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</si>
  <si>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</si>
  <si>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</si>
  <si>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</si>
  <si>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</si>
  <si>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</si>
  <si>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</si>
  <si>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</si>
  <si>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</si>
  <si>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</si>
  <si>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</si>
  <si>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</si>
  <si>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</si>
  <si>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</si>
  <si>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</si>
  <si>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</si>
  <si>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</si>
  <si>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</si>
  <si>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</si>
  <si>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</si>
  <si>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</si>
  <si>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</si>
  <si>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</si>
  <si>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</si>
  <si>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</si>
  <si>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</si>
  <si>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</si>
  <si>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</si>
  <si>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</si>
  <si>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</si>
  <si>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</si>
  <si>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</si>
  <si>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</si>
  <si>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</si>
  <si>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</si>
  <si>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</si>
  <si>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</si>
  <si>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</si>
  <si>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</si>
  <si>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</si>
  <si>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</si>
  <si>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</si>
  <si>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</si>
  <si>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</si>
  <si>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</si>
  <si>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</si>
  <si>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</si>
  <si>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</si>
  <si>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</si>
  <si>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</si>
  <si>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</si>
  <si>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</si>
  <si>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</si>
  <si>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</si>
  <si>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</si>
  <si>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</si>
  <si>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</si>
  <si>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</si>
  <si>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</si>
  <si>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</si>
  <si>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</si>
  <si>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</si>
  <si>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</si>
  <si>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</si>
  <si>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</si>
  <si>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</si>
  <si>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</si>
  <si>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</si>
  <si>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</si>
  <si>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</si>
  <si>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</si>
  <si>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</si>
  <si>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</si>
  <si>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</si>
  <si>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</si>
  <si>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</si>
  <si>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</si>
  <si>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</si>
  <si>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</si>
  <si>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</si>
  <si>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</si>
  <si>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</si>
  <si>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</si>
  <si>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</si>
  <si>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</si>
  <si>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</si>
  <si>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</si>
  <si>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</si>
  <si>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</si>
  <si>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</si>
  <si>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</si>
  <si>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</si>
  <si>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</si>
  <si>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</si>
  <si>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</si>
  <si>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</si>
  <si>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</si>
  <si>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</si>
  <si>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</si>
  <si>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</si>
  <si>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</si>
  <si>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</si>
  <si>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</si>
  <si>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</si>
  <si>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</si>
  <si>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</si>
  <si>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</si>
  <si>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</si>
  <si>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</si>
  <si>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</si>
  <si>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</si>
  <si>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</si>
  <si>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</si>
  <si>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</si>
  <si>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</si>
  <si>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</si>
  <si>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</si>
  <si>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</si>
  <si>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</si>
  <si>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</si>
  <si>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</si>
  <si>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</si>
  <si>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</si>
  <si>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</si>
  <si>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</si>
  <si>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</si>
  <si>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</si>
  <si>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</si>
  <si>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</si>
  <si>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</si>
  <si>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</si>
  <si>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</si>
  <si>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</si>
  <si>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</si>
  <si>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</si>
  <si>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</si>
  <si>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</si>
  <si>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</si>
  <si>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</si>
  <si>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</si>
  <si>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</si>
  <si>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</si>
  <si>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</si>
  <si>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</si>
  <si>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</si>
  <si>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</si>
  <si>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</si>
  <si>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</si>
  <si>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</si>
  <si>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</si>
  <si>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</si>
  <si>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</si>
  <si>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</si>
  <si>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</si>
  <si>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</si>
  <si>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</si>
  <si>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</si>
  <si>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</si>
  <si>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</si>
  <si>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</si>
  <si>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</si>
  <si>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</si>
  <si>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</si>
  <si>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</si>
  <si>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</si>
  <si>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</si>
  <si>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</si>
  <si>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</si>
  <si>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</si>
  <si>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</si>
  <si>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</si>
  <si>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</si>
  <si>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</si>
  <si>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</si>
  <si>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</si>
  <si>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</si>
  <si>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</si>
  <si>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</si>
  <si>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</si>
  <si>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</si>
  <si>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</si>
  <si>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</si>
  <si>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</si>
  <si>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</si>
  <si>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</si>
  <si>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</si>
  <si>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</si>
  <si>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</si>
  <si>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</si>
  <si>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</si>
  <si>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</si>
  <si>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</si>
  <si>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</si>
  <si>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</si>
  <si>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</si>
  <si>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</si>
  <si>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</si>
  <si>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</si>
  <si>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</si>
  <si>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</si>
  <si>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</si>
  <si>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</si>
  <si>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</si>
  <si>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</si>
  <si>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</si>
  <si>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</si>
  <si>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</si>
  <si>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</si>
  <si>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</si>
  <si>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</si>
  <si>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</si>
  <si>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</si>
  <si>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</si>
  <si>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</si>
  <si>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</si>
  <si>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</si>
  <si>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</si>
  <si>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</si>
  <si>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</si>
  <si>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</si>
  <si>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</si>
  <si>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</si>
  <si>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</si>
  <si>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</si>
  <si>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</si>
  <si>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</si>
  <si>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</si>
  <si>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</si>
  <si>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</si>
  <si>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</si>
  <si>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</si>
  <si>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</si>
  <si>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</si>
  <si>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</si>
  <si>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</si>
  <si>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</si>
  <si>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</si>
  <si>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</si>
  <si>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</si>
  <si>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</si>
  <si>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</si>
  <si>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</si>
  <si>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</si>
  <si>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</si>
  <si>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</si>
  <si>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</si>
  <si>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</si>
  <si>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</si>
  <si>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</si>
  <si>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</si>
  <si>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</si>
  <si>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</si>
  <si>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</si>
  <si>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</si>
  <si>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</si>
  <si>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</si>
  <si>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</si>
  <si>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</si>
  <si>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</si>
  <si>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</si>
  <si>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</si>
  <si>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</si>
  <si>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</si>
  <si>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</si>
  <si>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</si>
  <si>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</si>
  <si>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</si>
  <si>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</si>
  <si>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</si>
  <si>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</si>
  <si>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</si>
  <si>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</si>
  <si>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</si>
  <si>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</si>
  <si>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</si>
  <si>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</si>
  <si>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</si>
  <si>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</si>
  <si>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</si>
  <si>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</si>
  <si>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</si>
  <si>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</si>
  <si>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</si>
  <si>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</si>
  <si>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</si>
  <si>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</si>
  <si>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</si>
  <si>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</si>
  <si>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</si>
  <si>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</si>
  <si>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</si>
  <si>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</si>
  <si>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</si>
  <si>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</si>
  <si>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</si>
  <si>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</si>
  <si>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</si>
  <si>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</si>
  <si>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</si>
  <si>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</si>
  <si>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</si>
  <si>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</si>
  <si>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</si>
  <si>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</si>
  <si>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</si>
  <si>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</si>
  <si>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</si>
  <si>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</si>
  <si>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</si>
  <si>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</si>
  <si>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</si>
  <si>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</si>
  <si>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</si>
  <si>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</si>
  <si>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</si>
  <si>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</si>
  <si>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</si>
  <si>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</si>
  <si>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</si>
  <si>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</si>
  <si>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</si>
  <si>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</si>
  <si>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</si>
  <si>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</si>
  <si>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</si>
  <si>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</si>
  <si>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</si>
  <si>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</si>
  <si>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</si>
  <si>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</si>
  <si>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</si>
  <si>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</si>
  <si>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</si>
  <si>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</si>
  <si>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</si>
  <si>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</si>
  <si>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</si>
  <si>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</si>
  <si>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</si>
  <si>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</si>
  <si>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</si>
  <si>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</si>
  <si>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</si>
  <si>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</si>
  <si>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</si>
  <si>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</si>
  <si>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</si>
  <si>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</si>
  <si>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</si>
  <si>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</si>
  <si>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</si>
  <si>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</si>
  <si>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</si>
  <si>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</si>
  <si>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</si>
  <si>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</si>
  <si>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</si>
  <si>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</si>
  <si>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</si>
  <si>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</si>
  <si>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</si>
  <si>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</si>
  <si>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</si>
  <si>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</si>
  <si>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</si>
  <si>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</si>
  <si>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</si>
  <si>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</si>
  <si>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</si>
  <si>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</si>
  <si>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</si>
  <si>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</si>
  <si>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</si>
  <si>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</si>
  <si>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</si>
  <si>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</si>
  <si>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</si>
  <si>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</si>
  <si>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</si>
  <si>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</si>
  <si>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</si>
  <si>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</si>
  <si>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</si>
  <si>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</si>
  <si>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</si>
  <si>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</si>
  <si>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</si>
  <si>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</si>
  <si>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</si>
  <si>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</si>
  <si>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</si>
  <si>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</si>
  <si>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</si>
  <si>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</si>
  <si>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</si>
  <si>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</si>
  <si>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</si>
  <si>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</si>
  <si>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</si>
  <si>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</si>
  <si>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</si>
  <si>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</si>
  <si>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</si>
  <si>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</si>
  <si>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</si>
  <si>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</si>
  <si>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</si>
  <si>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</si>
  <si>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</si>
  <si>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</si>
  <si>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</si>
  <si>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</si>
  <si>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</si>
  <si>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</si>
  <si>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</si>
  <si>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</si>
  <si>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</si>
  <si>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</si>
  <si>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</si>
  <si>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</si>
  <si>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</si>
  <si>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</si>
  <si>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</si>
  <si>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</si>
  <si>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</si>
  <si>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</si>
  <si>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</si>
  <si>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</si>
  <si>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</si>
  <si>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</si>
  <si>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</si>
  <si>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</si>
  <si>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</si>
  <si>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</si>
  <si>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</si>
  <si>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</si>
  <si>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</si>
  <si>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</si>
  <si>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</si>
  <si>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</si>
  <si>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</si>
  <si>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</si>
  <si>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</si>
  <si>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</si>
  <si>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</si>
  <si>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</si>
  <si>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</si>
  <si>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</si>
  <si>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</si>
  <si>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</si>
  <si>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</si>
  <si>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</si>
  <si>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</si>
  <si>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</si>
  <si>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</si>
  <si>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</si>
  <si>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</si>
  <si>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</si>
  <si>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</si>
  <si>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</si>
  <si>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</si>
  <si>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</si>
  <si>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</si>
  <si>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</si>
  <si>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</si>
  <si>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</si>
  <si>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</si>
  <si>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</si>
  <si>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</si>
  <si>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</si>
  <si>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</si>
  <si>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</si>
  <si>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</si>
  <si>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</si>
  <si>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</si>
  <si>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</si>
  <si>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</si>
  <si>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</si>
  <si>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</si>
  <si>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</si>
  <si>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</si>
  <si>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</si>
  <si>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</si>
  <si>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</si>
  <si>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</si>
  <si>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</si>
  <si>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</si>
  <si>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</si>
  <si>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</si>
  <si>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</si>
  <si>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</si>
  <si>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</si>
  <si>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</si>
  <si>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</si>
  <si>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</si>
  <si>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</si>
  <si>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</si>
  <si>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</si>
  <si>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</si>
  <si>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</si>
  <si>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</si>
  <si>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</si>
  <si>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</si>
  <si>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</si>
  <si>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</si>
  <si>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</si>
  <si>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</si>
  <si>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</si>
  <si>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</si>
  <si>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</si>
  <si>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</si>
  <si>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</si>
  <si>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</si>
  <si>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</si>
  <si>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</si>
  <si>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</si>
  <si>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</si>
  <si>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</si>
  <si>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</si>
  <si>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</si>
  <si>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</si>
  <si>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</si>
  <si>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</si>
  <si>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</si>
  <si>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</si>
  <si>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</si>
  <si>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</si>
  <si>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</si>
  <si>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</si>
  <si>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</si>
  <si>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</si>
  <si>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</si>
  <si>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</si>
  <si>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</si>
  <si>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</si>
  <si>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</si>
  <si>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</si>
  <si>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</si>
  <si>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</si>
  <si>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</si>
  <si>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</si>
  <si>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</si>
  <si>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</si>
  <si>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</si>
  <si>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</si>
  <si>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</si>
  <si>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</si>
  <si>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</si>
  <si>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</si>
  <si>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</si>
  <si>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</si>
  <si>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</si>
  <si>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</si>
  <si>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</si>
  <si>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</si>
  <si>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</si>
  <si>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</si>
  <si>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</si>
  <si>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</si>
  <si>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</si>
  <si>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</si>
  <si>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</si>
  <si>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</si>
  <si>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</si>
  <si>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</si>
  <si>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</si>
  <si>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</si>
  <si>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</si>
  <si>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</si>
  <si>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</si>
  <si>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</si>
  <si>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</si>
  <si>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</si>
  <si>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</si>
  <si>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</si>
  <si>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</si>
  <si>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</si>
  <si>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</si>
  <si>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</si>
  <si>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</si>
  <si>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</si>
  <si>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</si>
  <si>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</si>
  <si>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</si>
  <si>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</si>
  <si>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</si>
  <si>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</si>
  <si>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</si>
  <si>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</si>
  <si>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</si>
  <si>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</si>
  <si>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</si>
  <si>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</si>
  <si>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</si>
  <si>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</si>
  <si>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</si>
  <si>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</si>
  <si>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</si>
  <si>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</si>
  <si>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</si>
  <si>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</si>
  <si>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</si>
  <si>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</si>
  <si>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</si>
  <si>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</si>
  <si>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</si>
  <si>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</si>
  <si>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</si>
  <si>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</si>
  <si>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</si>
  <si>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</si>
  <si>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</si>
  <si>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</si>
  <si>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</si>
  <si>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</si>
  <si>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</si>
  <si>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</si>
  <si>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</si>
  <si>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</si>
  <si>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</si>
  <si>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</si>
  <si>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</si>
  <si>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</si>
  <si>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</si>
  <si>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</si>
  <si>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</si>
  <si>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</si>
  <si>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</si>
  <si>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</si>
  <si>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</si>
  <si>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</si>
  <si>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</si>
  <si>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</si>
  <si>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</si>
  <si>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</si>
  <si>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</si>
  <si>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</si>
  <si>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</si>
  <si>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</si>
  <si>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</si>
  <si>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</si>
  <si>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</si>
  <si>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</si>
  <si>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</si>
  <si>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</si>
  <si>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</si>
  <si>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</si>
  <si>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</si>
  <si>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</si>
  <si>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</si>
  <si>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</si>
  <si>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</si>
  <si>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</si>
  <si>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</si>
  <si>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</si>
  <si>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</si>
  <si>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</si>
  <si>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</si>
  <si>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</si>
  <si>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</si>
  <si>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</si>
  <si>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</si>
  <si>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</si>
  <si>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</si>
  <si>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</si>
  <si>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</si>
  <si>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</si>
  <si>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</si>
  <si>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</si>
  <si>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</si>
  <si>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</si>
  <si>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</si>
  <si>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</si>
  <si>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</si>
  <si>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</si>
  <si>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</si>
  <si>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</si>
  <si>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</si>
  <si>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</si>
  <si>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</si>
  <si>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</si>
  <si>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</si>
  <si>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</si>
  <si>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</si>
  <si>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</si>
  <si>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</si>
  <si>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</si>
  <si>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</si>
  <si>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</si>
  <si>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</si>
  <si>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</si>
  <si>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</si>
  <si>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</si>
  <si>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</si>
  <si>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</si>
  <si>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</si>
  <si>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</si>
  <si>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</si>
  <si>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</si>
  <si>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</si>
  <si>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</si>
  <si>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</si>
  <si>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</si>
  <si>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</si>
  <si>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</si>
  <si>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</si>
  <si>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</si>
  <si>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</si>
  <si>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</si>
  <si>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</si>
  <si>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</si>
  <si>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</si>
  <si>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</si>
  <si>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</si>
  <si>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</si>
  <si>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</si>
  <si>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</si>
  <si>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</si>
  <si>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</si>
  <si>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</si>
  <si>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</si>
  <si>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</si>
  <si>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</si>
  <si>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</si>
  <si>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</si>
  <si>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</si>
  <si>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</si>
  <si>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</si>
  <si>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</si>
  <si>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</si>
  <si>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</si>
  <si>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</si>
  <si>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</si>
  <si>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</si>
  <si>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</si>
  <si>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</si>
  <si>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</si>
  <si>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</si>
  <si>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</si>
  <si>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</si>
  <si>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</si>
  <si>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</si>
  <si>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</si>
  <si>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</si>
  <si>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</si>
  <si>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</si>
  <si>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</si>
  <si>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</si>
  <si>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</si>
  <si>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</si>
  <si>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</si>
  <si>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</si>
  <si>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</si>
  <si>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</si>
  <si>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</si>
  <si>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</si>
  <si>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</si>
  <si>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</si>
  <si>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</si>
  <si>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</si>
  <si>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</si>
  <si>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</si>
  <si>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</si>
  <si>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</si>
  <si>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</si>
  <si>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</si>
  <si>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</si>
  <si>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</si>
  <si>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</si>
  <si>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</si>
  <si>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</si>
  <si>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</si>
  <si>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</si>
  <si>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</si>
  <si>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</si>
  <si>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</si>
  <si>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</si>
  <si>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</si>
  <si>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</si>
  <si>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</si>
  <si>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</si>
  <si>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</si>
  <si>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</si>
  <si>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</si>
  <si>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</si>
  <si>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</si>
  <si>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</si>
  <si>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</si>
  <si>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</si>
  <si>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</si>
  <si>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</si>
  <si>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</si>
  <si>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</si>
  <si>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</si>
  <si>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</si>
  <si>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</si>
  <si>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</si>
  <si>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</si>
  <si>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</si>
  <si>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</si>
  <si>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</si>
  <si>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</si>
  <si>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</si>
  <si>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</si>
  <si>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</si>
  <si>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</si>
  <si>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</si>
  <si>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</si>
  <si>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</si>
  <si>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</si>
  <si>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</si>
  <si>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</si>
  <si>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</si>
  <si>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</si>
  <si>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</si>
  <si>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</si>
  <si>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</si>
  <si>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</si>
  <si>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</si>
  <si>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</si>
  <si>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</si>
  <si>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</si>
  <si>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</si>
  <si>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</si>
  <si>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</si>
  <si>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</si>
  <si>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</si>
  <si>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</si>
  <si>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</si>
  <si>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</si>
  <si>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</si>
  <si>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</si>
  <si>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</si>
  <si>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</si>
  <si>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</si>
  <si>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</si>
  <si>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</si>
  <si>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</si>
  <si>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</si>
  <si>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</si>
  <si>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</si>
  <si>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</si>
  <si>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</si>
  <si>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</si>
  <si>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</si>
  <si>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</si>
  <si>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</si>
  <si>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</si>
  <si>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</si>
  <si>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</si>
  <si>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</si>
  <si>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</si>
  <si>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</si>
  <si>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</si>
  <si>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</si>
  <si>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</si>
  <si>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</si>
  <si>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</si>
  <si>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</si>
  <si>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</si>
  <si>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</si>
  <si>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</si>
  <si>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</si>
  <si>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</si>
  <si>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</si>
  <si>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</si>
  <si>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</si>
  <si>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</si>
  <si>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</si>
  <si>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</si>
  <si>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</si>
  <si>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</si>
  <si>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</si>
  <si>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</si>
  <si>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</si>
  <si>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</si>
  <si>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</si>
  <si>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</si>
  <si>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</si>
  <si>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</si>
  <si>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</si>
  <si>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</si>
  <si>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</si>
  <si>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</si>
  <si>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</si>
  <si>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</si>
  <si>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</si>
  <si>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</si>
  <si>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</si>
  <si>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</si>
  <si>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</si>
  <si>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</si>
  <si>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</si>
  <si>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</si>
  <si>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</si>
  <si>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</si>
  <si>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</si>
  <si>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</si>
  <si>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</si>
  <si>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</si>
  <si>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</si>
  <si>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</si>
  <si>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</si>
  <si>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</si>
  <si>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</si>
  <si>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</si>
  <si>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</si>
  <si>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</si>
  <si>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</si>
  <si>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</si>
  <si>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</si>
  <si>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</si>
  <si>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</si>
  <si>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</si>
  <si>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</si>
  <si>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</si>
  <si>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</si>
  <si>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</si>
  <si>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</si>
  <si>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</si>
  <si>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</si>
  <si>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</si>
  <si>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</si>
  <si>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</si>
  <si>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</si>
  <si>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</si>
  <si>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</si>
  <si>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</si>
  <si>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</si>
  <si>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</si>
  <si>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</si>
  <si>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</si>
  <si>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</si>
  <si>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</si>
  <si>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</si>
  <si>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</si>
  <si>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</si>
  <si>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</si>
  <si>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</si>
  <si>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</si>
  <si>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</si>
  <si>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</si>
  <si>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</si>
  <si>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</si>
  <si>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</si>
  <si>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</si>
  <si>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</si>
  <si>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</si>
  <si>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</si>
  <si>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</si>
  <si>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</si>
  <si>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</si>
  <si>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</si>
  <si>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</si>
  <si>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</si>
  <si>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</si>
  <si>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</si>
  <si>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</si>
  <si>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</si>
  <si>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</si>
  <si>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</si>
  <si>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</si>
  <si>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</si>
  <si>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</si>
  <si>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</si>
  <si>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</si>
  <si>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</si>
  <si>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</si>
  <si>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</si>
  <si>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</si>
  <si>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</si>
  <si>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</si>
  <si>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</si>
  <si>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</si>
  <si>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</si>
  <si>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</si>
  <si>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</si>
  <si>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</si>
  <si>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</si>
  <si>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</si>
  <si>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</si>
  <si>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</si>
  <si>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</si>
  <si>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</si>
  <si>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</si>
  <si>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</si>
  <si>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</si>
  <si>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</si>
  <si>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</si>
  <si>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</si>
  <si>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</si>
  <si>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</si>
  <si>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</si>
  <si>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</si>
  <si>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</si>
  <si>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</si>
  <si>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</si>
  <si>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</si>
  <si>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</si>
  <si>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</si>
  <si>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</si>
  <si>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</si>
  <si>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</si>
  <si>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</si>
  <si>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</si>
  <si>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</si>
  <si>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</si>
  <si>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</si>
  <si>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</si>
  <si>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</si>
  <si>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</si>
  <si>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</si>
  <si>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</si>
  <si>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</si>
  <si>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</si>
  <si>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</si>
  <si>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</si>
  <si>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</si>
  <si>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</si>
  <si>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</si>
  <si>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</si>
  <si>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</si>
  <si>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</si>
  <si>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</si>
  <si>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</si>
  <si>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</si>
  <si>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</si>
  <si>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</si>
  <si>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</si>
  <si>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</si>
  <si>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</si>
  <si>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</si>
  <si>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</si>
  <si>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</si>
  <si>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</si>
  <si>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</si>
  <si>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</si>
  <si>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</si>
  <si>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</si>
  <si>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</si>
  <si>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</si>
  <si>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</si>
  <si>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</si>
  <si>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</si>
  <si>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</si>
  <si>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</si>
  <si>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</si>
  <si>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</si>
  <si>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</si>
  <si>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</si>
  <si>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</si>
  <si>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</si>
  <si>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</si>
  <si>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</si>
  <si>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</si>
  <si>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</si>
  <si>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</si>
  <si>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</si>
  <si>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</si>
  <si>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</si>
  <si>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</si>
  <si>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</si>
  <si>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</si>
  <si>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</si>
  <si>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</si>
  <si>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</si>
  <si>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</si>
  <si>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</si>
  <si>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</si>
  <si>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</si>
  <si>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</si>
  <si>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</si>
  <si>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</si>
  <si>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</si>
  <si>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</si>
  <si>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</si>
  <si>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</si>
  <si>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</si>
  <si>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</si>
  <si>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</si>
  <si>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</si>
  <si>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</si>
  <si>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</si>
  <si>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</si>
  <si>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</si>
  <si>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</si>
  <si>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</si>
  <si>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</si>
  <si>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</si>
  <si>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</si>
  <si>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</si>
  <si>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</si>
  <si>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</si>
  <si>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</si>
  <si>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</si>
  <si>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</si>
  <si>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</si>
  <si>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</si>
  <si>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</si>
  <si>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</si>
  <si>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</si>
  <si>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</si>
  <si>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</si>
  <si>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</si>
  <si>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</si>
  <si>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</si>
  <si>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</si>
  <si>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</si>
  <si>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</si>
  <si>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</si>
  <si>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</si>
  <si>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</si>
  <si>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</si>
  <si>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</si>
  <si>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</si>
  <si>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</si>
  <si>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</si>
  <si>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</si>
  <si>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</si>
  <si>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</si>
  <si>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</si>
  <si>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</si>
  <si>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</si>
  <si>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</si>
  <si>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</si>
  <si>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</si>
  <si>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</si>
  <si>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</si>
  <si>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</si>
  <si>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</si>
  <si>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</si>
  <si>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</si>
  <si>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</si>
  <si>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</si>
  <si>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</si>
  <si>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</si>
  <si>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</si>
  <si>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</si>
  <si>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</si>
  <si>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</si>
  <si>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</si>
  <si>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</si>
  <si>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</si>
  <si>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</si>
  <si>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</si>
  <si>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</si>
  <si>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</si>
  <si>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</si>
  <si>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</si>
  <si>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</si>
  <si>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</si>
  <si>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</si>
  <si>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</si>
  <si>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</si>
  <si>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</si>
  <si>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</si>
  <si>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</si>
  <si>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</si>
  <si>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</si>
  <si>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</si>
  <si>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</si>
  <si>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</si>
  <si>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</si>
  <si>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</si>
  <si>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</si>
  <si>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</si>
  <si>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</si>
  <si>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</si>
  <si>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</si>
  <si>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</si>
  <si>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</si>
  <si>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</si>
  <si>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</si>
  <si>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</si>
  <si>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</si>
  <si>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</si>
  <si>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</si>
  <si>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</si>
  <si>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</si>
  <si>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</si>
  <si>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</si>
  <si>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</si>
  <si>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</si>
  <si>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</si>
  <si>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</si>
  <si>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</si>
  <si>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</si>
  <si>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</si>
  <si>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</si>
  <si>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</si>
  <si>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</si>
  <si>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</si>
  <si>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</si>
  <si>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</si>
  <si>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</si>
  <si>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</si>
  <si>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</si>
  <si>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</si>
  <si>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</si>
  <si>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</si>
  <si>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</si>
  <si>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</si>
  <si>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</si>
  <si>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</si>
  <si>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</si>
  <si>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</si>
  <si>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</si>
  <si>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</si>
  <si>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</si>
  <si>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</si>
  <si>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</si>
  <si>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</si>
  <si>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</si>
  <si>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</si>
  <si>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</si>
  <si>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</si>
  <si>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</si>
  <si>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</si>
  <si>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</si>
  <si>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</si>
  <si>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</si>
  <si>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</si>
  <si>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</si>
  <si>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</si>
  <si>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</si>
  <si>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</si>
  <si>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</si>
  <si>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</si>
  <si>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</si>
  <si>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</si>
  <si>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</si>
  <si>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</si>
  <si>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</si>
  <si>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</si>
  <si>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</si>
  <si>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</si>
  <si>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</si>
  <si>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</si>
  <si>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</si>
  <si>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</si>
  <si>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</si>
  <si>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</si>
  <si>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</si>
  <si>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</si>
  <si>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</si>
  <si>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</si>
  <si>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</si>
  <si>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</si>
  <si>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</si>
  <si>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</si>
  <si>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</si>
  <si>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</si>
  <si>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</si>
  <si>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</si>
  <si>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</si>
  <si>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</si>
  <si>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</si>
  <si>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</si>
  <si>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</si>
  <si>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</si>
  <si>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</si>
  <si>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</si>
  <si>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</si>
  <si>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</si>
  <si>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</si>
  <si>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</si>
  <si>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</si>
  <si>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</si>
  <si>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</si>
  <si>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</si>
  <si>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</si>
  <si>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</si>
  <si>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</si>
  <si>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</si>
  <si>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</si>
  <si>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</si>
  <si>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</si>
  <si>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</si>
  <si>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</si>
  <si>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</si>
  <si>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</si>
  <si>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</si>
  <si>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</si>
  <si>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</si>
  <si>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</si>
  <si>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</si>
  <si>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</si>
  <si>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</si>
  <si>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</si>
  <si>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</si>
  <si>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</si>
  <si>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</si>
  <si>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</si>
  <si>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</si>
  <si>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</si>
  <si>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</si>
  <si>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</si>
  <si>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</si>
  <si>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</si>
  <si>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</si>
  <si>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</si>
  <si>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</si>
  <si>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</si>
  <si>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</si>
  <si>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</si>
  <si>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</si>
  <si>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</si>
  <si>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</si>
  <si>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</si>
  <si>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</si>
  <si>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</si>
  <si>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</si>
  <si>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</si>
  <si>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</si>
  <si>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</si>
  <si>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</si>
  <si>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</si>
  <si>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</si>
  <si>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</si>
  <si>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</si>
  <si>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</si>
  <si>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</si>
  <si>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</si>
  <si>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</si>
  <si>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</si>
  <si>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</si>
  <si>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</si>
  <si>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</si>
  <si>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</si>
  <si>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</si>
  <si>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</si>
  <si>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</si>
  <si>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</si>
  <si>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</si>
  <si>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</si>
  <si>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</si>
  <si>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</si>
  <si>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</si>
  <si>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</si>
  <si>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</si>
  <si>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</si>
  <si>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</si>
  <si>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</si>
  <si>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</si>
  <si>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</si>
  <si>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</si>
  <si>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</si>
  <si>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</si>
  <si>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</si>
  <si>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</si>
  <si>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</si>
  <si>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</si>
  <si>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</si>
  <si>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</si>
  <si>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</si>
  <si>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</si>
  <si>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</si>
  <si>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</si>
  <si>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</si>
  <si>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</si>
  <si>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</si>
  <si>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</si>
  <si>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</si>
  <si>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</si>
  <si>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</si>
  <si>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</si>
  <si>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</si>
  <si>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</si>
  <si>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</si>
  <si>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</si>
  <si>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</si>
  <si>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</si>
  <si>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</si>
  <si>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</si>
  <si>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</si>
  <si>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</si>
  <si>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</si>
  <si>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</si>
  <si>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</si>
  <si>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</si>
  <si>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</si>
  <si>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</si>
  <si>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</si>
  <si>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</si>
  <si>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</si>
  <si>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</si>
  <si>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</si>
  <si>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</si>
  <si>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</si>
  <si>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</si>
  <si>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</si>
  <si>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</si>
  <si>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</si>
  <si>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</si>
  <si>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</si>
  <si>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</si>
  <si>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</si>
  <si>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</si>
  <si>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</si>
  <si>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</si>
  <si>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</si>
  <si>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</si>
  <si>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</si>
  <si>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评估日期</t>
  </si>
  <si>
    <t>贷款机构</t>
  </si>
  <si>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</si>
  <si>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</si>
  <si>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</si>
  <si>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</si>
  <si>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</si>
  <si>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</si>
  <si>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</si>
  <si>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</si>
  <si>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</si>
  <si>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</si>
  <si>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</si>
  <si>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</si>
  <si>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</si>
  <si>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</si>
  <si>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</si>
  <si>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</si>
  <si>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</si>
  <si>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</si>
  <si>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</si>
  <si>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</si>
  <si>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</si>
  <si>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</si>
  <si>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</si>
  <si>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</si>
  <si>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</si>
  <si>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</si>
  <si>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</si>
  <si>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</si>
  <si>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</si>
  <si>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</si>
  <si>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</si>
  <si>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</si>
  <si>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</si>
  <si>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</si>
  <si>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</si>
  <si>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</si>
  <si>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</si>
  <si>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</si>
  <si>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评估通知单</t>
    <phoneticPr fontId="3" type="noConversion"/>
  </si>
  <si>
    <t>仅限于抵押物</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</si>
  <si>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</si>
  <si>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</si>
  <si>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</si>
  <si>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</si>
  <si>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</si>
  <si>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</si>
  <si>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</si>
  <si>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</si>
  <si>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</si>
  <si>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</si>
  <si>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</si>
  <si>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2009-21-P-00045-U</t>
    <phoneticPr fontId="3" type="noConversion"/>
  </si>
  <si>
    <t>王露</t>
    <phoneticPr fontId="3" type="noConversion"/>
  </si>
  <si>
    <t>110221197205068325</t>
    <phoneticPr fontId="3" type="noConversion"/>
  </si>
  <si>
    <t>15810006019</t>
    <phoneticPr fontId="3" type="noConversion"/>
  </si>
  <si>
    <t>昌平镇昌盛园三区</t>
    <phoneticPr fontId="3" type="noConversion"/>
  </si>
  <si>
    <t>28号楼</t>
    <phoneticPr fontId="3" type="noConversion"/>
  </si>
  <si>
    <t>2层3单元</t>
    <phoneticPr fontId="3" type="noConversion"/>
  </si>
  <si>
    <t>202号</t>
    <phoneticPr fontId="3" type="noConversion"/>
  </si>
  <si>
    <t>王露</t>
    <phoneticPr fontId="3" type="noConversion"/>
  </si>
  <si>
    <t>三室二厅二卫一厨</t>
    <phoneticPr fontId="3" type="noConversion"/>
  </si>
  <si>
    <t>复式、平层√、跃层、错层</t>
  </si>
  <si>
    <t>北京住房公积金管理中心昌平管理部</t>
    <phoneticPr fontId="3" type="noConversion"/>
  </si>
  <si>
    <t>马琳琳</t>
    <phoneticPr fontId="3" type="noConversion"/>
  </si>
  <si>
    <t>现房</t>
    <phoneticPr fontId="3" type="noConversion"/>
  </si>
  <si>
    <t>可抵押商品住宅</t>
  </si>
  <si>
    <t>刘朝阳</t>
    <phoneticPr fontId="3" type="noConversion"/>
  </si>
  <si>
    <t>一</t>
    <phoneticPr fontId="3" type="noConversion"/>
  </si>
  <si>
    <t>X京房权证昌字第379846号</t>
    <phoneticPr fontId="3" type="noConversion"/>
  </si>
  <si>
    <t>韩静</t>
    <phoneticPr fontId="3" type="noConversion"/>
  </si>
  <si>
    <t>二手房</t>
    <phoneticPr fontId="3" type="noConversion"/>
  </si>
  <si>
    <t>偏低</t>
    <phoneticPr fontId="3" type="noConversion"/>
  </si>
  <si>
    <t>中介</t>
    <phoneticPr fontId="3" type="noConversion"/>
  </si>
  <si>
    <t>不含任何税费</t>
    <phoneticPr fontId="3" type="noConversion"/>
  </si>
  <si>
    <t>韩静</t>
  </si>
  <si>
    <t>北京住房公积金管理中心昌平管理部</t>
  </si>
  <si>
    <t>2009-21-P-00240-U</t>
    <phoneticPr fontId="3" type="noConversion"/>
  </si>
  <si>
    <t>闫利</t>
    <phoneticPr fontId="3" type="noConversion"/>
  </si>
  <si>
    <t>110229197002230012</t>
    <phoneticPr fontId="3" type="noConversion"/>
  </si>
  <si>
    <t>13651144915</t>
    <phoneticPr fontId="3" type="noConversion"/>
  </si>
  <si>
    <t>昌盛园一区</t>
    <phoneticPr fontId="3" type="noConversion"/>
  </si>
  <si>
    <t>1号楼</t>
    <phoneticPr fontId="3" type="noConversion"/>
  </si>
  <si>
    <t>3层4单元</t>
    <phoneticPr fontId="3" type="noConversion"/>
  </si>
  <si>
    <t>0302号</t>
    <phoneticPr fontId="3" type="noConversion"/>
  </si>
  <si>
    <t>二室一厅一卫一厨</t>
    <phoneticPr fontId="3" type="noConversion"/>
  </si>
  <si>
    <t>复式、平层√、跃层、错层</t>
    <phoneticPr fontId="3" type="noConversion"/>
  </si>
  <si>
    <t>北京住房公积金管理中心昌平管理部</t>
    <phoneticPr fontId="3" type="noConversion"/>
  </si>
  <si>
    <t>刘朝阳</t>
    <phoneticPr fontId="3" type="noConversion"/>
  </si>
  <si>
    <t>三</t>
    <phoneticPr fontId="3" type="noConversion"/>
  </si>
  <si>
    <t>X京房权证昌私移字第227020号</t>
    <phoneticPr fontId="3" type="noConversion"/>
  </si>
  <si>
    <t>张国威</t>
    <phoneticPr fontId="3" type="noConversion"/>
  </si>
  <si>
    <t>二手房</t>
    <phoneticPr fontId="3" type="noConversion"/>
  </si>
  <si>
    <t>双方</t>
    <phoneticPr fontId="3" type="noConversion"/>
  </si>
  <si>
    <t>不含税费</t>
    <phoneticPr fontId="3" type="noConversion"/>
  </si>
  <si>
    <t>张国威</t>
  </si>
  <si>
    <t>2009-21-P-00347-U</t>
    <phoneticPr fontId="3" type="noConversion"/>
  </si>
  <si>
    <t>齐宝军</t>
    <phoneticPr fontId="3" type="noConversion"/>
  </si>
  <si>
    <t>110221197105270032</t>
    <phoneticPr fontId="3" type="noConversion"/>
  </si>
  <si>
    <t>13381261203</t>
    <phoneticPr fontId="3" type="noConversion"/>
  </si>
  <si>
    <t>昌盛园二区</t>
    <phoneticPr fontId="3" type="noConversion"/>
  </si>
  <si>
    <t>2号楼</t>
    <phoneticPr fontId="3" type="noConversion"/>
  </si>
  <si>
    <t>4层1单元</t>
    <phoneticPr fontId="3" type="noConversion"/>
  </si>
  <si>
    <t>8号</t>
    <phoneticPr fontId="3" type="noConversion"/>
  </si>
  <si>
    <t>齐宝军</t>
    <phoneticPr fontId="3" type="noConversion"/>
  </si>
  <si>
    <t>三室一厅一卫一厨</t>
    <phoneticPr fontId="3" type="noConversion"/>
  </si>
  <si>
    <t>X京房权证昌字第382281号</t>
    <phoneticPr fontId="3" type="noConversion"/>
  </si>
  <si>
    <t>二手房</t>
    <phoneticPr fontId="3" type="noConversion"/>
  </si>
  <si>
    <t>中介</t>
    <phoneticPr fontId="3" type="noConversion"/>
  </si>
  <si>
    <t>不含任何税费</t>
    <phoneticPr fontId="3" type="noConversion"/>
  </si>
  <si>
    <t>2009-21-P-00513-U</t>
    <phoneticPr fontId="3" type="noConversion"/>
  </si>
  <si>
    <t>王华表</t>
    <phoneticPr fontId="3" type="noConversion"/>
  </si>
  <si>
    <t>110221197701160040</t>
    <phoneticPr fontId="3" type="noConversion"/>
  </si>
  <si>
    <t>13141120350</t>
    <phoneticPr fontId="3" type="noConversion"/>
  </si>
  <si>
    <t>昌平镇昌盛园二区</t>
    <phoneticPr fontId="3" type="noConversion"/>
  </si>
  <si>
    <t>16号楼</t>
    <phoneticPr fontId="3" type="noConversion"/>
  </si>
  <si>
    <t>5层4单元</t>
    <phoneticPr fontId="3" type="noConversion"/>
  </si>
  <si>
    <t>502号</t>
    <phoneticPr fontId="3" type="noConversion"/>
  </si>
  <si>
    <t>周勇</t>
    <phoneticPr fontId="3" type="noConversion"/>
  </si>
  <si>
    <t>二室二厅一卫一厨</t>
    <phoneticPr fontId="3" type="noConversion"/>
  </si>
  <si>
    <t>X京房权证昌字第382975号</t>
    <phoneticPr fontId="3" type="noConversion"/>
  </si>
  <si>
    <t>侯博华</t>
    <phoneticPr fontId="3" type="noConversion"/>
  </si>
  <si>
    <t>正常</t>
    <phoneticPr fontId="3" type="noConversion"/>
  </si>
  <si>
    <t>侯博华</t>
  </si>
  <si>
    <t>2009-21-P-01038-U</t>
    <phoneticPr fontId="3" type="noConversion"/>
  </si>
  <si>
    <t>周海涛</t>
    <phoneticPr fontId="3" type="noConversion"/>
  </si>
  <si>
    <t>321283198310187418</t>
    <phoneticPr fontId="3" type="noConversion"/>
  </si>
  <si>
    <t>13164254710</t>
    <phoneticPr fontId="3" type="noConversion"/>
  </si>
  <si>
    <t>12号楼</t>
    <phoneticPr fontId="3" type="noConversion"/>
  </si>
  <si>
    <t>5层3单元</t>
    <phoneticPr fontId="3" type="noConversion"/>
  </si>
  <si>
    <t>502号</t>
    <phoneticPr fontId="3" type="noConversion"/>
  </si>
  <si>
    <t>刘学东</t>
    <phoneticPr fontId="3" type="noConversion"/>
  </si>
  <si>
    <t>91162009040196</t>
    <phoneticPr fontId="3" type="noConversion"/>
  </si>
  <si>
    <t>实际成交价61万，7387元每平方米</t>
    <phoneticPr fontId="3" type="noConversion"/>
  </si>
  <si>
    <t>五</t>
    <phoneticPr fontId="3" type="noConversion"/>
  </si>
  <si>
    <t>X京房权证昌字第386137号</t>
    <phoneticPr fontId="3" type="noConversion"/>
  </si>
  <si>
    <t>胡晓</t>
    <phoneticPr fontId="3" type="noConversion"/>
  </si>
  <si>
    <t>胡晓</t>
  </si>
  <si>
    <t>2009-21-P-02201-U</t>
    <phoneticPr fontId="3" type="noConversion"/>
  </si>
  <si>
    <t>孙菲</t>
    <phoneticPr fontId="3" type="noConversion"/>
  </si>
  <si>
    <t>371425198012207640</t>
    <phoneticPr fontId="3" type="noConversion"/>
  </si>
  <si>
    <t>昌平镇昌盛园二区</t>
    <phoneticPr fontId="3" type="noConversion"/>
  </si>
  <si>
    <t>15号楼</t>
    <phoneticPr fontId="3" type="noConversion"/>
  </si>
  <si>
    <t>6层5单元</t>
    <phoneticPr fontId="3" type="noConversion"/>
  </si>
  <si>
    <t>601号</t>
    <phoneticPr fontId="3" type="noConversion"/>
  </si>
  <si>
    <t>91162009070122</t>
    <phoneticPr fontId="3" type="noConversion"/>
  </si>
  <si>
    <t>七</t>
    <phoneticPr fontId="3" type="noConversion"/>
  </si>
  <si>
    <t>X京房权证昌字第395837号</t>
    <phoneticPr fontId="3" type="noConversion"/>
  </si>
  <si>
    <t>二手房</t>
    <phoneticPr fontId="3" type="noConversion"/>
  </si>
  <si>
    <t>2009-21-P-02378-U</t>
    <phoneticPr fontId="3" type="noConversion"/>
  </si>
  <si>
    <t>刘亚萍</t>
    <phoneticPr fontId="3" type="noConversion"/>
  </si>
  <si>
    <t>110221197610286422</t>
    <phoneticPr fontId="3" type="noConversion"/>
  </si>
  <si>
    <t>4层7单元</t>
    <phoneticPr fontId="3" type="noConversion"/>
  </si>
  <si>
    <t>402号</t>
    <phoneticPr fontId="3" type="noConversion"/>
  </si>
  <si>
    <t>91162009070326</t>
    <phoneticPr fontId="3" type="noConversion"/>
  </si>
  <si>
    <t>现房</t>
    <phoneticPr fontId="3" type="noConversion"/>
  </si>
  <si>
    <t>七</t>
    <phoneticPr fontId="3" type="noConversion"/>
  </si>
  <si>
    <t>X京房权证昌字第397452号</t>
    <phoneticPr fontId="3" type="noConversion"/>
  </si>
  <si>
    <t>2009-21-P-02549-U</t>
    <phoneticPr fontId="3" type="noConversion"/>
  </si>
  <si>
    <t>刘颖</t>
    <phoneticPr fontId="3" type="noConversion"/>
  </si>
  <si>
    <t>110221198208198322</t>
    <phoneticPr fontId="3" type="noConversion"/>
  </si>
  <si>
    <t>昌平镇昌盛园二区</t>
    <phoneticPr fontId="3" type="noConversion"/>
  </si>
  <si>
    <t>15号楼</t>
    <phoneticPr fontId="3" type="noConversion"/>
  </si>
  <si>
    <t>6层6单元</t>
    <phoneticPr fontId="3" type="noConversion"/>
  </si>
  <si>
    <t>601号</t>
    <phoneticPr fontId="3" type="noConversion"/>
  </si>
  <si>
    <t>赵建林</t>
    <phoneticPr fontId="3" type="noConversion"/>
  </si>
  <si>
    <t>王立峰</t>
    <phoneticPr fontId="3" type="noConversion"/>
  </si>
  <si>
    <t>九</t>
    <phoneticPr fontId="3" type="noConversion"/>
  </si>
  <si>
    <t>简玉莹</t>
    <phoneticPr fontId="3" type="noConversion"/>
  </si>
  <si>
    <t>不含任何税费</t>
  </si>
  <si>
    <t>简玉莹</t>
  </si>
  <si>
    <t>2009-21-P-02551-U</t>
    <phoneticPr fontId="3" type="noConversion"/>
  </si>
  <si>
    <t>许杰</t>
    <phoneticPr fontId="3" type="noConversion"/>
  </si>
  <si>
    <t>110221197508115926</t>
    <phoneticPr fontId="3" type="noConversion"/>
  </si>
  <si>
    <t>昌平镇昌盛园小区二区</t>
    <phoneticPr fontId="3" type="noConversion"/>
  </si>
  <si>
    <t>9号楼</t>
    <phoneticPr fontId="3" type="noConversion"/>
  </si>
  <si>
    <t>1层3单元</t>
    <phoneticPr fontId="3" type="noConversion"/>
  </si>
  <si>
    <t>302号</t>
    <phoneticPr fontId="3" type="noConversion"/>
  </si>
  <si>
    <t>许杰</t>
    <phoneticPr fontId="3" type="noConversion"/>
  </si>
  <si>
    <t>北京住房公积金管理中心昌平管理部</t>
    <phoneticPr fontId="3" type="noConversion"/>
  </si>
  <si>
    <t>刘朝阳</t>
  </si>
  <si>
    <t>X京房权证昌字第399807号</t>
    <phoneticPr fontId="3" type="noConversion"/>
  </si>
  <si>
    <t>不含税费</t>
    <phoneticPr fontId="3" type="noConversion"/>
  </si>
  <si>
    <t>2009-21-P-02908-U</t>
    <phoneticPr fontId="3" type="noConversion"/>
  </si>
  <si>
    <t>苏建军</t>
    <phoneticPr fontId="3" type="noConversion"/>
  </si>
  <si>
    <t>110221196105250336</t>
    <phoneticPr fontId="3" type="noConversion"/>
  </si>
  <si>
    <t>13号楼</t>
    <phoneticPr fontId="3" type="noConversion"/>
  </si>
  <si>
    <t>4层6单元</t>
    <phoneticPr fontId="3" type="noConversion"/>
  </si>
  <si>
    <t>刘晓林</t>
    <phoneticPr fontId="3" type="noConversion"/>
  </si>
  <si>
    <t>4</t>
    <phoneticPr fontId="3" type="noConversion"/>
  </si>
  <si>
    <t>2009-21-P-02910-U</t>
    <phoneticPr fontId="3" type="noConversion"/>
  </si>
  <si>
    <t>周海霞、何宗蔚</t>
    <phoneticPr fontId="3" type="noConversion"/>
  </si>
  <si>
    <t>110221197809073029、511321197908045833</t>
    <phoneticPr fontId="3" type="noConversion"/>
  </si>
  <si>
    <t>昌平镇昌盛园一区</t>
    <phoneticPr fontId="3" type="noConversion"/>
  </si>
  <si>
    <t>19号楼</t>
    <phoneticPr fontId="3" type="noConversion"/>
  </si>
  <si>
    <t>3层3单元</t>
    <phoneticPr fontId="3" type="noConversion"/>
  </si>
  <si>
    <t>3305号</t>
    <phoneticPr fontId="3" type="noConversion"/>
  </si>
  <si>
    <t>杨旭明</t>
    <phoneticPr fontId="3" type="noConversion"/>
  </si>
  <si>
    <t>三室二厅一卫一厨</t>
    <phoneticPr fontId="3" type="noConversion"/>
  </si>
  <si>
    <t>邢轲</t>
    <phoneticPr fontId="3" type="noConversion"/>
  </si>
  <si>
    <t>2009-21-P-02915-U</t>
    <phoneticPr fontId="3" type="noConversion"/>
  </si>
  <si>
    <t>张宏利</t>
    <phoneticPr fontId="3" type="noConversion"/>
  </si>
  <si>
    <t>110221197508095013</t>
    <phoneticPr fontId="3" type="noConversion"/>
  </si>
  <si>
    <t>昌盛园三区</t>
    <phoneticPr fontId="3" type="noConversion"/>
  </si>
  <si>
    <t>7号楼</t>
    <phoneticPr fontId="3" type="noConversion"/>
  </si>
  <si>
    <t>7层1单元</t>
    <phoneticPr fontId="3" type="noConversion"/>
  </si>
  <si>
    <t>702号</t>
    <phoneticPr fontId="3" type="noConversion"/>
  </si>
  <si>
    <t>高彩虹</t>
    <phoneticPr fontId="3" type="noConversion"/>
  </si>
  <si>
    <t>7</t>
    <phoneticPr fontId="3" type="noConversion"/>
  </si>
  <si>
    <t>三室二厅二卫一厨</t>
    <phoneticPr fontId="3" type="noConversion"/>
  </si>
  <si>
    <t>2009-21-P-02939-U</t>
    <phoneticPr fontId="3" type="noConversion"/>
  </si>
  <si>
    <t>李卫东</t>
    <phoneticPr fontId="3" type="noConversion"/>
  </si>
  <si>
    <t>110221196704030036</t>
    <phoneticPr fontId="3" type="noConversion"/>
  </si>
  <si>
    <t>13552236189</t>
    <phoneticPr fontId="3" type="noConversion"/>
  </si>
  <si>
    <t>18号楼</t>
    <phoneticPr fontId="3" type="noConversion"/>
  </si>
  <si>
    <t>1层4单元</t>
    <phoneticPr fontId="3" type="noConversion"/>
  </si>
  <si>
    <t>102号</t>
    <phoneticPr fontId="3" type="noConversion"/>
  </si>
  <si>
    <t>91162009090116</t>
    <phoneticPr fontId="3" type="noConversion"/>
  </si>
  <si>
    <t>X京房权证昌字第404402号</t>
    <phoneticPr fontId="3" type="noConversion"/>
  </si>
  <si>
    <t>2009-21-P-03066-U</t>
    <phoneticPr fontId="3" type="noConversion"/>
  </si>
  <si>
    <t>林建欣</t>
    <phoneticPr fontId="3" type="noConversion"/>
  </si>
  <si>
    <t>110221197311155916</t>
    <phoneticPr fontId="3" type="noConversion"/>
  </si>
  <si>
    <t>13910153770</t>
    <phoneticPr fontId="3" type="noConversion"/>
  </si>
  <si>
    <t>10号楼</t>
    <phoneticPr fontId="3" type="noConversion"/>
  </si>
  <si>
    <t>6层3单元</t>
    <phoneticPr fontId="3" type="noConversion"/>
  </si>
  <si>
    <t>91162009090237</t>
    <phoneticPr fontId="3" type="noConversion"/>
  </si>
  <si>
    <t>现房</t>
  </si>
  <si>
    <t>十</t>
    <phoneticPr fontId="3" type="noConversion"/>
  </si>
  <si>
    <t>X京房权证昌字第406340号</t>
    <phoneticPr fontId="3" type="noConversion"/>
  </si>
  <si>
    <t>二手房</t>
  </si>
  <si>
    <t>2009-21-P-03206-U</t>
    <phoneticPr fontId="3" type="noConversion"/>
  </si>
  <si>
    <t>李峥</t>
    <phoneticPr fontId="3" type="noConversion"/>
  </si>
  <si>
    <t>110221198304288352</t>
    <phoneticPr fontId="3" type="noConversion"/>
  </si>
  <si>
    <t>5层3单元</t>
    <phoneticPr fontId="3" type="noConversion"/>
  </si>
  <si>
    <t>501号</t>
    <phoneticPr fontId="3" type="noConversion"/>
  </si>
  <si>
    <t>91162009100060</t>
    <phoneticPr fontId="3" type="noConversion"/>
  </si>
  <si>
    <t>X京房权证昌字第409023号</t>
    <phoneticPr fontId="3" type="noConversion"/>
  </si>
  <si>
    <t>2009-21-P-03218-U</t>
    <phoneticPr fontId="3" type="noConversion"/>
  </si>
  <si>
    <t>张金国</t>
    <phoneticPr fontId="3" type="noConversion"/>
  </si>
  <si>
    <t>110221197801037517</t>
    <phoneticPr fontId="3" type="noConversion"/>
  </si>
  <si>
    <t>602号</t>
    <phoneticPr fontId="3" type="noConversion"/>
  </si>
  <si>
    <t>91162009100062</t>
    <phoneticPr fontId="3" type="noConversion"/>
  </si>
  <si>
    <t>十一</t>
    <phoneticPr fontId="3" type="noConversion"/>
  </si>
  <si>
    <t>X京房权证昌字第409232号</t>
    <phoneticPr fontId="3" type="noConversion"/>
  </si>
  <si>
    <t>2009-21-P-03271-U</t>
    <phoneticPr fontId="3" type="noConversion"/>
  </si>
  <si>
    <t>崔杨</t>
    <phoneticPr fontId="3" type="noConversion"/>
  </si>
  <si>
    <t>110221197909155021</t>
    <phoneticPr fontId="3" type="noConversion"/>
  </si>
  <si>
    <t>5层1单元</t>
    <phoneticPr fontId="3" type="noConversion"/>
  </si>
  <si>
    <t>91162009100141</t>
    <phoneticPr fontId="3" type="noConversion"/>
  </si>
  <si>
    <t>X京房权证昌字第409924号</t>
    <phoneticPr fontId="3" type="noConversion"/>
  </si>
  <si>
    <t>二手房</t>
    <phoneticPr fontId="3" type="noConversion"/>
  </si>
  <si>
    <t>2009-21-P-03403-U</t>
    <phoneticPr fontId="3" type="noConversion"/>
  </si>
  <si>
    <t>王静</t>
    <phoneticPr fontId="3" type="noConversion"/>
  </si>
  <si>
    <t>232303198306210825</t>
    <phoneticPr fontId="3" type="noConversion"/>
  </si>
  <si>
    <t>昌平镇昌盛园小区</t>
    <phoneticPr fontId="3" type="noConversion"/>
  </si>
  <si>
    <t>郭双峰、邬</t>
    <phoneticPr fontId="3" type="noConversion"/>
  </si>
  <si>
    <t>刘朝阳</t>
    <phoneticPr fontId="3" type="noConversion"/>
  </si>
  <si>
    <t>2009-21-P-03427-U</t>
    <phoneticPr fontId="3" type="noConversion"/>
  </si>
  <si>
    <t>赵守忠</t>
    <phoneticPr fontId="3" type="noConversion"/>
  </si>
  <si>
    <t>110221197912254418</t>
    <phoneticPr fontId="3" type="noConversion"/>
  </si>
  <si>
    <t>孟全国</t>
    <phoneticPr fontId="3" type="noConversion"/>
  </si>
  <si>
    <t>2009-21-P-03430-U</t>
    <phoneticPr fontId="3" type="noConversion"/>
  </si>
  <si>
    <t>王磊</t>
    <phoneticPr fontId="3" type="noConversion"/>
  </si>
  <si>
    <t>110221198009137711</t>
    <phoneticPr fontId="3" type="noConversion"/>
  </si>
  <si>
    <t>14号楼</t>
    <phoneticPr fontId="3" type="noConversion"/>
  </si>
  <si>
    <t>6层7单元</t>
    <phoneticPr fontId="3" type="noConversion"/>
  </si>
  <si>
    <t>91162009110036</t>
    <phoneticPr fontId="3" type="noConversion"/>
  </si>
  <si>
    <t>X京房权证昌字第411395号</t>
    <phoneticPr fontId="3" type="noConversion"/>
  </si>
  <si>
    <t>2009-21-P-03492-U</t>
    <phoneticPr fontId="3" type="noConversion"/>
  </si>
  <si>
    <t>王泽生</t>
    <phoneticPr fontId="3" type="noConversion"/>
  </si>
  <si>
    <t>372822197509263479</t>
    <phoneticPr fontId="3" type="noConversion"/>
  </si>
  <si>
    <t>18号楼</t>
    <phoneticPr fontId="3" type="noConversion"/>
  </si>
  <si>
    <t>309号</t>
    <phoneticPr fontId="3" type="noConversion"/>
  </si>
  <si>
    <t>91162009110043</t>
    <phoneticPr fontId="3" type="noConversion"/>
  </si>
  <si>
    <t>X京房权证昌字第411485号</t>
    <phoneticPr fontId="3" type="noConversion"/>
  </si>
  <si>
    <t>2009-21-P-03583-U</t>
    <phoneticPr fontId="3" type="noConversion"/>
  </si>
  <si>
    <t>韩春</t>
    <phoneticPr fontId="3" type="noConversion"/>
  </si>
  <si>
    <t>110104198102042061</t>
    <phoneticPr fontId="3" type="noConversion"/>
  </si>
  <si>
    <t>91162009110141</t>
    <phoneticPr fontId="3" type="noConversion"/>
  </si>
  <si>
    <t>2009-21-P-03591-U</t>
    <phoneticPr fontId="3" type="noConversion"/>
  </si>
  <si>
    <t>岳建军</t>
    <phoneticPr fontId="3" type="noConversion"/>
  </si>
  <si>
    <t>130922196905180039</t>
    <phoneticPr fontId="3" type="noConversion"/>
  </si>
  <si>
    <t>4号楼</t>
    <phoneticPr fontId="3" type="noConversion"/>
  </si>
  <si>
    <t>1层2单元</t>
    <phoneticPr fontId="3" type="noConversion"/>
  </si>
  <si>
    <t>1号</t>
    <phoneticPr fontId="3" type="noConversion"/>
  </si>
  <si>
    <t>赵增培</t>
    <phoneticPr fontId="3" type="noConversion"/>
  </si>
  <si>
    <t>2009-21-P-03764-U</t>
    <phoneticPr fontId="3" type="noConversion"/>
  </si>
  <si>
    <t>申卫军</t>
    <phoneticPr fontId="3" type="noConversion"/>
  </si>
  <si>
    <t>北字第135741号</t>
    <phoneticPr fontId="3" type="noConversion"/>
  </si>
  <si>
    <t>4层2单元</t>
    <phoneticPr fontId="3" type="noConversion"/>
  </si>
  <si>
    <t>12号</t>
    <phoneticPr fontId="3" type="noConversion"/>
  </si>
  <si>
    <t>二室一厅一卫一厨</t>
  </si>
  <si>
    <t>十二</t>
    <phoneticPr fontId="3" type="noConversion"/>
  </si>
  <si>
    <t>X京房权证昌字第414578号</t>
    <phoneticPr fontId="3" type="noConversion"/>
  </si>
  <si>
    <t>2009-21-P-03772-U</t>
    <phoneticPr fontId="3" type="noConversion"/>
  </si>
  <si>
    <t>黄冬</t>
  </si>
  <si>
    <t>420604198112020034</t>
    <phoneticPr fontId="3" type="noConversion"/>
  </si>
  <si>
    <t>黄冬</t>
    <phoneticPr fontId="3" type="noConversion"/>
  </si>
  <si>
    <t>91162009110289</t>
    <phoneticPr fontId="3" type="noConversion"/>
  </si>
  <si>
    <t>X京房权证昌字第414480号</t>
    <phoneticPr fontId="3" type="noConversion"/>
  </si>
  <si>
    <t>2009-21-P-03828-U</t>
    <phoneticPr fontId="3" type="noConversion"/>
  </si>
  <si>
    <t>李长荣</t>
    <phoneticPr fontId="3" type="noConversion"/>
  </si>
  <si>
    <t>110221196606085615</t>
    <phoneticPr fontId="3" type="noConversion"/>
  </si>
  <si>
    <t>3</t>
    <phoneticPr fontId="3" type="noConversion"/>
  </si>
  <si>
    <t>91162009120033</t>
    <phoneticPr fontId="3" type="noConversion"/>
  </si>
  <si>
    <t>X京房权证昌字第415583号</t>
    <phoneticPr fontId="3" type="noConversion"/>
  </si>
  <si>
    <t>2009-21-P-04049-U</t>
    <phoneticPr fontId="3" type="noConversion"/>
  </si>
  <si>
    <t>张立国</t>
    <phoneticPr fontId="3" type="noConversion"/>
  </si>
  <si>
    <t>110105195903232116</t>
    <phoneticPr fontId="3" type="noConversion"/>
  </si>
  <si>
    <t>13601292342</t>
    <phoneticPr fontId="3" type="noConversion"/>
  </si>
  <si>
    <t>5层4单元</t>
    <phoneticPr fontId="3" type="noConversion"/>
  </si>
  <si>
    <t>二室一厅二卫一厨</t>
    <phoneticPr fontId="3" type="noConversion"/>
  </si>
  <si>
    <t>北京住房公积金管理中心中央国家机关分中心</t>
  </si>
  <si>
    <t>X京房权证昌字第416587号</t>
    <phoneticPr fontId="3" type="noConversion"/>
  </si>
  <si>
    <t>2009-21-P-04082-U</t>
    <phoneticPr fontId="3" type="noConversion"/>
  </si>
  <si>
    <t>刘同利</t>
    <phoneticPr fontId="3" type="noConversion"/>
  </si>
  <si>
    <t>110221197208230017</t>
    <phoneticPr fontId="3" type="noConversion"/>
  </si>
  <si>
    <t>13801359245</t>
    <phoneticPr fontId="3" type="noConversion"/>
  </si>
  <si>
    <t>2层4单元</t>
    <phoneticPr fontId="3" type="noConversion"/>
  </si>
  <si>
    <t>201号</t>
    <phoneticPr fontId="3" type="noConversion"/>
  </si>
  <si>
    <t>三室三厅二卫一厨</t>
    <phoneticPr fontId="3" type="noConversion"/>
  </si>
  <si>
    <t>91162009120536</t>
    <phoneticPr fontId="3" type="noConversion"/>
  </si>
  <si>
    <t>X京房权证昌字第420119号</t>
    <phoneticPr fontId="3" type="noConversion"/>
  </si>
  <si>
    <t>昌平区昌平镇昌盛园一区14号楼5单元5层502</t>
    <phoneticPr fontId="3" type="noConversion"/>
  </si>
  <si>
    <t>6/6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</si>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</sst>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protection locked="0"/>
    </xf>
    <xf numFmtId="0" fontId="19" fillId="23" borderId="1" xfId="0"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0" borderId="1" xfId="0" applyFont="1" applyFill="1" applyBorder="1" applyAlignment="1" applyProtection="1">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4" fontId="19" fillId="0" borderId="1" xfId="19"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196" fontId="19" fillId="0" borderId="1" xfId="0" applyNumberFormat="1" applyFont="1" applyFill="1" applyBorder="1" applyAlignment="1"/>
    <xf numFmtId="9" fontId="19" fillId="0" borderId="1" xfId="0" applyNumberFormat="1" applyFont="1" applyFill="1" applyBorder="1" applyAlignment="1"/>
    <xf numFmtId="2" fontId="19" fillId="0" borderId="1" xfId="0" applyNumberFormat="1" applyFont="1" applyFill="1" applyBorder="1" applyAlignment="1" applyProtection="1">
      <alignment horizontal="right"/>
    </xf>
    <xf numFmtId="196"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pplyProtection="1"/>
    <xf numFmtId="197" fontId="19" fillId="0" borderId="1" xfId="0" applyNumberFormat="1" applyFont="1" applyFill="1" applyBorder="1" applyAlignment="1" applyProtection="1">
      <alignment horizontal="center"/>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pplyProtection="1">
      <protection locked="0"/>
    </xf>
    <xf numFmtId="0" fontId="19" fillId="0" borderId="1" xfId="19" applyNumberFormat="1" applyFont="1" applyFill="1" applyBorder="1" applyAlignment="1">
      <alignment horizontal="left"/>
    </xf>
    <xf numFmtId="177" fontId="19" fillId="0" borderId="1" xfId="0" applyNumberFormat="1" applyFont="1" applyFill="1" applyBorder="1" applyAlignment="1" applyProtection="1"/>
    <xf numFmtId="0" fontId="19" fillId="0" borderId="1" xfId="0" applyFont="1" applyFill="1" applyBorder="1" applyAlignment="1" applyProtection="1">
      <alignment horizontal="center"/>
    </xf>
    <xf numFmtId="0" fontId="19" fillId="0" borderId="0" xfId="0" applyFont="1" applyFill="1" applyBorder="1" applyAlignment="1"/>
    <xf numFmtId="49" fontId="19" fillId="0" borderId="1" xfId="0" applyNumberFormat="1" applyFont="1" applyFill="1" applyBorder="1" applyAlignment="1" applyProtection="1"/>
    <xf numFmtId="31" fontId="19" fillId="0" borderId="1" xfId="0" applyNumberFormat="1" applyFont="1" applyFill="1" applyBorder="1" applyAlignment="1"/>
    <xf numFmtId="183" fontId="19" fillId="0" borderId="1" xfId="0" applyNumberFormat="1" applyFont="1" applyFill="1" applyBorder="1" applyAlignment="1"/>
    <xf numFmtId="0" fontId="19" fillId="0" borderId="1" xfId="0" applyFont="1" applyFill="1" applyBorder="1" applyAlignment="1" applyProtection="1">
      <alignment horizontal="left"/>
    </xf>
    <xf numFmtId="0" fontId="19" fillId="0" borderId="1" xfId="0" applyFont="1" applyFill="1" applyBorder="1" applyAlignment="1">
      <alignment horizontal="left"/>
    </xf>
    <xf numFmtId="0" fontId="19" fillId="19" borderId="1" xfId="0" applyFont="1" applyFill="1" applyBorder="1" applyAlignment="1" applyProtection="1"/>
    <xf numFmtId="0" fontId="19" fillId="19" borderId="1" xfId="0" applyFont="1" applyFill="1" applyBorder="1" applyAlignment="1"/>
    <xf numFmtId="49" fontId="19" fillId="19" borderId="1" xfId="0" applyNumberFormat="1" applyFont="1" applyFill="1" applyBorder="1" applyAlignment="1"/>
    <xf numFmtId="2" fontId="19" fillId="19" borderId="1" xfId="0" applyNumberFormat="1" applyFont="1" applyFill="1" applyBorder="1" applyAlignment="1">
      <alignment horizontal="right"/>
    </xf>
    <xf numFmtId="196" fontId="19" fillId="19" borderId="1" xfId="0" applyNumberFormat="1" applyFont="1" applyFill="1" applyBorder="1" applyAlignment="1"/>
    <xf numFmtId="9" fontId="19" fillId="19" borderId="1" xfId="0" applyNumberFormat="1" applyFont="1" applyFill="1" applyBorder="1" applyAlignment="1"/>
    <xf numFmtId="2" fontId="19" fillId="19" borderId="1" xfId="0" applyNumberFormat="1" applyFont="1" applyFill="1" applyBorder="1" applyAlignment="1" applyProtection="1">
      <alignment horizontal="right"/>
    </xf>
    <xf numFmtId="196" fontId="19" fillId="19" borderId="1" xfId="0" applyNumberFormat="1" applyFont="1" applyFill="1" applyBorder="1" applyAlignment="1">
      <alignment horizontal="right"/>
    </xf>
    <xf numFmtId="31" fontId="19" fillId="19" borderId="1" xfId="0" applyNumberFormat="1" applyFont="1" applyFill="1" applyBorder="1" applyAlignment="1"/>
    <xf numFmtId="0" fontId="19" fillId="19" borderId="1" xfId="0" applyFont="1" applyFill="1" applyBorder="1" applyAlignment="1" applyProtection="1">
      <protection locked="0"/>
    </xf>
    <xf numFmtId="183" fontId="19" fillId="19" borderId="1" xfId="0" applyNumberFormat="1" applyFont="1" applyFill="1" applyBorder="1" applyAlignment="1"/>
    <xf numFmtId="0" fontId="271" fillId="19" borderId="0" xfId="0" applyFont="1" applyFill="1" applyBorder="1" applyAlignment="1"/>
    <xf numFmtId="0" fontId="19" fillId="19" borderId="0" xfId="0" applyFont="1" applyFill="1" applyBorder="1" applyAlignment="1" applyProtection="1">
      <protection locked="0"/>
    </xf>
    <xf numFmtId="0" fontId="19" fillId="19" borderId="0" xfId="0" applyFont="1" applyFill="1" applyBorder="1" applyAlignment="1"/>
    <xf numFmtId="0" fontId="0" fillId="19" borderId="0" xfId="0" applyFill="1">
      <alignment vertical="center"/>
    </xf>
    <xf numFmtId="176" fontId="19" fillId="19" borderId="1" xfId="0" applyNumberFormat="1" applyFont="1" applyFill="1" applyBorder="1" applyAlignment="1">
      <alignment horizontal="right"/>
    </xf>
    <xf numFmtId="0" fontId="19" fillId="19" borderId="1" xfId="0" applyFont="1" applyFill="1" applyBorder="1" applyAlignment="1">
      <alignment horizontal="left"/>
    </xf>
    <xf numFmtId="49" fontId="19" fillId="19" borderId="1" xfId="0" applyNumberFormat="1" applyFont="1" applyFill="1" applyBorder="1" applyAlignment="1" applyProtection="1">
      <alignment horizontal="left"/>
      <protection locked="0"/>
    </xf>
    <xf numFmtId="1" fontId="19" fillId="19" borderId="1" xfId="0" applyNumberFormat="1" applyFont="1" applyFill="1" applyBorder="1" applyAlignment="1">
      <alignment horizontal="center"/>
    </xf>
    <xf numFmtId="49" fontId="19" fillId="19" borderId="1" xfId="0" applyNumberFormat="1" applyFont="1" applyFill="1" applyBorder="1" applyAlignment="1" applyProtection="1"/>
    <xf numFmtId="31" fontId="19" fillId="19" borderId="1" xfId="0" applyNumberFormat="1" applyFont="1" applyFill="1" applyBorder="1" applyAlignment="1" applyProtection="1"/>
    <xf numFmtId="31" fontId="19" fillId="19" borderId="1" xfId="0" applyNumberFormat="1" applyFont="1" applyFill="1" applyBorder="1" applyAlignment="1" applyProtection="1">
      <protection locked="0"/>
    </xf>
    <xf numFmtId="183" fontId="19" fillId="19" borderId="1" xfId="0" applyNumberFormat="1" applyFont="1" applyFill="1" applyBorder="1" applyAlignment="1" applyProtection="1">
      <protection locked="0"/>
    </xf>
    <xf numFmtId="0" fontId="19" fillId="5" borderId="1" xfId="0" applyFont="1" applyFill="1" applyBorder="1" applyAlignment="1" applyProtection="1"/>
    <xf numFmtId="0" fontId="19" fillId="5" borderId="1" xfId="0" applyFont="1" applyFill="1" applyBorder="1" applyAlignment="1"/>
    <xf numFmtId="49" fontId="19" fillId="5" borderId="1" xfId="0" applyNumberFormat="1" applyFont="1" applyFill="1" applyBorder="1" applyAlignment="1"/>
    <xf numFmtId="1" fontId="19" fillId="5" borderId="1" xfId="0" applyNumberFormat="1" applyFont="1" applyFill="1" applyBorder="1" applyAlignment="1">
      <alignment horizontal="center"/>
    </xf>
    <xf numFmtId="2" fontId="19" fillId="5" borderId="1" xfId="0" applyNumberFormat="1" applyFont="1" applyFill="1" applyBorder="1" applyAlignment="1">
      <alignment horizontal="right"/>
    </xf>
    <xf numFmtId="196" fontId="19" fillId="5" borderId="1" xfId="0" applyNumberFormat="1" applyFont="1" applyFill="1" applyBorder="1" applyAlignment="1"/>
    <xf numFmtId="9" fontId="19" fillId="5" borderId="1" xfId="0" applyNumberFormat="1" applyFont="1" applyFill="1" applyBorder="1" applyAlignment="1"/>
    <xf numFmtId="2" fontId="19" fillId="5" borderId="1" xfId="0" applyNumberFormat="1" applyFont="1" applyFill="1" applyBorder="1" applyAlignment="1" applyProtection="1">
      <alignment horizontal="right"/>
    </xf>
    <xf numFmtId="196"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49" fontId="19" fillId="5" borderId="1" xfId="0" applyNumberFormat="1" applyFont="1" applyFill="1" applyBorder="1" applyAlignment="1" applyProtection="1"/>
    <xf numFmtId="31" fontId="19" fillId="5" borderId="1" xfId="0" applyNumberFormat="1" applyFont="1" applyFill="1" applyBorder="1" applyAlignment="1" applyProtection="1"/>
    <xf numFmtId="197" fontId="19" fillId="5" borderId="1" xfId="0" applyNumberFormat="1" applyFont="1" applyFill="1" applyBorder="1" applyAlignment="1" applyProtection="1">
      <alignment horizontal="center"/>
    </xf>
    <xf numFmtId="31" fontId="19" fillId="5" borderId="1" xfId="0" applyNumberFormat="1" applyFont="1" applyFill="1" applyBorder="1" applyAlignment="1" applyProtection="1">
      <protection locked="0"/>
    </xf>
    <xf numFmtId="183" fontId="19" fillId="5" borderId="1" xfId="0" applyNumberFormat="1" applyFont="1" applyFill="1" applyBorder="1" applyAlignment="1" applyProtection="1">
      <protection locked="0"/>
    </xf>
    <xf numFmtId="0" fontId="271" fillId="5" borderId="0" xfId="0" applyFont="1" applyFill="1" applyBorder="1" applyAlignment="1"/>
    <xf numFmtId="0" fontId="19" fillId="5" borderId="0" xfId="0" applyFont="1" applyFill="1" applyBorder="1" applyAlignment="1" applyProtection="1">
      <protection locked="0"/>
    </xf>
    <xf numFmtId="0" fontId="19" fillId="5" borderId="1" xfId="0" applyFont="1" applyFill="1" applyBorder="1" applyAlignment="1">
      <alignment horizontal="left"/>
    </xf>
    <xf numFmtId="31" fontId="19" fillId="5" borderId="1" xfId="0" applyNumberFormat="1" applyFont="1" applyFill="1" applyBorder="1" applyAlignment="1"/>
    <xf numFmtId="183" fontId="19" fillId="5" borderId="1" xfId="0" applyNumberFormat="1" applyFont="1" applyFill="1" applyBorder="1" applyAlignment="1"/>
    <xf numFmtId="0" fontId="19" fillId="5" borderId="0" xfId="0" applyFont="1" applyFill="1" applyBorder="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6124;&#30427;&#22253;&#19968;&#2130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484270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估价对象为北京市房地产，为所有。根据《国有土地使用证》[]，估价对象（分摊）出让国有建设用地使用权面积为0平方米，建筑面积为117.77平方米。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估价对象为北京市房地产,属开发建设的，该项目尚在开发建设中。根据《国有土地使用证》[]，估价对象（分摊）出让国有建设用地使用权面积为0平方米，规划建筑面积为117.77平方米。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2009年9月22日</v>
      </c>
    </row>
    <row r="13" spans="1:2" s="1203" customFormat="1">
      <c r="A13" s="1201" t="s">
        <v>529</v>
      </c>
      <c r="B13" s="1202" t="str">
        <f>'预评函-1'!A18</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117.77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0"/>
      <c r="B54" s="1554" t="s">
        <v>385</v>
      </c>
      <c r="C54" s="1551" t="s">
        <v>583</v>
      </c>
    </row>
    <row r="55" spans="1:4">
      <c r="A55" s="3610"/>
      <c r="B55" s="1554" t="s">
        <v>386</v>
      </c>
      <c r="C55" s="1551" t="s">
        <v>584</v>
      </c>
    </row>
    <row r="56" spans="1:4">
      <c r="A56" s="3610"/>
      <c r="B56" s="1554" t="s">
        <v>387</v>
      </c>
      <c r="C56" s="1551" t="s">
        <v>588</v>
      </c>
    </row>
    <row r="57" spans="1:4">
      <c r="A57" s="36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611" t="s">
        <v>2580</v>
      </c>
      <c r="J2" s="3611"/>
      <c r="K2" s="3611"/>
      <c r="L2" s="3611"/>
      <c r="M2" s="3611"/>
      <c r="N2" s="3611"/>
      <c r="O2" s="3611"/>
      <c r="P2" s="3611"/>
      <c r="Q2" s="3611"/>
      <c r="R2" s="3611"/>
    </row>
    <row r="3" spans="1:18">
      <c r="A3" s="3020" t="s">
        <v>2501</v>
      </c>
      <c r="B3" s="3021">
        <f>项目基本情况!D3</f>
        <v>40078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17.25</v>
      </c>
      <c r="D5" s="3025">
        <f>IF(ISERROR(ROUND(POWER(1+E5,A5-C5)*(POWER(1+E5,C5)-1)/(POWER(1+E5,A5)-1),3)),0,ROUND(POWER(1+E5,A5-C5)*(POWER(1+E5,C5)-1)/(POWER(1+E5,A5)-1),4))</f>
        <v>0.621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27.26</v>
      </c>
      <c r="D6" s="3025">
        <f>IF(ISERROR(ROUND(POWER(1+E6,A6-C6)*(POWER(1+E6,C6)-1)/(POWER(1+E6,A6)-1),3)),0,ROUND(POWER(1+E6,A6-C6)*(POWER(1+E6,C6)-1)/(POWER(1+E6,A6)-1),4))</f>
        <v>0.76419999999999999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47.27</v>
      </c>
      <c r="D7" s="3025">
        <f>IF(ISERROR(ROUND(POWER(1+E7,A7-C7)*(POWER(1+E7,C7)-1)/(POWER(1+E7,A7)-1),3)),0,ROUND(POWER(1+E7,A7-C7)*(POWER(1+E7,C7)-1)/(POWER(1+E7,A7)-1),4))</f>
        <v>0.90129999999999999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7" sqref="D3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620" t="str">
        <f>IF(B10="北京市","北京市",C10)&amp;F10&amp;IF(结果表!G1="在建","出让国有建设用地使用权及在建建筑物",IF(结果表!G1="土地","出让国有建设用地使用权",))&amp;B9&amp;"预评估"</f>
        <v>北京市房地产市场价值预评估</v>
      </c>
      <c r="C1" s="3621"/>
      <c r="D1" s="3621"/>
      <c r="E1" s="3621"/>
      <c r="F1" s="3621"/>
      <c r="G1" s="3621"/>
      <c r="H1" s="3621"/>
      <c r="I1" s="36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40078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623"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624"/>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630"/>
      <c r="C16" s="3631"/>
      <c r="D16" s="3632"/>
      <c r="E16" s="2413" t="s">
        <v>2193</v>
      </c>
      <c r="F16" s="3633"/>
      <c r="G16" s="3634"/>
      <c r="H16" s="3634"/>
      <c r="I16" s="3635"/>
      <c r="J16" s="2439"/>
      <c r="K16" s="2617"/>
      <c r="L16" s="2451"/>
      <c r="M16" s="2451"/>
      <c r="N16" s="2509"/>
      <c r="O16" s="2451"/>
      <c r="P16" s="2509"/>
      <c r="Q16" s="2439"/>
      <c r="R16" s="2439"/>
    </row>
    <row r="17" spans="1:28">
      <c r="A17" s="313" t="s">
        <v>2194</v>
      </c>
      <c r="B17" s="302" t="s">
        <v>2195</v>
      </c>
      <c r="C17" s="8">
        <f>'数据-汇总表'!E3</f>
        <v>117.77</v>
      </c>
      <c r="D17" s="2322" t="s">
        <v>2196</v>
      </c>
      <c r="E17" s="3636" t="s">
        <v>2197</v>
      </c>
      <c r="F17" s="3637"/>
      <c r="G17" s="3637"/>
      <c r="H17" s="3637"/>
      <c r="I17" s="3638"/>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639" t="s">
        <v>2201</v>
      </c>
      <c r="F18" s="3640"/>
      <c r="G18" s="3640"/>
      <c r="H18" s="3640"/>
      <c r="I18" s="3641"/>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26" t="s">
        <v>2205</v>
      </c>
      <c r="C20" s="3627"/>
      <c r="D20" s="3628" t="s">
        <v>2206</v>
      </c>
      <c r="E20" s="3629"/>
      <c r="F20" s="2647" t="s">
        <v>1056</v>
      </c>
      <c r="G20" s="2664"/>
      <c r="H20" s="2664"/>
      <c r="I20" s="2664"/>
      <c r="J20" s="2439"/>
      <c r="K20" s="362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6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6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1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1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1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14"/>
      <c r="B30" s="302" t="s">
        <v>2217</v>
      </c>
      <c r="C30" s="3615"/>
      <c r="D30" s="3616"/>
      <c r="E30" s="2664"/>
      <c r="F30" s="2664"/>
      <c r="G30" s="2664"/>
      <c r="H30" s="2664"/>
      <c r="I30" s="2664"/>
      <c r="J30" s="2439"/>
      <c r="K30" s="2616"/>
      <c r="L30" s="2613"/>
      <c r="M30" s="2613"/>
      <c r="N30" s="2439"/>
      <c r="O30" s="2450"/>
      <c r="P30" s="2439"/>
      <c r="Q30" s="2439"/>
      <c r="R30" s="2439"/>
      <c r="S30" s="2439"/>
      <c r="T30" s="2439"/>
      <c r="U30" s="2439"/>
      <c r="V30" s="2439"/>
    </row>
    <row r="31" spans="1:28">
      <c r="A31" s="361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612" t="s">
        <v>2227</v>
      </c>
      <c r="T34" s="2428" t="str">
        <f>NUMBERSTRING(7-K34,1)&amp;"通"</f>
        <v>七通</v>
      </c>
      <c r="U34" s="2439"/>
      <c r="V34" s="2439"/>
    </row>
    <row r="35" spans="1:30">
      <c r="A35" s="2429"/>
      <c r="B35" s="3619" t="s">
        <v>2228</v>
      </c>
      <c r="C35" s="3619"/>
      <c r="D35" s="3619"/>
      <c r="E35" s="36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117.77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117.77</v>
      </c>
      <c r="H5" s="13">
        <f t="shared" ref="H5:AT5" si="0">SUM(H13:H656)</f>
        <v>117.77</v>
      </c>
      <c r="I5" s="13">
        <f t="shared" si="0"/>
        <v>117.77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117.77</v>
      </c>
      <c r="BA5" s="15">
        <f t="shared" si="1"/>
        <v>117.77</v>
      </c>
      <c r="BB5" s="15">
        <f t="shared" si="1"/>
        <v>117.77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117.77</v>
      </c>
      <c r="H13" s="17">
        <f>SUMIF(I$12:AB$12,"总值",I13:AB13)</f>
        <v>117.77</v>
      </c>
      <c r="I13" s="1626">
        <v>117.77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117.77</v>
      </c>
      <c r="BA13" s="13">
        <f>SUM(BB13:BK13)</f>
        <v>117.77</v>
      </c>
      <c r="BB13" s="13">
        <f>IF($D13="是",I13-J13,0)</f>
        <v>117.77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51" t="s">
        <v>1131</v>
      </c>
      <c r="B2" s="3651"/>
      <c r="C2" s="3651"/>
      <c r="D2" s="796" t="s">
        <v>1107</v>
      </c>
      <c r="E2" s="1639" t="s">
        <v>1108</v>
      </c>
      <c r="F2" s="2659"/>
      <c r="G2" s="2650"/>
      <c r="H2" s="2651"/>
      <c r="I2" s="2325" t="s">
        <v>1132</v>
      </c>
      <c r="J2" s="2659"/>
      <c r="K2" s="2659"/>
      <c r="L2" s="2659"/>
      <c r="M2" s="2659"/>
      <c r="N2" s="2661"/>
      <c r="O2" s="2659"/>
      <c r="P2" s="2659"/>
    </row>
    <row r="3" spans="1:16" ht="15" thickBot="1">
      <c r="A3" s="3652" t="s">
        <v>1105</v>
      </c>
      <c r="B3" s="3652"/>
      <c r="C3" s="3652"/>
      <c r="D3" s="43">
        <f>'数据-基础表'!AY6</f>
        <v>0</v>
      </c>
      <c r="E3" s="43">
        <f>'数据-基础表'!AZ5</f>
        <v>117.77</v>
      </c>
      <c r="F3" s="2659"/>
      <c r="G3" s="1145"/>
      <c r="H3" s="1026" t="s">
        <v>1106</v>
      </c>
      <c r="I3" s="855" t="e">
        <f>ROUND('数据-基础表'!B3/'数据-基础表'!A3,2)</f>
        <v>#DIV/0!</v>
      </c>
      <c r="J3" s="2659"/>
      <c r="K3" s="2659"/>
      <c r="L3" s="2659"/>
      <c r="M3" s="2659"/>
      <c r="N3" s="2661"/>
      <c r="O3" s="2659"/>
      <c r="P3" s="2659"/>
    </row>
    <row r="4" spans="1:16" ht="14.4">
      <c r="A4" s="3653"/>
      <c r="B4" s="3654"/>
      <c r="C4" s="36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56" t="s">
        <v>1110</v>
      </c>
      <c r="C5" s="3656"/>
      <c r="D5" s="45">
        <f>ROUND($D$3*E5/$E$3,2)</f>
        <v>0</v>
      </c>
      <c r="E5" s="46">
        <f>SUMIF('数据-基础表'!$11:$11,"住宅",'数据-基础表'!$5:$5)</f>
        <v>117.77</v>
      </c>
      <c r="F5" s="2659"/>
      <c r="G5" s="1145"/>
      <c r="H5" s="1026" t="s">
        <v>1106</v>
      </c>
      <c r="I5" s="855" t="e">
        <f>ROUND(E31/D31,2)</f>
        <v>#DIV/0!</v>
      </c>
      <c r="J5" s="2659"/>
      <c r="K5" s="2659"/>
      <c r="L5" s="2659"/>
      <c r="M5" s="2659"/>
      <c r="N5" s="2659"/>
      <c r="O5" s="2659"/>
      <c r="P5" s="2659"/>
    </row>
    <row r="6" spans="1:16" ht="15" thickBot="1">
      <c r="A6" s="1644"/>
      <c r="B6" s="3656" t="s">
        <v>1111</v>
      </c>
      <c r="C6" s="3656"/>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48"/>
      <c r="B7" s="3649"/>
      <c r="C7" s="365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117.77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117.77</v>
      </c>
      <c r="F16" s="2659"/>
      <c r="G16" s="2660"/>
      <c r="H16" s="1648" t="s">
        <v>1135</v>
      </c>
      <c r="I16" s="1649"/>
      <c r="J16" s="1139"/>
      <c r="K16" s="3645" t="s">
        <v>1135</v>
      </c>
      <c r="L16" s="3646"/>
      <c r="M16" s="3646"/>
      <c r="N16" s="3646"/>
      <c r="O16" s="3646"/>
      <c r="P16" s="3647"/>
    </row>
    <row r="17" spans="1:19" ht="14.4">
      <c r="A17" s="1650" t="s">
        <v>1136</v>
      </c>
      <c r="B17" s="1651" t="s">
        <v>1137</v>
      </c>
      <c r="C17" s="1652" t="s">
        <v>1138</v>
      </c>
      <c r="D17" s="1653" t="s">
        <v>1126</v>
      </c>
      <c r="E17" s="1654" t="s">
        <v>1127</v>
      </c>
      <c r="F17" s="1655"/>
      <c r="G17" s="1656"/>
      <c r="H17" s="1657" t="s">
        <v>1139</v>
      </c>
      <c r="I17" s="1658" t="s">
        <v>1124</v>
      </c>
      <c r="J17" s="1139"/>
      <c r="K17" s="3642" t="s">
        <v>1140</v>
      </c>
      <c r="L17" s="3643"/>
      <c r="M17" s="3644"/>
      <c r="N17" s="3642" t="s">
        <v>1141</v>
      </c>
      <c r="O17" s="3643"/>
      <c r="P17" s="364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117.77</v>
      </c>
      <c r="F19" s="2795">
        <f>'数据-基础表'!I13</f>
        <v>117.77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117.77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117.77</v>
      </c>
      <c r="F27" s="1140">
        <f>IF(SUM(F19:F26)=E8,SUM(F19:F26),"地上面积有误")</f>
        <v>117.77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117.77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117.77</v>
      </c>
      <c r="F31" s="677">
        <f>F27+F30</f>
        <v>117.77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117.77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9" sqref="B3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40078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117.77</v>
      </c>
      <c r="L6" s="733">
        <v>1650</v>
      </c>
      <c r="M6" s="67">
        <f t="shared" ref="M6:M14" si="0">ROUND(K6*L6/10000,0)</f>
        <v>19</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194320.5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117.77</v>
      </c>
      <c r="L16" s="93">
        <f>ROUND(M16*10000/SUM(K6:K14),0)</f>
        <v>1613</v>
      </c>
      <c r="M16" s="93">
        <f>SUM(M6:M14)</f>
        <v>19</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1-(2009-2001)/50</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5.3099999999999994E-2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57" t="s">
        <v>2285</v>
      </c>
      <c r="B1" s="3658"/>
      <c r="C1" s="3658"/>
      <c r="D1" s="3658"/>
      <c r="E1" s="3658"/>
      <c r="F1" s="3658"/>
      <c r="G1" s="36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117.77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40078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75</v>
      </c>
      <c r="C5" s="2512" t="e">
        <f ca="1">IF(B5=D14,结果表!H102,ROUND(B5*10000/$B$1,0))</f>
        <v>#VALUE!</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117.77</v>
      </c>
      <c r="C14" s="2518"/>
      <c r="D14" s="2518">
        <f ca="1">结果表!G19</f>
        <v>75</v>
      </c>
      <c r="E14" s="2518">
        <f ca="1">ROUND(D14*10000/B14,0)</f>
        <v>6368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5" sqref="D5:D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93" t="str">
        <f>项目基本情况!S2</f>
        <v>北京市房地产</v>
      </c>
      <c r="B2" s="3694"/>
      <c r="C2" s="3694"/>
      <c r="D2" s="3694"/>
      <c r="E2" s="3694"/>
      <c r="F2" s="3694"/>
      <c r="G2" s="3694"/>
      <c r="H2" s="3694"/>
      <c r="I2" s="3695"/>
    </row>
    <row r="3" spans="1:12" ht="13.2">
      <c r="A3" s="3697" t="s">
        <v>1264</v>
      </c>
      <c r="B3" s="3698"/>
      <c r="C3" s="3698"/>
      <c r="D3" s="3698"/>
      <c r="E3" s="3698"/>
      <c r="F3" s="3698"/>
      <c r="G3" s="3698"/>
      <c r="H3" s="3698"/>
      <c r="I3" s="3698"/>
    </row>
    <row r="4" spans="1:12" ht="14.4">
      <c r="A4" s="1754" t="s">
        <v>1265</v>
      </c>
      <c r="B4" s="1755" t="s">
        <v>1266</v>
      </c>
      <c r="C4" s="1756" t="s">
        <v>3410</v>
      </c>
      <c r="D4" s="1756" t="s">
        <v>3411</v>
      </c>
      <c r="E4" s="3699" t="s">
        <v>1267</v>
      </c>
      <c r="F4" s="3700"/>
      <c r="G4" s="3700"/>
      <c r="H4" s="3700"/>
      <c r="I4" s="37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73" t="s">
        <v>1268</v>
      </c>
      <c r="B5" s="3660">
        <v>25</v>
      </c>
      <c r="C5" s="3676">
        <v>10</v>
      </c>
      <c r="D5" s="3696">
        <f>10-C5</f>
        <v>0</v>
      </c>
      <c r="E5" s="131" t="s">
        <v>1269</v>
      </c>
      <c r="F5" s="1757"/>
      <c r="G5" s="1757"/>
      <c r="H5" s="1757"/>
      <c r="I5" s="1373"/>
    </row>
    <row r="6" spans="1:12" ht="13.2">
      <c r="A6" s="3673"/>
      <c r="B6" s="3660"/>
      <c r="C6" s="3677"/>
      <c r="D6" s="3696"/>
      <c r="E6" s="131" t="s">
        <v>1270</v>
      </c>
      <c r="F6" s="1757"/>
      <c r="G6" s="1757"/>
      <c r="H6" s="1757"/>
      <c r="I6" s="1373"/>
    </row>
    <row r="7" spans="1:12" ht="13.2">
      <c r="A7" s="3673"/>
      <c r="B7" s="3660"/>
      <c r="C7" s="3678"/>
      <c r="D7" s="3696"/>
      <c r="E7" s="131" t="s">
        <v>1271</v>
      </c>
      <c r="F7" s="1757"/>
      <c r="G7" s="1757"/>
      <c r="H7" s="1757"/>
      <c r="I7" s="1373"/>
    </row>
    <row r="8" spans="1:12" ht="13.2">
      <c r="A8" s="3673" t="s">
        <v>1272</v>
      </c>
      <c r="B8" s="3660">
        <v>15</v>
      </c>
      <c r="C8" s="3676"/>
      <c r="D8" s="3696"/>
      <c r="E8" s="131" t="s">
        <v>1273</v>
      </c>
      <c r="F8" s="1757"/>
      <c r="G8" s="1757"/>
      <c r="H8" s="1757"/>
      <c r="I8" s="1373"/>
    </row>
    <row r="9" spans="1:12" ht="13.2">
      <c r="A9" s="3673"/>
      <c r="B9" s="3660"/>
      <c r="C9" s="3678"/>
      <c r="D9" s="3696"/>
      <c r="E9" s="131" t="s">
        <v>1274</v>
      </c>
      <c r="F9" s="1757"/>
      <c r="G9" s="1757"/>
      <c r="H9" s="1757"/>
      <c r="I9" s="1373"/>
    </row>
    <row r="10" spans="1:12" ht="13.2">
      <c r="A10" s="3673" t="s">
        <v>1275</v>
      </c>
      <c r="B10" s="3660">
        <v>15</v>
      </c>
      <c r="C10" s="3676"/>
      <c r="D10" s="3696"/>
      <c r="E10" s="131" t="s">
        <v>1276</v>
      </c>
      <c r="F10" s="1757"/>
      <c r="G10" s="1757"/>
      <c r="H10" s="1757"/>
      <c r="I10" s="1373"/>
    </row>
    <row r="11" spans="1:12" ht="13.2">
      <c r="A11" s="3673"/>
      <c r="B11" s="3660"/>
      <c r="C11" s="3678"/>
      <c r="D11" s="3696"/>
      <c r="E11" s="131" t="s">
        <v>1277</v>
      </c>
      <c r="F11" s="1757"/>
      <c r="G11" s="1757"/>
      <c r="H11" s="1757"/>
      <c r="I11" s="1373"/>
    </row>
    <row r="12" spans="1:12" ht="13.2">
      <c r="A12" s="3673" t="s">
        <v>1278</v>
      </c>
      <c r="B12" s="3660">
        <v>15</v>
      </c>
      <c r="C12" s="3676"/>
      <c r="D12" s="3696"/>
      <c r="E12" s="131" t="s">
        <v>1279</v>
      </c>
      <c r="F12" s="1757"/>
      <c r="G12" s="1757"/>
      <c r="H12" s="1757"/>
      <c r="I12" s="1373"/>
    </row>
    <row r="13" spans="1:12" ht="13.2">
      <c r="A13" s="3673"/>
      <c r="B13" s="3660"/>
      <c r="C13" s="3678"/>
      <c r="D13" s="3696"/>
      <c r="E13" s="131" t="s">
        <v>1280</v>
      </c>
      <c r="F13" s="1757"/>
      <c r="G13" s="1757"/>
      <c r="H13" s="1757"/>
      <c r="I13" s="1373"/>
    </row>
    <row r="14" spans="1:12" ht="13.2">
      <c r="A14" s="3673" t="s">
        <v>1281</v>
      </c>
      <c r="B14" s="3660">
        <v>30</v>
      </c>
      <c r="C14" s="3676"/>
      <c r="D14" s="3696"/>
      <c r="E14" s="131" t="s">
        <v>1282</v>
      </c>
      <c r="F14" s="1757"/>
      <c r="G14" s="1757"/>
      <c r="H14" s="1757"/>
      <c r="I14" s="1373"/>
    </row>
    <row r="15" spans="1:12" ht="13.2">
      <c r="A15" s="3673"/>
      <c r="B15" s="3660"/>
      <c r="C15" s="3677"/>
      <c r="D15" s="3696"/>
      <c r="E15" s="131" t="s">
        <v>1283</v>
      </c>
      <c r="F15" s="1757"/>
      <c r="G15" s="1757"/>
      <c r="H15" s="1757"/>
      <c r="I15" s="1373"/>
    </row>
    <row r="16" spans="1:12" ht="13.2">
      <c r="A16" s="3673"/>
      <c r="B16" s="3660"/>
      <c r="C16" s="3678"/>
      <c r="D16" s="3696"/>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683" t="s">
        <v>2130</v>
      </c>
      <c r="F18" s="3684"/>
      <c r="G18" s="3684"/>
      <c r="H18" s="3684"/>
      <c r="I18" s="3684"/>
      <c r="K18" s="302" t="s">
        <v>1289</v>
      </c>
      <c r="L18" s="302">
        <f>IF(C1="",'数据-汇总表'!E3,SUMIF(项目类型,C1,'数据-汇总表'!E17:E26)+SUMIF(项目类型,C1,'数据-汇总表'!I17:I26))</f>
        <v>117.77</v>
      </c>
      <c r="M18" s="302">
        <f>IF(C1="",'数据-汇总表'!E3,SUMIF(项目类型,C1,'数据-汇总表'!E17:E26))</f>
        <v>117.77</v>
      </c>
    </row>
    <row r="19" spans="1:36" ht="14.4">
      <c r="A19" s="1761" t="s">
        <v>1290</v>
      </c>
      <c r="B19" s="1762" t="s">
        <v>1291</v>
      </c>
      <c r="C19" s="134">
        <f ca="1">SUMIF(INDIRECT("'"&amp;C4&amp;"'"&amp;"!A:A"),结果表!B19,INDIRECT("'"&amp;C4&amp;"'"&amp;"!B:B"))</f>
        <v>75.313900000000004</v>
      </c>
      <c r="D19" s="135">
        <f ca="1">SUMIF(INDIRECT("'"&amp;D4&amp;"'"&amp;"!A:A"),结果表!B19,INDIRECT("'"&amp;D4&amp;"'"&amp;"!B:B"))</f>
        <v>91.064899999999994</v>
      </c>
      <c r="E19" s="1761" t="s">
        <v>1292</v>
      </c>
      <c r="F19" s="1762" t="s">
        <v>1291</v>
      </c>
      <c r="G19" s="136">
        <f ca="1">ROUND(C19*$C$18+D19*$D$18,0)</f>
        <v>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6395</v>
      </c>
      <c r="D20" s="138">
        <f ca="1">SUMIF(INDIRECT("'"&amp;D4&amp;"'"&amp;"!A:A"),结果表!B20,INDIRECT("'"&amp;D4&amp;"'"&amp;"!B:B"))</f>
        <v>7732</v>
      </c>
      <c r="E20" s="1764"/>
      <c r="F20" s="1026" t="s">
        <v>1295</v>
      </c>
      <c r="G20" s="139">
        <f ca="1">ROUND(C20*$C$18+D20*$D$18,0)</f>
        <v>6395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0.20913802100276291</v>
      </c>
      <c r="E22" s="129"/>
      <c r="F22" s="129"/>
      <c r="G22" s="129"/>
      <c r="H22" s="129"/>
      <c r="I22" s="129"/>
    </row>
    <row r="23" spans="1:36" ht="13.8" thickBot="1">
      <c r="A23" s="1747"/>
      <c r="B23" s="1747"/>
      <c r="C23" s="1747"/>
      <c r="D23" s="1747"/>
      <c r="E23" s="129"/>
      <c r="F23" s="129"/>
      <c r="G23" s="129"/>
      <c r="H23" s="129"/>
      <c r="I23" s="129"/>
    </row>
    <row r="24" spans="1:36" ht="14.4">
      <c r="A24" s="3667" t="s">
        <v>1299</v>
      </c>
      <c r="B24" s="1762" t="s">
        <v>1291</v>
      </c>
      <c r="C24" s="136">
        <f>IF(B30=0,0,D30)</f>
        <v>0</v>
      </c>
      <c r="D24" s="1769"/>
      <c r="E24" s="129"/>
      <c r="F24" s="129"/>
      <c r="G24" s="129"/>
      <c r="H24" s="129"/>
      <c r="I24" s="129"/>
    </row>
    <row r="25" spans="1:36" ht="14.4">
      <c r="A25" s="36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6395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87" t="s">
        <v>1312</v>
      </c>
      <c r="B36" s="1787" t="s">
        <v>1313</v>
      </c>
      <c r="C36" s="145"/>
      <c r="D36" s="1788"/>
      <c r="E36" s="1789"/>
      <c r="F36" s="1790"/>
      <c r="G36" s="129"/>
      <c r="H36" s="129"/>
      <c r="I36" s="129"/>
    </row>
    <row r="37" spans="1:15" ht="15" thickBot="1">
      <c r="A37" s="3688"/>
      <c r="B37" s="1674" t="s">
        <v>1314</v>
      </c>
      <c r="C37" s="147"/>
      <c r="D37" s="1139"/>
      <c r="E37" s="1139"/>
      <c r="F37" s="1790"/>
      <c r="G37" s="129"/>
      <c r="H37" s="129"/>
      <c r="I37" s="129"/>
    </row>
    <row r="38" spans="1:15" ht="15" thickBot="1">
      <c r="A38" s="368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4" t="s">
        <v>1326</v>
      </c>
      <c r="B45" s="3665"/>
      <c r="C45" s="3666"/>
      <c r="D45" s="155" t="e">
        <f ca="1">ROUND(H101*F45,0)</f>
        <v>#REF!</v>
      </c>
      <c r="E45" s="156" t="s">
        <v>1327</v>
      </c>
      <c r="F45" s="157">
        <v>1</v>
      </c>
      <c r="G45" s="158" t="s">
        <v>1328</v>
      </c>
      <c r="H45" s="129"/>
      <c r="I45" s="129"/>
      <c r="J45" s="3742" t="s">
        <v>1329</v>
      </c>
      <c r="K45" s="3742"/>
      <c r="L45" s="3742"/>
      <c r="M45" s="3742"/>
      <c r="N45" s="3742"/>
      <c r="O45" s="3742"/>
    </row>
    <row r="46" spans="1:15" ht="14.25" customHeight="1">
      <c r="A46" s="3661" t="s">
        <v>1330</v>
      </c>
      <c r="B46" s="3662"/>
      <c r="C46" s="3662"/>
      <c r="D46" s="3662"/>
      <c r="E46" s="3662"/>
      <c r="F46" s="3662"/>
      <c r="G46" s="3663"/>
      <c r="H46" s="1806"/>
      <c r="I46" s="159"/>
      <c r="J46" s="2523">
        <v>1</v>
      </c>
      <c r="K46" s="3723" t="s">
        <v>1331</v>
      </c>
      <c r="L46" s="3723"/>
      <c r="M46" s="3743"/>
      <c r="N46" s="3743"/>
      <c r="O46" s="3743"/>
    </row>
    <row r="47" spans="1:15" ht="12" customHeight="1">
      <c r="A47" s="160" t="s">
        <v>1332</v>
      </c>
      <c r="B47" s="161"/>
      <c r="C47" s="162"/>
      <c r="D47" s="1087" t="s">
        <v>1333</v>
      </c>
      <c r="E47" s="302" t="s">
        <v>1334</v>
      </c>
      <c r="F47" s="163" t="s">
        <v>1335</v>
      </c>
      <c r="G47" s="2546" t="s">
        <v>1336</v>
      </c>
      <c r="H47" s="2547"/>
      <c r="I47" s="159"/>
      <c r="J47" s="2523">
        <v>2</v>
      </c>
      <c r="K47" s="3723" t="s">
        <v>1337</v>
      </c>
      <c r="L47" s="3723"/>
      <c r="M47" s="3744">
        <f>'数据-取费表'!B2</f>
        <v>40078</v>
      </c>
      <c r="N47" s="3744"/>
      <c r="O47" s="3744"/>
    </row>
    <row r="48" spans="1:15" ht="26.4">
      <c r="A48" s="3692" t="s">
        <v>1338</v>
      </c>
      <c r="B48" s="3675"/>
      <c r="C48" s="367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23" t="s">
        <v>1340</v>
      </c>
      <c r="L48" s="3723"/>
      <c r="M48" s="3745" t="e">
        <f ca="1">H101</f>
        <v>#REF!</v>
      </c>
      <c r="N48" s="3745"/>
      <c r="O48" s="3745"/>
    </row>
    <row r="49" spans="1:35" ht="25.5" customHeight="1">
      <c r="A49" s="2333" t="s">
        <v>1341</v>
      </c>
      <c r="B49" s="3659" t="s">
        <v>1342</v>
      </c>
      <c r="C49" s="3659"/>
      <c r="D49" s="1590">
        <v>0</v>
      </c>
      <c r="E49" s="324" t="s">
        <v>1343</v>
      </c>
      <c r="F49" s="2424" t="s">
        <v>28</v>
      </c>
      <c r="G49" s="3729"/>
      <c r="H49" s="2310" t="s">
        <v>2133</v>
      </c>
      <c r="I49" s="2311"/>
      <c r="J49" s="2523">
        <v>4</v>
      </c>
      <c r="K49" s="3723" t="str">
        <f>IF(项目基本情况!E8="房地产抵押价值","房地产抵押价值","抵押担保权已注销时的房地产抵押价值")</f>
        <v>抵押担保权已注销时的房地产抵押价值</v>
      </c>
      <c r="L49" s="3723"/>
      <c r="M49" s="3745" t="str">
        <f>IF(项目基本情况!E8="房地产抵押价值",H107,H109)</f>
        <v>——</v>
      </c>
      <c r="N49" s="3745"/>
      <c r="O49" s="3745"/>
    </row>
    <row r="50" spans="1:35" ht="25.5" customHeight="1">
      <c r="A50" s="2551"/>
      <c r="B50" s="3659" t="s">
        <v>1344</v>
      </c>
      <c r="C50" s="3659"/>
      <c r="D50" s="2552"/>
      <c r="E50" s="332"/>
      <c r="F50" s="2424"/>
      <c r="G50" s="3730"/>
      <c r="H50" s="2312" t="s">
        <v>2134</v>
      </c>
      <c r="I50" s="2311"/>
      <c r="J50" s="3742" t="s">
        <v>1345</v>
      </c>
      <c r="K50" s="3742"/>
      <c r="L50" s="3742"/>
      <c r="M50" s="3742"/>
      <c r="N50" s="3742"/>
      <c r="O50" s="3742"/>
    </row>
    <row r="51" spans="1:35" ht="20.399999999999999" customHeight="1">
      <c r="A51" s="2553"/>
      <c r="B51" s="3659" t="s">
        <v>1346</v>
      </c>
      <c r="C51" s="3659"/>
      <c r="D51" s="1087"/>
      <c r="E51" s="327"/>
      <c r="F51" s="2424"/>
      <c r="G51" s="3731"/>
      <c r="H51" s="2312" t="s">
        <v>2135</v>
      </c>
      <c r="I51" s="2311"/>
      <c r="J51" s="2524" t="s">
        <v>1347</v>
      </c>
      <c r="K51" s="3723" t="s">
        <v>1348</v>
      </c>
      <c r="L51" s="3723"/>
      <c r="M51" s="2524" t="s">
        <v>1349</v>
      </c>
      <c r="N51" s="2524" t="s">
        <v>1350</v>
      </c>
      <c r="O51" s="2524" t="s">
        <v>1351</v>
      </c>
    </row>
    <row r="52" spans="1:35" ht="24" customHeight="1">
      <c r="A52" s="2335" t="s">
        <v>1352</v>
      </c>
      <c r="B52" s="3659" t="s">
        <v>1353</v>
      </c>
      <c r="C52" s="3659"/>
      <c r="D52" s="1087" t="e">
        <f ca="1">ROUND(D45*'数据-取费表'!B41/(1+'数据-取费表'!C42),0)</f>
        <v>#REF!</v>
      </c>
      <c r="E52" s="2334" t="s">
        <v>1354</v>
      </c>
      <c r="F52" s="2554">
        <f>'数据-取费表'!B41</f>
        <v>5.6000000000000001E-2</v>
      </c>
      <c r="G52" s="2555"/>
      <c r="H52" s="2544"/>
      <c r="I52" s="1807"/>
      <c r="J52" s="2523">
        <v>1</v>
      </c>
      <c r="K52" s="3724" t="s">
        <v>1355</v>
      </c>
      <c r="L52" s="3724"/>
      <c r="M52" s="2525" t="b">
        <f>D48</f>
        <v>0</v>
      </c>
      <c r="N52" s="2523" t="str">
        <f>E48</f>
        <v>销售额×税（费）率</v>
      </c>
      <c r="O52" s="2526">
        <f>F48</f>
        <v>5.6000000000000001E-2</v>
      </c>
    </row>
    <row r="53" spans="1:35" ht="12" customHeight="1">
      <c r="A53" s="2335" t="s">
        <v>1356</v>
      </c>
      <c r="B53" s="3685" t="s">
        <v>2290</v>
      </c>
      <c r="C53" s="3686"/>
      <c r="D53" s="1087" t="e">
        <f ca="1">ROUND(D45*'数据-取费表'!B41/(1+'数据-取费表'!C42),0)</f>
        <v>#REF!</v>
      </c>
      <c r="E53" s="2334" t="s">
        <v>1354</v>
      </c>
      <c r="F53" s="2554">
        <f>'数据-取费表'!B41</f>
        <v>5.6000000000000001E-2</v>
      </c>
      <c r="G53" s="2555"/>
      <c r="H53" s="2544"/>
      <c r="I53" s="1807"/>
      <c r="J53" s="2523">
        <v>2</v>
      </c>
      <c r="K53" s="3724" t="s">
        <v>1357</v>
      </c>
      <c r="L53" s="3724"/>
      <c r="M53" s="2525" t="e">
        <f t="shared" ref="M53:O54" ca="1" si="0">D55</f>
        <v>#REF!</v>
      </c>
      <c r="N53" s="2523" t="str">
        <f t="shared" si="0"/>
        <v>销售额×税（费）率</v>
      </c>
      <c r="O53" s="2526" t="str">
        <f t="shared" si="0"/>
        <v>免征</v>
      </c>
    </row>
    <row r="54" spans="1:35" ht="12" customHeight="1">
      <c r="A54" s="2335" t="s">
        <v>1358</v>
      </c>
      <c r="B54" s="3685" t="s">
        <v>2291</v>
      </c>
      <c r="C54" s="3686"/>
      <c r="D54" s="1087" t="e">
        <f ca="1">C68</f>
        <v>#REF!</v>
      </c>
      <c r="E54" s="327" t="s">
        <v>1359</v>
      </c>
      <c r="F54" s="2554">
        <f>'数据-取费表'!B41</f>
        <v>5.6000000000000001E-2</v>
      </c>
      <c r="G54" s="2555"/>
      <c r="H54" s="2556"/>
      <c r="I54" s="1807"/>
      <c r="J54" s="2523">
        <v>3</v>
      </c>
      <c r="K54" s="3724" t="s">
        <v>1360</v>
      </c>
      <c r="L54" s="3724"/>
      <c r="M54" s="2525" t="e">
        <f t="shared" ca="1" si="0"/>
        <v>#REF!</v>
      </c>
      <c r="N54" s="2523" t="str">
        <f t="shared" si="0"/>
        <v>增值额×税（费）率</v>
      </c>
      <c r="O54" s="2527" t="str">
        <f t="shared" si="0"/>
        <v>免征</v>
      </c>
    </row>
    <row r="55" spans="1:35" ht="24" customHeight="1">
      <c r="A55" s="3674" t="s">
        <v>1361</v>
      </c>
      <c r="B55" s="3675"/>
      <c r="C55" s="3675"/>
      <c r="D55" s="2324" t="e">
        <f ca="1">IF(H55="个人住宅",0,ROUND(D45*I55,0))</f>
        <v>#REF!</v>
      </c>
      <c r="E55" s="2334" t="s">
        <v>1362</v>
      </c>
      <c r="F55" s="2554" t="str">
        <f>IF(H55="正常",I55,"免征")</f>
        <v>免征</v>
      </c>
      <c r="G55" s="2555"/>
      <c r="H55" s="2550"/>
      <c r="I55" s="165">
        <f>'数据-取费表'!B49</f>
        <v>5.0000000000000001E-4</v>
      </c>
      <c r="J55" s="2523">
        <f>IF(H59="非个人房产","",4)</f>
        <v>4</v>
      </c>
      <c r="K55" s="3724" t="str">
        <f>IF(H59="非个人房产","——","个人所得税")</f>
        <v>个人所得税</v>
      </c>
      <c r="L55" s="3724"/>
      <c r="M55" s="2528" t="e">
        <f ca="1">D59</f>
        <v>#REF!</v>
      </c>
      <c r="N55" s="2040" t="str">
        <f>E59</f>
        <v>差额计税</v>
      </c>
      <c r="O55" s="2529">
        <f>F59</f>
        <v>0.01</v>
      </c>
    </row>
    <row r="56" spans="1:35" ht="25.2">
      <c r="A56" s="3674" t="s">
        <v>1363</v>
      </c>
      <c r="B56" s="3675"/>
      <c r="C56" s="3675"/>
      <c r="D56" s="2324" t="e">
        <f ca="1">IF(H56="个人住宅",D57,D58)</f>
        <v>#REF!</v>
      </c>
      <c r="E56" s="2334" t="s">
        <v>1364</v>
      </c>
      <c r="F56" s="2554" t="str">
        <f>IF(H56="正常",F58,"免征")</f>
        <v>免征</v>
      </c>
      <c r="G56" s="2557" t="s">
        <v>1365</v>
      </c>
      <c r="H56" s="2558"/>
      <c r="I56" s="1808"/>
      <c r="J56" s="2523" t="str">
        <f>IF(项目基本情况!K6="上海银行",IF(J55="",4,J55+1),"")</f>
        <v/>
      </c>
      <c r="K56" s="3747" t="str">
        <f>IF(项目基本情况!K6="上海银行","其他处置费用","")</f>
        <v/>
      </c>
      <c r="L56" s="3748"/>
      <c r="M56" s="2525" t="str">
        <f>IF(项目基本情况!K6="上海银行",M69,"")</f>
        <v/>
      </c>
      <c r="N56" s="3747" t="str">
        <f>IF(项目基本情况!K6="上海银行","包含处置中涉及的律师、诉讼、拍卖、评估等费用","")</f>
        <v/>
      </c>
      <c r="O56" s="3750"/>
    </row>
    <row r="57" spans="1:35" ht="13.2">
      <c r="A57" s="2335" t="s">
        <v>1341</v>
      </c>
      <c r="B57" s="3685" t="s">
        <v>1366</v>
      </c>
      <c r="C57" s="3686"/>
      <c r="D57" s="1590">
        <v>0</v>
      </c>
      <c r="E57" s="324" t="s">
        <v>1343</v>
      </c>
      <c r="F57" s="302"/>
      <c r="G57" s="2555"/>
      <c r="H57" s="2559"/>
      <c r="I57" s="1808"/>
      <c r="J57" s="3724">
        <f>IF(AND(J55="",J56=""),4,IF(项目基本情况!K6="上海银行",结果表!J56+1,结果表!J55+1))</f>
        <v>5</v>
      </c>
      <c r="K57" s="3724" t="s">
        <v>1367</v>
      </c>
      <c r="L57" s="2530" t="s">
        <v>1368</v>
      </c>
      <c r="M57" s="2531"/>
      <c r="N57" s="2532">
        <f ca="1">SUMIF(M52:M56,"&lt;9e307")</f>
        <v>0</v>
      </c>
      <c r="O57" s="2533"/>
      <c r="P57" s="2690" t="e">
        <f ca="1">N57/M49</f>
        <v>#VALUE!</v>
      </c>
    </row>
    <row r="58" spans="1:35" ht="25.2">
      <c r="A58" s="2335" t="s">
        <v>1352</v>
      </c>
      <c r="B58" s="3685" t="s">
        <v>1369</v>
      </c>
      <c r="C58" s="3659"/>
      <c r="D58" s="2324" t="e">
        <f ca="1">IF(H58="转让取得",C81,C97)</f>
        <v>#REF!</v>
      </c>
      <c r="E58" s="2334" t="s">
        <v>1364</v>
      </c>
      <c r="F58" s="302" t="s">
        <v>28</v>
      </c>
      <c r="G58" s="2555"/>
      <c r="H58" s="2558"/>
      <c r="I58" s="1808"/>
      <c r="J58" s="3724"/>
      <c r="K58" s="3724"/>
      <c r="L58" s="2530" t="s">
        <v>1370</v>
      </c>
      <c r="M58" s="2534"/>
      <c r="N58" s="2535" t="str">
        <f ca="1">NUMBERSTRING(INT(N57*10000),2)&amp;"元整"</f>
        <v>零元整</v>
      </c>
      <c r="O58" s="2536"/>
    </row>
    <row r="59" spans="1:35" ht="24.6" thickBot="1">
      <c r="A59" s="3727" t="s">
        <v>1371</v>
      </c>
      <c r="B59" s="3728"/>
      <c r="C59" s="37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725">
        <f>J57+1</f>
        <v>6</v>
      </c>
      <c r="K59" s="3724" t="s">
        <v>1372</v>
      </c>
      <c r="L59" s="2523" t="s">
        <v>1368</v>
      </c>
      <c r="M59" s="2537"/>
      <c r="N59" s="2538" t="e">
        <f ca="1">M49-N57</f>
        <v>#VALUE!</v>
      </c>
      <c r="O59" s="2539"/>
    </row>
    <row r="60" spans="1:35" ht="12" customHeight="1">
      <c r="A60" s="1809"/>
      <c r="B60" s="1747"/>
      <c r="C60" s="1747"/>
      <c r="D60" s="1747"/>
      <c r="E60" s="1578"/>
      <c r="F60" s="1808"/>
      <c r="G60" s="1808"/>
      <c r="H60" s="1810"/>
      <c r="I60" s="129"/>
      <c r="J60" s="3726"/>
      <c r="K60" s="3724"/>
      <c r="L60" s="2530" t="s">
        <v>1370</v>
      </c>
      <c r="M60" s="2534"/>
      <c r="N60" s="2535" t="e">
        <f ca="1">NUMBERSTRING(INT(N59*10000),2)&amp;"元整"</f>
        <v>#VALUE!</v>
      </c>
      <c r="O60" s="2536"/>
    </row>
    <row r="61" spans="1:35" ht="13.8" thickBot="1">
      <c r="A61" s="3672" t="s">
        <v>1373</v>
      </c>
      <c r="B61" s="3672"/>
      <c r="C61" s="3672"/>
      <c r="D61" s="3672"/>
      <c r="E61" s="3672"/>
      <c r="F61" s="1808"/>
      <c r="G61" s="1808"/>
      <c r="H61" s="1810"/>
      <c r="I61" s="129"/>
      <c r="J61" s="2523">
        <f>J59+1</f>
        <v>7</v>
      </c>
      <c r="K61" s="3724" t="s">
        <v>1374</v>
      </c>
      <c r="L61" s="3724"/>
      <c r="M61" s="2540"/>
      <c r="N61" s="2541" t="e">
        <f ca="1">ROUND(N59*10000/'数据-汇总表'!E3,0)</f>
        <v>#VALUE!</v>
      </c>
      <c r="O61" s="2542"/>
    </row>
    <row r="62" spans="1:35" ht="13.2">
      <c r="A62" s="3690" t="s">
        <v>1375</v>
      </c>
      <c r="B62" s="369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11" t="s">
        <v>1394</v>
      </c>
      <c r="B70" s="3712"/>
      <c r="C70" s="3712"/>
      <c r="D70" s="3712"/>
      <c r="E70" s="3712"/>
      <c r="F70" s="3712"/>
      <c r="G70" s="3712"/>
      <c r="H70" s="37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90" t="s">
        <v>1375</v>
      </c>
      <c r="B71" s="36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85" t="s">
        <v>1402</v>
      </c>
      <c r="F76" s="3659"/>
      <c r="G76" s="3659"/>
      <c r="H76" s="37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69" t="s">
        <v>1406</v>
      </c>
      <c r="F78" s="3670"/>
      <c r="G78" s="3670"/>
      <c r="H78" s="36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11" t="s">
        <v>1410</v>
      </c>
      <c r="B83" s="3712"/>
      <c r="C83" s="3712"/>
      <c r="D83" s="3712"/>
      <c r="E83" s="3712"/>
      <c r="F83" s="3712"/>
      <c r="G83" s="3712"/>
      <c r="H83" s="37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90" t="s">
        <v>1375</v>
      </c>
      <c r="B84" s="36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51" t="s">
        <v>2128</v>
      </c>
      <c r="H90" s="375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69" t="s">
        <v>1419</v>
      </c>
      <c r="F91" s="3670"/>
      <c r="G91" s="36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69" t="s">
        <v>1422</v>
      </c>
      <c r="F92" s="3670"/>
      <c r="G92" s="3670"/>
      <c r="H92" s="367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69" t="s">
        <v>1406</v>
      </c>
      <c r="F93" s="3670"/>
      <c r="G93" s="3670"/>
      <c r="H93" s="36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80" t="s">
        <v>1426</v>
      </c>
      <c r="F94" s="3681"/>
      <c r="G94" s="3681"/>
      <c r="H94" s="36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53" t="s">
        <v>1428</v>
      </c>
      <c r="B100" s="3654"/>
      <c r="C100" s="3654"/>
      <c r="D100" s="3671"/>
      <c r="E100" s="3654" t="s">
        <v>1429</v>
      </c>
      <c r="F100" s="3654"/>
      <c r="G100" s="3654"/>
      <c r="H100" s="3671"/>
      <c r="I100" s="129"/>
    </row>
    <row r="101" spans="1:35" ht="18.75" customHeight="1">
      <c r="A101" s="3732" t="s">
        <v>1430</v>
      </c>
      <c r="B101" s="3733"/>
      <c r="C101" s="2585" t="str">
        <f>C4</f>
        <v>比较法-住宅</v>
      </c>
      <c r="D101" s="2586" t="str">
        <f>D4</f>
        <v>成本法 (元)</v>
      </c>
      <c r="E101" s="3746" t="s">
        <v>1431</v>
      </c>
      <c r="F101" s="3703"/>
      <c r="G101" s="1827" t="s">
        <v>1432</v>
      </c>
      <c r="H101" s="2595" t="e">
        <f ca="1">H118</f>
        <v>#REF!</v>
      </c>
      <c r="I101" s="129"/>
    </row>
    <row r="102" spans="1:35" ht="18.75" customHeight="1">
      <c r="A102" s="3705" t="s">
        <v>1433</v>
      </c>
      <c r="B102" s="2584" t="s">
        <v>1432</v>
      </c>
      <c r="C102" s="2585">
        <f ca="1">IF(D32="楼面单价",ROUND(C19,0),C19)</f>
        <v>75.313900000000004</v>
      </c>
      <c r="D102" s="2586">
        <f ca="1">IF(D32="楼面单价",ROUND(D19,0),D19)</f>
        <v>91.064899999999994</v>
      </c>
      <c r="E102" s="3746"/>
      <c r="F102" s="3703"/>
      <c r="G102" s="1827" t="s">
        <v>1434</v>
      </c>
      <c r="H102" s="2555" t="e">
        <f ca="1">I118</f>
        <v>#REF!</v>
      </c>
      <c r="I102" s="129"/>
    </row>
    <row r="103" spans="1:35" ht="42.75" customHeight="1">
      <c r="A103" s="3705"/>
      <c r="B103" s="2584" t="s">
        <v>1434</v>
      </c>
      <c r="C103" s="2587">
        <f ca="1">C20</f>
        <v>6395</v>
      </c>
      <c r="D103" s="2588">
        <f ca="1">D20</f>
        <v>7732</v>
      </c>
      <c r="E103" s="3740" t="s">
        <v>1435</v>
      </c>
      <c r="F103" s="3741"/>
      <c r="G103" s="1828" t="s">
        <v>1436</v>
      </c>
      <c r="H103" s="2595">
        <f>IF(D36="正常操作",H104+H105+H106,H105+H106)</f>
        <v>0</v>
      </c>
      <c r="I103" s="129"/>
    </row>
    <row r="104" spans="1:35" ht="18.75" customHeight="1">
      <c r="A104" s="370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02" t="str">
        <f>IF(项目基本情况!E8="已注销","——","3.房地产抵押价值")</f>
        <v>3.房地产抵押价值</v>
      </c>
      <c r="F107" s="3703"/>
      <c r="G107" s="1827" t="s">
        <v>1432</v>
      </c>
      <c r="H107" s="2595" t="e">
        <f ca="1">IF(E107="——","——",H101-H103)</f>
        <v>#REF!</v>
      </c>
      <c r="I107" s="129"/>
    </row>
    <row r="108" spans="1:35" ht="18.75" customHeight="1">
      <c r="A108" s="129"/>
      <c r="B108" s="129"/>
      <c r="C108" s="129"/>
      <c r="D108" s="129"/>
      <c r="E108" s="3702"/>
      <c r="F108" s="3703"/>
      <c r="G108" s="1827" t="s">
        <v>1434</v>
      </c>
      <c r="H108" s="2555">
        <f ca="1">IF(H107=H101,H102,ROUND(H107*10000/'数据-汇总表'!E3,0))</f>
        <v>0</v>
      </c>
      <c r="I108" s="129"/>
    </row>
    <row r="109" spans="1:35" ht="18.75" customHeight="1">
      <c r="A109" s="129"/>
      <c r="B109" s="129"/>
      <c r="C109" s="129"/>
      <c r="D109" s="129"/>
      <c r="E109" s="3702" t="str">
        <f>IF(项目基本情况!E8="已注销及未注销","4.抵押担保权已注销时的房地产抵押价值",IF(项目基本情况!E8="已注销","3.抵押担保权已注销时的房地产抵押价值","——"))</f>
        <v>——</v>
      </c>
      <c r="F109" s="3703"/>
      <c r="G109" s="1827" t="s">
        <v>1432</v>
      </c>
      <c r="H109" s="2598" t="str">
        <f>IF(E109="——","——",H101-H105-H106)</f>
        <v>——</v>
      </c>
      <c r="I109" s="129"/>
    </row>
    <row r="110" spans="1:35" ht="18.75" customHeight="1">
      <c r="A110" s="129"/>
      <c r="B110" s="129"/>
      <c r="C110" s="129"/>
      <c r="D110" s="129"/>
      <c r="E110" s="3702"/>
      <c r="F110" s="3703"/>
      <c r="G110" s="1827" t="s">
        <v>1434</v>
      </c>
      <c r="H110" s="2555" t="str">
        <f>IF(H109="——","——",ROUND(H109*10000/'数据-汇总表'!E3,0))</f>
        <v>——</v>
      </c>
      <c r="I110" s="129"/>
    </row>
    <row r="111" spans="1:35" ht="18.75" customHeight="1">
      <c r="A111" s="129"/>
      <c r="B111" s="129"/>
      <c r="C111" s="129"/>
      <c r="D111" s="129"/>
      <c r="E111" s="3734" t="str">
        <f>IF(项目基本情况!E9="抵押净值",IF(OR(项目基本情况!E8="已注销",项目基本情况!E8="房地产抵押价值"),"4.抵押净值","5.抵押净值"),"——")</f>
        <v>——</v>
      </c>
      <c r="F111" s="3704"/>
      <c r="G111" s="1827" t="s">
        <v>1432</v>
      </c>
      <c r="H111" s="2595" t="str">
        <f>IF(E111="——","——",N59)</f>
        <v>——</v>
      </c>
      <c r="I111" s="129"/>
    </row>
    <row r="112" spans="1:35" ht="18.75" customHeight="1" thickBot="1">
      <c r="A112" s="129"/>
      <c r="B112" s="129"/>
      <c r="C112" s="129"/>
      <c r="D112" s="129"/>
      <c r="E112" s="3735"/>
      <c r="F112" s="3736"/>
      <c r="G112" s="1830" t="s">
        <v>1434</v>
      </c>
      <c r="H112" s="2599" t="str">
        <f>IF(E111="——","——",N61)</f>
        <v>——</v>
      </c>
      <c r="I112" s="129"/>
    </row>
    <row r="113" spans="1:27" ht="18.75" customHeight="1">
      <c r="A113" s="129"/>
      <c r="B113" s="129"/>
      <c r="C113" s="129"/>
      <c r="D113" s="129"/>
      <c r="E113" s="3707" t="s">
        <v>1440</v>
      </c>
      <c r="F113" s="3707"/>
      <c r="G113" s="3707"/>
      <c r="H113" s="3707"/>
      <c r="I113" s="129"/>
    </row>
    <row r="114" spans="1:27" ht="3.75" customHeight="1">
      <c r="A114" s="1747"/>
      <c r="B114" s="1747"/>
      <c r="C114" s="1747"/>
      <c r="D114" s="1747"/>
      <c r="E114" s="1809"/>
      <c r="F114" s="1809"/>
      <c r="G114" s="1809"/>
      <c r="H114" s="1809"/>
      <c r="I114" s="1747"/>
    </row>
    <row r="115" spans="1:27" ht="18.75" customHeight="1">
      <c r="A115" s="3717" t="s">
        <v>1442</v>
      </c>
      <c r="B115" s="3718"/>
      <c r="C115" s="3718"/>
      <c r="D115" s="3718"/>
      <c r="E115" s="3718"/>
      <c r="F115" s="3718"/>
      <c r="G115" s="3718"/>
      <c r="H115" s="3718"/>
      <c r="I115" s="3719"/>
    </row>
    <row r="116" spans="1:27" ht="27" customHeight="1">
      <c r="A116" s="3673" t="s">
        <v>1443</v>
      </c>
      <c r="B116" s="3708" t="s">
        <v>1444</v>
      </c>
      <c r="C116" s="3708" t="s">
        <v>1445</v>
      </c>
      <c r="D116" s="3721" t="s">
        <v>1446</v>
      </c>
      <c r="E116" s="3722"/>
      <c r="F116" s="3716" t="s">
        <v>1447</v>
      </c>
      <c r="G116" s="3716"/>
      <c r="H116" s="3673" t="s">
        <v>1448</v>
      </c>
      <c r="I116" s="3673"/>
    </row>
    <row r="117" spans="1:27" ht="18.75" customHeight="1">
      <c r="A117" s="3673"/>
      <c r="B117" s="3709"/>
      <c r="C117" s="370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117.77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73" t="s">
        <v>1452</v>
      </c>
      <c r="B119" s="3673"/>
      <c r="C119" s="3673"/>
      <c r="D119" s="3713" t="e">
        <f ca="1">NUMBERSTRING(INT(D118*10000),2)&amp;"元整"</f>
        <v>#REF!</v>
      </c>
      <c r="E119" s="3715"/>
      <c r="F119" s="3713" t="e">
        <f ca="1">NUMBERSTRING(INT(F118*10000),2)&amp;"元整"</f>
        <v>#REF!</v>
      </c>
      <c r="G119" s="3715"/>
      <c r="H119" s="3713" t="e">
        <f ca="1">NUMBERSTRING(INT(H118*10000),2)&amp;"元整"</f>
        <v>#REF!</v>
      </c>
      <c r="I119" s="3715"/>
    </row>
    <row r="120" spans="1:27" ht="18.75" customHeight="1">
      <c r="A120" s="3737" t="str">
        <f>IF(项目基本情况!B9="房地产市场价值","",MID(E103,3,LEN(E103)-2))</f>
        <v/>
      </c>
      <c r="B120" s="3738"/>
      <c r="C120" s="3739"/>
      <c r="D120" s="3737">
        <f>H103</f>
        <v>0</v>
      </c>
      <c r="E120" s="3738"/>
      <c r="F120" s="3738"/>
      <c r="G120" s="3738"/>
      <c r="H120" s="3738"/>
      <c r="I120" s="373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13" t="s">
        <v>1452</v>
      </c>
      <c r="B121" s="3714"/>
      <c r="C121" s="3715"/>
      <c r="D121" s="3713" t="str">
        <f>IF(D120=0,"零元整",NUMBERSTRING(INT(D120*10000),2)&amp;"元整")</f>
        <v>零元整</v>
      </c>
      <c r="E121" s="3714"/>
      <c r="F121" s="3714"/>
      <c r="G121" s="3714"/>
      <c r="H121" s="3714"/>
      <c r="I121" s="3715"/>
      <c r="AA121" s="725"/>
    </row>
    <row r="122" spans="1:27" ht="18.75" customHeight="1">
      <c r="A122" s="3704" t="str">
        <f>IF(项目基本情况!B9="房地产市场价值","",MID(E107,3,LEN(E107)-2))</f>
        <v/>
      </c>
      <c r="B122" s="3704"/>
      <c r="C122" s="3704"/>
      <c r="D122" s="3737" t="e">
        <f ca="1">H107</f>
        <v>#REF!</v>
      </c>
      <c r="E122" s="3738"/>
      <c r="F122" s="3738"/>
      <c r="G122" s="3738"/>
      <c r="H122" s="3738"/>
      <c r="I122" s="3739"/>
      <c r="AA122" s="725"/>
    </row>
    <row r="123" spans="1:27" ht="18.75" customHeight="1">
      <c r="A123" s="3673" t="s">
        <v>1452</v>
      </c>
      <c r="B123" s="3673"/>
      <c r="C123" s="3673"/>
      <c r="D123" s="3713" t="e">
        <f ca="1">NUMBERSTRING(INT(D122*10000),2)&amp;"元整"</f>
        <v>#REF!</v>
      </c>
      <c r="E123" s="3714"/>
      <c r="F123" s="3714"/>
      <c r="G123" s="3714"/>
      <c r="H123" s="3714"/>
      <c r="I123" s="3715"/>
      <c r="AA123" s="725"/>
    </row>
    <row r="124" spans="1:27" ht="18.75" customHeight="1">
      <c r="A124" s="3704" t="str">
        <f>IF(项目基本情况!B9="房地产市场价值","",MID(E109,3,LEN(E109)-2))</f>
        <v/>
      </c>
      <c r="B124" s="3704"/>
      <c r="C124" s="3704"/>
      <c r="D124" s="3737" t="str">
        <f>H109</f>
        <v>——</v>
      </c>
      <c r="E124" s="3738"/>
      <c r="F124" s="3738"/>
      <c r="G124" s="3738"/>
      <c r="H124" s="3738"/>
      <c r="I124" s="3739"/>
      <c r="AA124" s="725"/>
    </row>
    <row r="125" spans="1:27" ht="18.75" customHeight="1">
      <c r="A125" s="3673" t="s">
        <v>1452</v>
      </c>
      <c r="B125" s="3673"/>
      <c r="C125" s="3673"/>
      <c r="D125" s="3713" t="e">
        <f>NUMBERSTRING(INT(D124*10000),2)&amp;"元整"</f>
        <v>#VALUE!</v>
      </c>
      <c r="E125" s="3714"/>
      <c r="F125" s="3714"/>
      <c r="G125" s="3714"/>
      <c r="H125" s="3714"/>
      <c r="I125" s="3715"/>
      <c r="AA125" s="725"/>
    </row>
    <row r="126" spans="1:27" ht="18.75" customHeight="1">
      <c r="A126" s="3704" t="str">
        <f>IF(项目基本情况!B9="房地产市场价值","",MID(E111,3,LEN(E111)-2))</f>
        <v/>
      </c>
      <c r="B126" s="3704"/>
      <c r="C126" s="3704"/>
      <c r="D126" s="3737" t="str">
        <f>H111</f>
        <v>——</v>
      </c>
      <c r="E126" s="3738"/>
      <c r="F126" s="3738"/>
      <c r="G126" s="3738"/>
      <c r="H126" s="3738"/>
      <c r="I126" s="3739"/>
      <c r="AA126" s="725"/>
    </row>
    <row r="127" spans="1:27" ht="18.75" customHeight="1">
      <c r="A127" s="3673" t="s">
        <v>1452</v>
      </c>
      <c r="B127" s="3673"/>
      <c r="C127" s="3673"/>
      <c r="D127" s="3713" t="e">
        <f>NUMBERSTRING(INT(D126*10000),2)&amp;"元整"</f>
        <v>#VALUE!</v>
      </c>
      <c r="E127" s="3714"/>
      <c r="F127" s="3714"/>
      <c r="G127" s="3714"/>
      <c r="H127" s="3714"/>
      <c r="I127" s="3715"/>
      <c r="AA127" s="725"/>
    </row>
    <row r="128" spans="1:27" ht="21.75" customHeight="1">
      <c r="A128" s="3720" t="s">
        <v>1453</v>
      </c>
      <c r="B128" s="3720"/>
      <c r="C128" s="3720"/>
      <c r="D128" s="3720"/>
      <c r="E128" s="3720"/>
      <c r="F128" s="3720"/>
      <c r="G128" s="3720"/>
      <c r="H128" s="3720"/>
      <c r="I128" s="37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117.77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117.77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5.3099999999999994E-2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117.77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753" t="s">
        <v>1544</v>
      </c>
    </row>
    <row r="43" spans="1:7" ht="13.5" customHeight="1">
      <c r="A43" s="780" t="s">
        <v>347</v>
      </c>
      <c r="B43" s="215" t="s">
        <v>1545</v>
      </c>
      <c r="C43" s="238">
        <f ca="1">ROUND(IF('数据-取费表'!B22&lt;=1,C39*F22*'数据-取费表'!B21/2,C39*(POWER((1+F22),'数据-取费表'!B21/2)-1)),0)</f>
        <v>0</v>
      </c>
      <c r="D43" s="238"/>
      <c r="E43" s="238"/>
      <c r="F43" s="239"/>
      <c r="G43" s="3754"/>
    </row>
    <row r="44" spans="1:7" ht="13.5" customHeight="1">
      <c r="A44" s="780" t="s">
        <v>348</v>
      </c>
      <c r="B44" s="215" t="s">
        <v>1546</v>
      </c>
      <c r="C44" s="238">
        <f ca="1">ROUND(IF('数据-取费表'!B22&lt;=1,C40*F22*'数据-取费表'!B21/2,C40*(POWER((1+F22),'数据-取费表'!B21/2)-1)),4)</f>
        <v>2.9999999999999997E-4</v>
      </c>
      <c r="D44" s="238"/>
      <c r="E44" s="238"/>
      <c r="F44" s="239"/>
      <c r="G44" s="3755"/>
    </row>
    <row r="45" spans="1:7" s="214" customFormat="1" ht="13.5" customHeight="1">
      <c r="A45" s="255" t="s">
        <v>1547</v>
      </c>
      <c r="B45" s="244" t="s">
        <v>1513</v>
      </c>
      <c r="C45" s="245">
        <f ca="1">C46</f>
        <v>3</v>
      </c>
      <c r="D45" s="235">
        <f ca="1">C47</f>
        <v>1.5E-3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25</v>
      </c>
      <c r="D51" s="232"/>
      <c r="E51" s="232"/>
      <c r="F51" s="264"/>
      <c r="G51" s="234" t="s">
        <v>1560</v>
      </c>
    </row>
    <row r="52" spans="1:7" s="208" customFormat="1" ht="16.8" thickBot="1">
      <c r="A52" s="265" t="s">
        <v>1561</v>
      </c>
      <c r="B52" s="266"/>
      <c r="C52" s="267">
        <f ca="1">C31+C51</f>
        <v>27</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70" t="str">
        <f>项目基本情况!B1</f>
        <v>北京市房地产市场价值预评估</v>
      </c>
      <c r="C37" s="3570"/>
      <c r="D37" s="3570"/>
      <c r="E37" s="3570"/>
      <c r="F37" s="3570"/>
      <c r="G37" s="3570"/>
      <c r="H37" s="3570"/>
      <c r="I37" s="35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4" sqref="C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91.064899999999994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7732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499040</v>
      </c>
      <c r="D5" s="211" t="s">
        <v>1469</v>
      </c>
      <c r="E5" s="212" t="s">
        <v>1470</v>
      </c>
      <c r="F5" s="212" t="s">
        <v>1471</v>
      </c>
      <c r="G5" s="213"/>
    </row>
    <row r="6" spans="1:8" s="214" customFormat="1" ht="13.5" customHeight="1">
      <c r="A6" s="778" t="s">
        <v>1472</v>
      </c>
      <c r="B6" s="215" t="s">
        <v>1473</v>
      </c>
      <c r="C6" s="216">
        <f>'[2]2002基准地价'!$E$18</f>
        <v>484270</v>
      </c>
      <c r="D6" s="217"/>
      <c r="E6" s="218"/>
      <c r="F6" s="218"/>
      <c r="G6" s="219"/>
    </row>
    <row r="7" spans="1:8" s="214" customFormat="1" ht="13.5" customHeight="1">
      <c r="A7" s="778" t="s">
        <v>1474</v>
      </c>
      <c r="B7" s="215" t="s">
        <v>1475</v>
      </c>
      <c r="C7" s="220">
        <f>ROUND(C6*F7,0)</f>
        <v>14770</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18843</v>
      </c>
      <c r="D9" s="845">
        <f ca="1">IF(B1="",'数据-汇总表'!E5,IF(INDIRECT("'数据-取费表'!c"&amp;$G$1)="住宅",INDIRECT("'数据-取费表'!k"&amp;$G$1),0))</f>
        <v>117.77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117.77</v>
      </c>
      <c r="E19" s="211">
        <f>'数据-取费表'!B31</f>
        <v>200</v>
      </c>
      <c r="F19" s="231"/>
      <c r="G19" s="1856" t="s">
        <v>3427</v>
      </c>
    </row>
    <row r="20" spans="1:7" s="214" customFormat="1" ht="13.5" customHeight="1">
      <c r="A20" s="255" t="s">
        <v>1574</v>
      </c>
      <c r="B20" s="210" t="s">
        <v>1575</v>
      </c>
      <c r="C20" s="232">
        <f>ROUND((C5+C19)*F20,0)</f>
        <v>4990</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26631</v>
      </c>
      <c r="D22" s="235">
        <f ca="1">C26</f>
        <v>2.9999999999999997E-4</v>
      </c>
      <c r="E22" s="236" t="s">
        <v>1579</v>
      </c>
      <c r="F22" s="237">
        <f ca="1">'数据-取费表'!B40</f>
        <v>5.3099999999999994E-2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26499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132</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75605</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75605</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650360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240222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194321</v>
      </c>
      <c r="D34" s="217"/>
      <c r="E34" s="220"/>
      <c r="F34" s="257"/>
      <c r="G34" s="219"/>
    </row>
    <row r="35" spans="1:7" ht="13.5" customHeight="1">
      <c r="A35" s="780" t="s">
        <v>351</v>
      </c>
      <c r="B35" s="215" t="s">
        <v>1527</v>
      </c>
      <c r="C35" s="220">
        <f ca="1">ROUND(C34*F35,0)</f>
        <v>9716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9716</v>
      </c>
      <c r="D36" s="220"/>
      <c r="E36" s="220"/>
      <c r="F36" s="259">
        <f>'数据-取费表'!B34</f>
        <v>0.05</v>
      </c>
      <c r="G36" s="260" t="s">
        <v>1530</v>
      </c>
    </row>
    <row r="37" spans="1:7" s="258" customFormat="1" ht="13.5" customHeight="1">
      <c r="A37" s="780" t="s">
        <v>353</v>
      </c>
      <c r="B37" s="215" t="s">
        <v>1531</v>
      </c>
      <c r="C37" s="249">
        <f ca="1">ROUND(E37*D37,0)</f>
        <v>23554</v>
      </c>
      <c r="D37" s="217">
        <f ca="1">D19</f>
        <v>117.77</v>
      </c>
      <c r="E37" s="249">
        <f>'数据-取费表'!B35</f>
        <v>200</v>
      </c>
      <c r="F37" s="259"/>
      <c r="G37" s="261"/>
    </row>
    <row r="38" spans="1:7" ht="13.5" customHeight="1">
      <c r="A38" s="780" t="s">
        <v>354</v>
      </c>
      <c r="B38" s="215" t="s">
        <v>1533</v>
      </c>
      <c r="C38" s="220">
        <f ca="1">ROUND(C34*F38,0)</f>
        <v>2915</v>
      </c>
      <c r="D38" s="220"/>
      <c r="E38" s="220"/>
      <c r="F38" s="259">
        <f>'数据-取费表'!B36</f>
        <v>1.4999999999999999E-2</v>
      </c>
      <c r="G38" s="219" t="s">
        <v>1528</v>
      </c>
    </row>
    <row r="39" spans="1:7" s="214" customFormat="1" ht="13.5" customHeight="1">
      <c r="A39" s="255" t="s">
        <v>1534</v>
      </c>
      <c r="B39" s="210" t="s">
        <v>1535</v>
      </c>
      <c r="C39" s="232">
        <f ca="1">ROUND(C33*F20,0)</f>
        <v>2402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6442</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6378</v>
      </c>
      <c r="D42" s="238"/>
      <c r="E42" s="238"/>
      <c r="F42" s="239"/>
      <c r="G42" s="3753" t="s">
        <v>1591</v>
      </c>
    </row>
    <row r="43" spans="1:7" ht="13.5" customHeight="1">
      <c r="A43" s="780" t="s">
        <v>347</v>
      </c>
      <c r="B43" s="215" t="s">
        <v>1545</v>
      </c>
      <c r="C43" s="238">
        <f ca="1">ROUND(IF('数据-取费表'!B22&lt;=1,C39*F22*'数据-取费表'!B20/2,C39*(POWER((1+F22),'数据-取费表'!B20/2)-1)),0)</f>
        <v>64</v>
      </c>
      <c r="D43" s="238"/>
      <c r="E43" s="238"/>
      <c r="F43" s="239"/>
      <c r="G43" s="3754"/>
    </row>
    <row r="44" spans="1:7" ht="13.5" customHeight="1">
      <c r="A44" s="780" t="s">
        <v>348</v>
      </c>
      <c r="B44" s="215" t="s">
        <v>1546</v>
      </c>
      <c r="C44" s="238">
        <f ca="1">ROUND(IF('数据-取费表'!B22&lt;=1,C40*F22*'数据-取费表'!B20/2,C40*(POWER((1+F22),'数据-取费表'!B20/2)-1)),4)</f>
        <v>2.9999999999999997E-4</v>
      </c>
      <c r="D44" s="238"/>
      <c r="E44" s="238"/>
      <c r="F44" s="239"/>
      <c r="G44" s="3755"/>
    </row>
    <row r="45" spans="1:7" s="214" customFormat="1" ht="13.5" customHeight="1">
      <c r="A45" s="255" t="s">
        <v>1547</v>
      </c>
      <c r="B45" s="244" t="s">
        <v>1513</v>
      </c>
      <c r="C45" s="245">
        <f ca="1">C46</f>
        <v>36394</v>
      </c>
      <c r="D45" s="235">
        <f ca="1">C47</f>
        <v>1.5E-3</v>
      </c>
      <c r="E45" s="236" t="s">
        <v>1539</v>
      </c>
      <c r="F45" s="246">
        <f ca="1">F27</f>
        <v>0.15</v>
      </c>
      <c r="G45" s="247" t="s">
        <v>1548</v>
      </c>
    </row>
    <row r="46" spans="1:7" s="214" customFormat="1" ht="13.5" customHeight="1">
      <c r="A46" s="780" t="s">
        <v>346</v>
      </c>
      <c r="B46" s="248" t="s">
        <v>1549</v>
      </c>
      <c r="C46" s="249">
        <f ca="1">ROUND((C33+C39)*F27,0)</f>
        <v>36394</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306222</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260289</v>
      </c>
      <c r="D51" s="232"/>
      <c r="E51" s="232"/>
      <c r="F51" s="264"/>
      <c r="G51" s="234" t="s">
        <v>1560</v>
      </c>
    </row>
    <row r="52" spans="1:7" s="208" customFormat="1" ht="16.8" thickBot="1">
      <c r="A52" s="265" t="s">
        <v>1561</v>
      </c>
      <c r="B52" s="266"/>
      <c r="C52" s="267">
        <f ca="1">C31+C51</f>
        <v>910649</v>
      </c>
      <c r="D52" s="266"/>
      <c r="E52" s="266"/>
      <c r="F52" s="266"/>
      <c r="G52" s="268"/>
    </row>
    <row r="55" spans="1:7" ht="15">
      <c r="B55" s="270" t="s">
        <v>1562</v>
      </c>
      <c r="C55" s="271"/>
    </row>
    <row r="56" spans="1:7">
      <c r="B56" s="273" t="s">
        <v>802</v>
      </c>
      <c r="C56" s="275">
        <f ca="1">1-C57</f>
        <v>0.71399999999999997</v>
      </c>
    </row>
    <row r="57" spans="1:7">
      <c r="B57" s="273" t="s">
        <v>803</v>
      </c>
      <c r="C57" s="274">
        <f ca="1">ROUND(C51/C52,3)</f>
        <v>0.28599999999999998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-170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117.77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117.77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117.77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117.77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5.3099999999999994E-2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58" t="s">
        <v>694</v>
      </c>
      <c r="C6" s="1074">
        <f ca="1">ROUND(F6*F8*F7*(1-F9)/10000,0)</f>
        <v>0</v>
      </c>
      <c r="D6" s="155" t="s">
        <v>2108</v>
      </c>
      <c r="E6" s="302" t="s">
        <v>696</v>
      </c>
      <c r="F6" s="303">
        <f ca="1">INDIRECT("'数据-取费表'!u"&amp;$G$1)</f>
        <v>0</v>
      </c>
      <c r="G6" s="1384"/>
      <c r="H6" s="1069" t="s">
        <v>398</v>
      </c>
      <c r="I6" s="3758" t="s">
        <v>694</v>
      </c>
      <c r="J6" s="301">
        <f ca="1">ROUND(M6*M8*M7*(1-M9)/10000,0)</f>
        <v>0</v>
      </c>
      <c r="K6" s="155" t="s">
        <v>2107</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8" t="s">
        <v>694</v>
      </c>
      <c r="C6" s="1074">
        <f ca="1">ROUND(F6*F8*F7*(1-F9),0)</f>
        <v>0</v>
      </c>
      <c r="D6" s="155" t="s">
        <v>2105</v>
      </c>
      <c r="E6" s="302" t="s">
        <v>696</v>
      </c>
      <c r="F6" s="303">
        <f ca="1">INDIRECT("'数据-取费表'!u"&amp;$G$1)</f>
        <v>0</v>
      </c>
      <c r="G6" s="1384"/>
      <c r="H6" s="1069" t="s">
        <v>398</v>
      </c>
      <c r="I6" s="3758" t="s">
        <v>694</v>
      </c>
      <c r="J6" s="301">
        <f ca="1">ROUND(M6*M8*M7*(1-M9),0)</f>
        <v>0</v>
      </c>
      <c r="K6" s="1376" t="s">
        <v>2106</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67" t="s">
        <v>2317</v>
      </c>
      <c r="K2" s="376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69" t="s">
        <v>2327</v>
      </c>
      <c r="K3" s="377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69" t="s">
        <v>2329</v>
      </c>
      <c r="K4" s="377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75" t="s">
        <v>2333</v>
      </c>
      <c r="B6" s="3776"/>
      <c r="C6" s="3777"/>
      <c r="D6" s="2870"/>
      <c r="E6" s="2871"/>
      <c r="F6" s="2872"/>
      <c r="G6" s="2873"/>
      <c r="H6" s="2848"/>
      <c r="I6" s="2849"/>
      <c r="J6" s="3761">
        <v>1</v>
      </c>
      <c r="K6" s="376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61"/>
      <c r="K7" s="376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78" t="s">
        <v>2347</v>
      </c>
      <c r="C8" s="3779"/>
      <c r="D8" s="2889" t="s">
        <v>2348</v>
      </c>
      <c r="E8" s="2890" t="s">
        <v>2349</v>
      </c>
      <c r="F8" s="2891" t="s">
        <v>2350</v>
      </c>
      <c r="G8" s="2892"/>
      <c r="H8" s="2848"/>
      <c r="I8" s="2849"/>
      <c r="J8" s="3761"/>
      <c r="K8" s="376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78" t="s">
        <v>2353</v>
      </c>
      <c r="C9" s="3779"/>
      <c r="D9" s="2889">
        <f>ROUND(D6*E9,0)</f>
        <v>0</v>
      </c>
      <c r="E9" s="2893"/>
      <c r="F9" s="2894" t="s">
        <v>2354</v>
      </c>
      <c r="G9" s="2873"/>
      <c r="H9" s="2848"/>
      <c r="I9" s="2849"/>
      <c r="J9" s="3761"/>
      <c r="K9" s="3763"/>
      <c r="L9" s="2883" t="s">
        <v>2355</v>
      </c>
      <c r="M9" s="2884"/>
      <c r="N9" s="2860"/>
      <c r="O9" s="2885"/>
      <c r="P9" s="2885"/>
      <c r="Q9" s="2886">
        <v>365</v>
      </c>
      <c r="R9" s="2887">
        <f t="shared" si="0"/>
        <v>0</v>
      </c>
      <c r="S9" s="2841"/>
      <c r="T9" s="2841"/>
      <c r="U9" s="2841"/>
      <c r="V9" s="2849"/>
    </row>
    <row r="10" spans="1:22" s="2853" customFormat="1" ht="13.2" customHeight="1">
      <c r="A10" s="2888">
        <v>2</v>
      </c>
      <c r="B10" s="3778" t="s">
        <v>2356</v>
      </c>
      <c r="C10" s="3779"/>
      <c r="D10" s="2889">
        <f>ROUND(D6*E10,0)</f>
        <v>0</v>
      </c>
      <c r="E10" s="2893"/>
      <c r="F10" s="2894" t="s">
        <v>2357</v>
      </c>
      <c r="G10" s="2873"/>
      <c r="H10" s="2848"/>
      <c r="I10" s="2849"/>
      <c r="J10" s="3761"/>
      <c r="K10" s="3763"/>
      <c r="L10" s="2883" t="s">
        <v>2358</v>
      </c>
      <c r="M10" s="2884"/>
      <c r="N10" s="2860"/>
      <c r="O10" s="2885"/>
      <c r="P10" s="2885"/>
      <c r="Q10" s="2886">
        <v>365</v>
      </c>
      <c r="R10" s="2887">
        <f t="shared" si="0"/>
        <v>0</v>
      </c>
      <c r="S10" s="2841"/>
      <c r="T10" s="2841"/>
      <c r="U10" s="2841"/>
      <c r="V10" s="2849"/>
    </row>
    <row r="11" spans="1:22" s="2853" customFormat="1" ht="13.2" customHeight="1">
      <c r="A11" s="2888">
        <v>3</v>
      </c>
      <c r="B11" s="3778" t="s">
        <v>2359</v>
      </c>
      <c r="C11" s="3779"/>
      <c r="D11" s="2889">
        <f>D12+D14+D15+D16</f>
        <v>0</v>
      </c>
      <c r="E11" s="2895" t="e">
        <f>D11/D6</f>
        <v>#DIV/0!</v>
      </c>
      <c r="F11" s="2891"/>
      <c r="G11" s="2892"/>
      <c r="H11" s="2848"/>
      <c r="I11" s="2849"/>
      <c r="J11" s="3761"/>
      <c r="K11" s="376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71" t="s">
        <v>2362</v>
      </c>
      <c r="C12" s="3772"/>
      <c r="D12" s="2897">
        <f>ROUND(D13*1.2%*(1-30%),0)</f>
        <v>0</v>
      </c>
      <c r="E12" s="2898">
        <v>1.2E-2</v>
      </c>
      <c r="F12" s="2891" t="s">
        <v>2363</v>
      </c>
      <c r="G12" s="2892"/>
      <c r="H12" s="2848"/>
      <c r="I12" s="2849"/>
      <c r="J12" s="3761"/>
      <c r="K12" s="376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61"/>
      <c r="K13" s="376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71" t="s">
        <v>2368</v>
      </c>
      <c r="C14" s="3772"/>
      <c r="D14" s="2897">
        <f>ROUND(E14*B5/10000,0)</f>
        <v>0</v>
      </c>
      <c r="E14" s="2886"/>
      <c r="F14" s="2891" t="s">
        <v>2369</v>
      </c>
      <c r="G14" s="2892"/>
      <c r="H14" s="2848"/>
      <c r="I14" s="2849"/>
      <c r="J14" s="3761"/>
      <c r="K14" s="376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71" t="s">
        <v>2372</v>
      </c>
      <c r="C15" s="3772"/>
      <c r="D15" s="2897">
        <f>ROUND(D6*E15,0)</f>
        <v>0</v>
      </c>
      <c r="E15" s="2898">
        <v>5.5E-2</v>
      </c>
      <c r="F15" s="2891" t="s">
        <v>2373</v>
      </c>
      <c r="G15" s="2873"/>
      <c r="H15" s="2848"/>
      <c r="I15" s="2849"/>
      <c r="J15" s="3761">
        <v>2</v>
      </c>
      <c r="K15" s="376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71" t="s">
        <v>2381</v>
      </c>
      <c r="C16" s="3772"/>
      <c r="D16" s="2908">
        <f>D6*E16</f>
        <v>0</v>
      </c>
      <c r="E16" s="2909"/>
      <c r="F16" s="2894" t="s">
        <v>2382</v>
      </c>
      <c r="G16" s="2873"/>
      <c r="H16" s="2848"/>
      <c r="I16" s="2849"/>
      <c r="J16" s="3761"/>
      <c r="K16" s="376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73" t="s">
        <v>2384</v>
      </c>
      <c r="C17" s="3774"/>
      <c r="D17" s="2911">
        <f>ROUND(D6*E17,0)</f>
        <v>0</v>
      </c>
      <c r="E17" s="2912"/>
      <c r="F17" s="2913" t="s">
        <v>2385</v>
      </c>
      <c r="G17" s="2873"/>
      <c r="H17" s="2848"/>
      <c r="I17" s="2849"/>
      <c r="J17" s="3761"/>
      <c r="K17" s="376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61"/>
      <c r="K18" s="376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61"/>
      <c r="K19" s="376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61">
        <v>3</v>
      </c>
      <c r="K20" s="376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61"/>
      <c r="K21" s="376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61"/>
      <c r="K22" s="376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61"/>
      <c r="K23" s="376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61"/>
      <c r="K24" s="376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6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6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67" t="s">
        <v>2317</v>
      </c>
      <c r="K32" s="376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69" t="s">
        <v>2327</v>
      </c>
      <c r="K33" s="377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69" t="s">
        <v>2329</v>
      </c>
      <c r="K34" s="377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61">
        <v>1</v>
      </c>
      <c r="K36" s="376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61"/>
      <c r="K37" s="376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61"/>
      <c r="K38" s="376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61"/>
      <c r="K39" s="376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61"/>
      <c r="K40" s="376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6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6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80" t="s">
        <v>1654</v>
      </c>
      <c r="C5" s="378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2" zoomScale="85" zoomScaleNormal="60" zoomScaleSheetLayoutView="85" workbookViewId="0">
      <selection activeCell="C21" sqref="C21"/>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75.313900000000004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6395</v>
      </c>
      <c r="C3" s="354" t="s">
        <v>1665</v>
      </c>
      <c r="D3" s="353">
        <f>IF(D1="",'数据-汇总表'!E3,SUMIF('数据-汇总表'!$C19:$C33,D1,'数据-汇总表'!$E19:$E33))</f>
        <v>117.77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00" t="s">
        <v>1667</v>
      </c>
      <c r="D4" s="3801"/>
      <c r="E4" s="3802" t="s">
        <v>1668</v>
      </c>
      <c r="F4" s="3803"/>
      <c r="G4" s="3800" t="s">
        <v>1669</v>
      </c>
      <c r="H4" s="3801"/>
      <c r="I4" s="3800" t="s">
        <v>1670</v>
      </c>
      <c r="J4" s="3801"/>
      <c r="K4" s="1889" t="s">
        <v>1671</v>
      </c>
      <c r="L4" s="2715"/>
      <c r="M4" s="2716"/>
      <c r="N4" s="2716"/>
      <c r="O4" s="2716"/>
      <c r="P4" s="3804" t="s">
        <v>1672</v>
      </c>
      <c r="Q4" s="3805"/>
      <c r="R4" s="3810" t="s">
        <v>1668</v>
      </c>
      <c r="S4" s="3811"/>
      <c r="T4" s="3810" t="s">
        <v>1669</v>
      </c>
      <c r="U4" s="3811"/>
      <c r="V4" s="3816" t="s">
        <v>1670</v>
      </c>
      <c r="W4" s="3816"/>
      <c r="X4" s="1355"/>
      <c r="Y4" s="3810" t="s">
        <v>1672</v>
      </c>
      <c r="Z4" s="3811"/>
      <c r="AA4" s="3797" t="s">
        <v>1668</v>
      </c>
      <c r="AB4" s="3797" t="s">
        <v>1669</v>
      </c>
      <c r="AC4" s="3797" t="s">
        <v>1670</v>
      </c>
    </row>
    <row r="5" spans="1:29" ht="39.75" customHeight="1">
      <c r="A5" s="358"/>
      <c r="B5" s="359"/>
      <c r="C5" s="3824" t="s">
        <v>3761</v>
      </c>
      <c r="D5" s="3825"/>
      <c r="E5" s="3828" t="str">
        <f>Sheet1!F8</f>
        <v>昌平镇昌盛园二区</v>
      </c>
      <c r="F5" s="3829"/>
      <c r="G5" s="3819" t="str">
        <f>Sheet1!F13</f>
        <v>昌平镇昌盛园一区</v>
      </c>
      <c r="H5" s="3820"/>
      <c r="I5" s="3819" t="str">
        <f>Sheet1!F16</f>
        <v>昌平镇昌盛园一区</v>
      </c>
      <c r="J5" s="3820"/>
      <c r="K5" s="1890"/>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17"/>
      <c r="D6" s="3818"/>
      <c r="E6" s="3826" t="str">
        <f>Sheet1!H8</f>
        <v>15号楼</v>
      </c>
      <c r="F6" s="3827"/>
      <c r="G6" s="3817" t="str">
        <f>Sheet1!H13</f>
        <v>19号楼</v>
      </c>
      <c r="H6" s="3818"/>
      <c r="I6" s="3817" t="str">
        <f>Sheet1!H16</f>
        <v>10号楼</v>
      </c>
      <c r="J6" s="3818"/>
      <c r="K6" s="1890"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f>Sheet1!AN8</f>
        <v>40003</v>
      </c>
      <c r="F7" s="367">
        <f>SUMIF(58:58,YEAR(E7)&amp;"-"&amp;MONTH(E7),59:59)</f>
        <v>100</v>
      </c>
      <c r="G7" s="366">
        <f>Sheet1!AN13</f>
        <v>40060</v>
      </c>
      <c r="H7" s="365">
        <f>SUMIF(58:58,YEAR(G7)&amp;"-"&amp;MONTH(G7),59:59)</f>
        <v>100</v>
      </c>
      <c r="I7" s="366">
        <f>Sheet1!AN16</f>
        <v>40074</v>
      </c>
      <c r="J7" s="365">
        <f>SUMIF(58:58,YEAR(I7)&amp;"-"&amp;MONTH(I7),59:59)</f>
        <v>100</v>
      </c>
      <c r="K7" s="1891"/>
      <c r="L7" s="2717"/>
      <c r="M7" s="2718"/>
      <c r="N7" s="2718"/>
      <c r="O7" s="2718"/>
      <c r="P7" s="3821" t="s">
        <v>1680</v>
      </c>
      <c r="Q7" s="3823"/>
      <c r="R7" s="701" t="s">
        <v>20</v>
      </c>
      <c r="S7" s="702">
        <f t="shared" ref="S7:S15" si="0">F7</f>
        <v>100</v>
      </c>
      <c r="T7" s="701" t="s">
        <v>20</v>
      </c>
      <c r="U7" s="702">
        <f t="shared" ref="U7:U15" si="1">H7</f>
        <v>100</v>
      </c>
      <c r="V7" s="701" t="s">
        <v>20</v>
      </c>
      <c r="W7" s="702">
        <f t="shared" ref="W7:W15" si="2">J7</f>
        <v>100</v>
      </c>
      <c r="X7" s="703"/>
      <c r="Y7" s="3821" t="s">
        <v>1680</v>
      </c>
      <c r="Z7" s="3822"/>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821" t="s">
        <v>1683</v>
      </c>
      <c r="Q8" s="3822"/>
      <c r="R8" s="701" t="s">
        <v>20</v>
      </c>
      <c r="S8" s="702">
        <f t="shared" si="0"/>
        <v>100</v>
      </c>
      <c r="T8" s="701" t="s">
        <v>20</v>
      </c>
      <c r="U8" s="702">
        <f t="shared" si="1"/>
        <v>100</v>
      </c>
      <c r="V8" s="701" t="s">
        <v>20</v>
      </c>
      <c r="W8" s="702">
        <f t="shared" si="2"/>
        <v>100</v>
      </c>
      <c r="X8" s="703"/>
      <c r="Y8" s="3821" t="s">
        <v>1683</v>
      </c>
      <c r="Z8" s="3822"/>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96"/>
      <c r="Q11" s="1343" t="str">
        <f t="shared" si="6"/>
        <v>容积率</v>
      </c>
      <c r="R11" s="701" t="s">
        <v>18</v>
      </c>
      <c r="S11" s="702">
        <f t="shared" si="0"/>
        <v>100</v>
      </c>
      <c r="T11" s="701" t="s">
        <v>18</v>
      </c>
      <c r="U11" s="702">
        <f t="shared" si="1"/>
        <v>100</v>
      </c>
      <c r="V11" s="701" t="s">
        <v>18</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96"/>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96"/>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96"/>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94" t="s">
        <v>1691</v>
      </c>
      <c r="Q15" s="1352" t="str">
        <f t="shared" si="6"/>
        <v>居住社区成熟度</v>
      </c>
      <c r="R15" s="705" t="s">
        <v>18</v>
      </c>
      <c r="S15" s="706">
        <f t="shared" si="0"/>
        <v>100</v>
      </c>
      <c r="T15" s="705" t="s">
        <v>18</v>
      </c>
      <c r="U15" s="706">
        <f t="shared" si="1"/>
        <v>100</v>
      </c>
      <c r="V15" s="705" t="s">
        <v>18</v>
      </c>
      <c r="W15" s="706">
        <f t="shared" si="2"/>
        <v>100</v>
      </c>
      <c r="X15" s="1355"/>
      <c r="Y15" s="37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95"/>
      <c r="Q16" s="1352"/>
      <c r="R16" s="705"/>
      <c r="S16" s="706"/>
      <c r="T16" s="705"/>
      <c r="U16" s="706"/>
      <c r="V16" s="705"/>
      <c r="W16" s="706"/>
      <c r="X16" s="1355"/>
      <c r="Y16" s="378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95"/>
      <c r="Q17" s="1352" t="str">
        <f>B17</f>
        <v>交通便捷度</v>
      </c>
      <c r="R17" s="705" t="s">
        <v>18</v>
      </c>
      <c r="S17" s="706">
        <f>F17</f>
        <v>100</v>
      </c>
      <c r="T17" s="705" t="s">
        <v>18</v>
      </c>
      <c r="U17" s="706">
        <f>H17</f>
        <v>100</v>
      </c>
      <c r="V17" s="705" t="s">
        <v>18</v>
      </c>
      <c r="W17" s="706">
        <f>J17</f>
        <v>100</v>
      </c>
      <c r="X17" s="1355"/>
      <c r="Y17" s="3788"/>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95"/>
      <c r="Q18" s="1352"/>
      <c r="R18" s="705"/>
      <c r="S18" s="706"/>
      <c r="T18" s="705"/>
      <c r="U18" s="706"/>
      <c r="V18" s="705"/>
      <c r="W18" s="706"/>
      <c r="X18" s="1355"/>
      <c r="Y18" s="378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95"/>
      <c r="Q19" s="1352" t="str">
        <f>B19</f>
        <v>公共配套设施</v>
      </c>
      <c r="R19" s="705" t="s">
        <v>18</v>
      </c>
      <c r="S19" s="706">
        <f>F19</f>
        <v>100</v>
      </c>
      <c r="T19" s="705" t="s">
        <v>18</v>
      </c>
      <c r="U19" s="706">
        <f>H19</f>
        <v>100</v>
      </c>
      <c r="V19" s="705" t="s">
        <v>18</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95"/>
      <c r="Q20" s="1352"/>
      <c r="R20" s="705"/>
      <c r="S20" s="706"/>
      <c r="T20" s="705"/>
      <c r="U20" s="706"/>
      <c r="V20" s="705"/>
      <c r="W20" s="706"/>
      <c r="X20" s="1355"/>
      <c r="Y20" s="378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95"/>
      <c r="Q22" s="1352"/>
      <c r="R22" s="705"/>
      <c r="S22" s="706"/>
      <c r="T22" s="705"/>
      <c r="U22" s="706"/>
      <c r="V22" s="705"/>
      <c r="W22" s="706"/>
      <c r="X22" s="1355"/>
      <c r="Y22" s="378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95"/>
      <c r="Q23" s="1352" t="str">
        <f>B23</f>
        <v>自然及人文环境</v>
      </c>
      <c r="R23" s="705" t="s">
        <v>18</v>
      </c>
      <c r="S23" s="706">
        <f>F23</f>
        <v>100</v>
      </c>
      <c r="T23" s="705" t="s">
        <v>18</v>
      </c>
      <c r="U23" s="706">
        <f>H23</f>
        <v>100</v>
      </c>
      <c r="V23" s="705" t="s">
        <v>18</v>
      </c>
      <c r="W23" s="706">
        <f>J23</f>
        <v>100</v>
      </c>
      <c r="X23" s="1355"/>
      <c r="Y23" s="378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95"/>
      <c r="Q24" s="1352"/>
      <c r="R24" s="705"/>
      <c r="S24" s="706"/>
      <c r="T24" s="705"/>
      <c r="U24" s="706"/>
      <c r="V24" s="705"/>
      <c r="W24" s="706"/>
      <c r="X24" s="1355"/>
      <c r="Y24" s="378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8"/>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3"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795"/>
      <c r="Q26" s="3462" t="str">
        <f t="shared" si="11"/>
        <v>朝向</v>
      </c>
      <c r="R26" s="3463" t="s">
        <v>18</v>
      </c>
      <c r="S26" s="3464">
        <f t="shared" si="12"/>
        <v>100</v>
      </c>
      <c r="T26" s="3463" t="s">
        <v>18</v>
      </c>
      <c r="U26" s="3464">
        <f t="shared" si="13"/>
        <v>100</v>
      </c>
      <c r="V26" s="3463" t="s">
        <v>18</v>
      </c>
      <c r="W26" s="3464">
        <f t="shared" si="14"/>
        <v>100</v>
      </c>
      <c r="X26" s="3465"/>
      <c r="Y26" s="3788"/>
      <c r="Z26" s="3466" t="str">
        <f>Q26</f>
        <v>朝向</v>
      </c>
      <c r="AA26" s="3467">
        <f t="shared" si="15"/>
        <v>1</v>
      </c>
      <c r="AB26" s="3467">
        <f t="shared" si="16"/>
        <v>1</v>
      </c>
      <c r="AC26" s="3467">
        <f t="shared" si="17"/>
        <v>1</v>
      </c>
    </row>
    <row r="27" spans="1:29" s="108" customFormat="1" ht="15">
      <c r="A27" s="382"/>
      <c r="B27" s="3450" t="s">
        <v>3397</v>
      </c>
      <c r="C27" s="416" t="s">
        <v>3430</v>
      </c>
      <c r="D27" s="413">
        <v>100</v>
      </c>
      <c r="E27" s="416" t="s">
        <v>3762</v>
      </c>
      <c r="F27" s="413">
        <f>SUMIF(90:90,E27,91:91)-SUMIF(90:90,C27,91:91)+100</f>
        <v>98</v>
      </c>
      <c r="G27" s="414" t="s">
        <v>3434</v>
      </c>
      <c r="H27" s="413">
        <f>SUMIF(90:90,G27,91:91)-SUMIF(90:90,C27,91:91)+100</f>
        <v>103</v>
      </c>
      <c r="I27" s="414" t="s">
        <v>3763</v>
      </c>
      <c r="J27" s="413">
        <f>SUMIF(90:90,I27,91:91)-SUMIF(90:90,C27,91:91)+100</f>
        <v>98</v>
      </c>
      <c r="K27" s="1894"/>
      <c r="L27" s="2717"/>
      <c r="M27" s="2718"/>
      <c r="N27" s="2718"/>
      <c r="O27" s="2718"/>
      <c r="P27" s="3795"/>
      <c r="Q27" s="1343" t="str">
        <f t="shared" si="11"/>
        <v>楼层</v>
      </c>
      <c r="R27" s="701" t="s">
        <v>18</v>
      </c>
      <c r="S27" s="702">
        <f t="shared" si="12"/>
        <v>98</v>
      </c>
      <c r="T27" s="701" t="s">
        <v>18</v>
      </c>
      <c r="U27" s="702">
        <f t="shared" si="13"/>
        <v>103</v>
      </c>
      <c r="V27" s="701" t="s">
        <v>18</v>
      </c>
      <c r="W27" s="702">
        <f t="shared" si="14"/>
        <v>98</v>
      </c>
      <c r="X27" s="703"/>
      <c r="Y27" s="3788"/>
      <c r="Z27" s="52" t="str">
        <f>Q27</f>
        <v>楼层</v>
      </c>
      <c r="AA27" s="1353">
        <f t="shared" si="15"/>
        <v>1.0204081632653061</v>
      </c>
      <c r="AB27" s="1353">
        <f t="shared" si="16"/>
        <v>0.970873786407767</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95"/>
      <c r="Q28" s="1352">
        <f t="shared" si="11"/>
        <v>111</v>
      </c>
      <c r="R28" s="705" t="s">
        <v>18</v>
      </c>
      <c r="S28" s="706">
        <f t="shared" si="12"/>
        <v>100</v>
      </c>
      <c r="T28" s="705" t="s">
        <v>18</v>
      </c>
      <c r="U28" s="706">
        <f t="shared" si="13"/>
        <v>100</v>
      </c>
      <c r="V28" s="705" t="s">
        <v>18</v>
      </c>
      <c r="W28" s="706">
        <f t="shared" si="14"/>
        <v>100</v>
      </c>
      <c r="X28" s="1355"/>
      <c r="Y28" s="37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95"/>
      <c r="Q29" s="1352">
        <f t="shared" si="11"/>
        <v>111</v>
      </c>
      <c r="R29" s="705" t="s">
        <v>18</v>
      </c>
      <c r="S29" s="706">
        <f t="shared" si="12"/>
        <v>100</v>
      </c>
      <c r="T29" s="705" t="s">
        <v>18</v>
      </c>
      <c r="U29" s="706">
        <f t="shared" si="13"/>
        <v>100</v>
      </c>
      <c r="V29" s="705" t="s">
        <v>18</v>
      </c>
      <c r="W29" s="706">
        <f t="shared" si="14"/>
        <v>100</v>
      </c>
      <c r="X29" s="1355"/>
      <c r="Y29" s="37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95"/>
      <c r="Q30" s="1352">
        <f t="shared" si="11"/>
        <v>111</v>
      </c>
      <c r="R30" s="705" t="s">
        <v>18</v>
      </c>
      <c r="S30" s="706">
        <f t="shared" si="12"/>
        <v>100</v>
      </c>
      <c r="T30" s="705" t="s">
        <v>18</v>
      </c>
      <c r="U30" s="706">
        <f t="shared" si="13"/>
        <v>100</v>
      </c>
      <c r="V30" s="705" t="s">
        <v>18</v>
      </c>
      <c r="W30" s="706">
        <f t="shared" si="14"/>
        <v>100</v>
      </c>
      <c r="X30" s="1355"/>
      <c r="Y30" s="378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95"/>
      <c r="Q31" s="1352">
        <f t="shared" si="11"/>
        <v>111</v>
      </c>
      <c r="R31" s="705" t="s">
        <v>18</v>
      </c>
      <c r="S31" s="706">
        <f t="shared" si="12"/>
        <v>100</v>
      </c>
      <c r="T31" s="705" t="s">
        <v>18</v>
      </c>
      <c r="U31" s="706">
        <f t="shared" si="13"/>
        <v>100</v>
      </c>
      <c r="V31" s="705" t="s">
        <v>18</v>
      </c>
      <c r="W31" s="706">
        <f t="shared" si="14"/>
        <v>100</v>
      </c>
      <c r="X31" s="1355"/>
      <c r="Y31" s="3788"/>
      <c r="Z31" s="1356">
        <f t="shared" si="18"/>
        <v>111</v>
      </c>
      <c r="AA31" s="1353">
        <f t="shared" si="15"/>
        <v>1</v>
      </c>
      <c r="AB31" s="1353">
        <f t="shared" si="16"/>
        <v>1</v>
      </c>
      <c r="AC31" s="1353">
        <f t="shared" si="17"/>
        <v>1</v>
      </c>
    </row>
    <row r="32" spans="1:29" ht="15">
      <c r="A32" s="391" t="s">
        <v>1693</v>
      </c>
      <c r="B32" s="63" t="s">
        <v>1694</v>
      </c>
      <c r="C32" s="1910" t="s">
        <v>3431</v>
      </c>
      <c r="D32" s="418">
        <v>100</v>
      </c>
      <c r="E32" s="1911" t="s">
        <v>3431</v>
      </c>
      <c r="F32" s="412">
        <f>SUMIF(100:100,E32,101:101)-SUMIF(100:100,C32,101:101)+100</f>
        <v>100</v>
      </c>
      <c r="G32" s="1910" t="s">
        <v>3431</v>
      </c>
      <c r="H32" s="418">
        <f>SUMIF(100:100,G32,101:101)-SUMIF(100:100,C32,101:101)+100</f>
        <v>100</v>
      </c>
      <c r="I32" s="1911" t="s">
        <v>3431</v>
      </c>
      <c r="J32" s="386">
        <f>SUMIF(100:100,I32,101:101)-SUMIF(100:100,C32,101:101)+100</f>
        <v>100</v>
      </c>
      <c r="K32" s="377">
        <v>1</v>
      </c>
      <c r="L32" s="2722"/>
      <c r="M32" s="2716"/>
      <c r="N32" s="2716"/>
      <c r="O32" s="2716"/>
      <c r="P32" s="3789" t="s">
        <v>1695</v>
      </c>
      <c r="Q32" s="1352" t="str">
        <f t="shared" si="11"/>
        <v>建筑类型</v>
      </c>
      <c r="R32" s="705" t="s">
        <v>18</v>
      </c>
      <c r="S32" s="706">
        <f t="shared" si="12"/>
        <v>100</v>
      </c>
      <c r="T32" s="705" t="s">
        <v>18</v>
      </c>
      <c r="U32" s="706">
        <f t="shared" si="13"/>
        <v>100</v>
      </c>
      <c r="V32" s="705" t="s">
        <v>18</v>
      </c>
      <c r="W32" s="706">
        <f t="shared" si="14"/>
        <v>100</v>
      </c>
      <c r="X32" s="1355"/>
      <c r="Y32" s="3792" t="s">
        <v>1695</v>
      </c>
      <c r="Z32" s="1356" t="str">
        <f t="shared" si="18"/>
        <v>建筑类型</v>
      </c>
      <c r="AA32" s="1353">
        <f t="shared" si="15"/>
        <v>1</v>
      </c>
      <c r="AB32" s="1353">
        <f t="shared" si="16"/>
        <v>1</v>
      </c>
      <c r="AC32" s="1353">
        <f t="shared" si="17"/>
        <v>1</v>
      </c>
    </row>
    <row r="33" spans="1:29" s="422" customFormat="1" ht="15">
      <c r="A33" s="419"/>
      <c r="B33" s="375" t="s">
        <v>1696</v>
      </c>
      <c r="C33" s="420">
        <f>'数据-基础表'!I13</f>
        <v>117.77</v>
      </c>
      <c r="D33" s="127">
        <v>100</v>
      </c>
      <c r="E33" s="381">
        <f>Sheet1!L8</f>
        <v>83.55</v>
      </c>
      <c r="F33" s="376">
        <f>LOOKUP(E33,103:103,104:104)-LOOKUP(C33,103:103,104:104)+100</f>
        <v>102</v>
      </c>
      <c r="G33" s="380">
        <f>Sheet1!L13</f>
        <v>123.73</v>
      </c>
      <c r="H33" s="127">
        <f>LOOKUP(G33,103:103,104:104)-LOOKUP(C33,103:103,104:104)+100</f>
        <v>100</v>
      </c>
      <c r="I33" s="381">
        <f>Sheet1!L16</f>
        <v>104.85</v>
      </c>
      <c r="J33" s="386">
        <f>LOOKUP(I33,103:103,104:104)-LOOKUP(C33,103:103,104:104)+100</f>
        <v>100</v>
      </c>
      <c r="K33" s="1894"/>
      <c r="L33" s="2721"/>
      <c r="M33" s="2723"/>
      <c r="N33" s="2723"/>
      <c r="O33" s="2723"/>
      <c r="P33" s="3790"/>
      <c r="Q33" s="707" t="str">
        <f t="shared" si="11"/>
        <v>项目建筑规模</v>
      </c>
      <c r="R33" s="708" t="s">
        <v>18</v>
      </c>
      <c r="S33" s="709">
        <f t="shared" si="12"/>
        <v>102</v>
      </c>
      <c r="T33" s="708" t="s">
        <v>18</v>
      </c>
      <c r="U33" s="709">
        <f t="shared" si="13"/>
        <v>100</v>
      </c>
      <c r="V33" s="708" t="s">
        <v>18</v>
      </c>
      <c r="W33" s="709">
        <f t="shared" si="14"/>
        <v>100</v>
      </c>
      <c r="X33" s="710"/>
      <c r="Y33" s="3792"/>
      <c r="Z33" s="711" t="str">
        <f t="shared" si="18"/>
        <v>项目建筑规模</v>
      </c>
      <c r="AA33" s="1353">
        <f t="shared" si="15"/>
        <v>0.98039215686274506</v>
      </c>
      <c r="AB33" s="1353">
        <f t="shared" si="16"/>
        <v>1</v>
      </c>
      <c r="AC33" s="1353">
        <f t="shared" si="17"/>
        <v>1</v>
      </c>
    </row>
    <row r="34" spans="1:29" ht="15">
      <c r="A34" s="423"/>
      <c r="B34" s="375" t="s">
        <v>1697</v>
      </c>
      <c r="C34" s="1912" t="s">
        <v>3432</v>
      </c>
      <c r="D34" s="386">
        <v>100</v>
      </c>
      <c r="E34" s="1913" t="s">
        <v>3432</v>
      </c>
      <c r="F34" s="412">
        <f>SUMIF(105:105,E34,106:106)-SUMIF(105:105,C34,106:106)+100</f>
        <v>100</v>
      </c>
      <c r="G34" s="1912" t="s">
        <v>3432</v>
      </c>
      <c r="H34" s="386">
        <f>SUMIF(105:105,G34,106:106)-SUMIF(105:105,C34,106:106)+100</f>
        <v>100</v>
      </c>
      <c r="I34" s="1913" t="s">
        <v>3432</v>
      </c>
      <c r="J34" s="386">
        <f>SUMIF(105:105,I34,106:106)-SUMIF(105:105,C34,106:106)+100</f>
        <v>100</v>
      </c>
      <c r="K34" s="377"/>
      <c r="L34" s="2722"/>
      <c r="M34" s="2716"/>
      <c r="N34" s="2716"/>
      <c r="O34" s="2716"/>
      <c r="P34" s="3790"/>
      <c r="Q34" s="1352" t="str">
        <f t="shared" si="11"/>
        <v>建筑结构</v>
      </c>
      <c r="R34" s="705" t="s">
        <v>18</v>
      </c>
      <c r="S34" s="706">
        <f t="shared" si="12"/>
        <v>100</v>
      </c>
      <c r="T34" s="705" t="s">
        <v>18</v>
      </c>
      <c r="U34" s="706">
        <f t="shared" si="13"/>
        <v>100</v>
      </c>
      <c r="V34" s="705" t="s">
        <v>18</v>
      </c>
      <c r="W34" s="706">
        <f t="shared" si="14"/>
        <v>100</v>
      </c>
      <c r="X34" s="1355"/>
      <c r="Y34" s="379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90"/>
      <c r="Q35" s="1352" t="str">
        <f t="shared" si="11"/>
        <v>建筑品质</v>
      </c>
      <c r="R35" s="705" t="s">
        <v>18</v>
      </c>
      <c r="S35" s="706">
        <f t="shared" si="12"/>
        <v>100</v>
      </c>
      <c r="T35" s="705" t="s">
        <v>18</v>
      </c>
      <c r="U35" s="706">
        <f t="shared" si="13"/>
        <v>100</v>
      </c>
      <c r="V35" s="705" t="s">
        <v>18</v>
      </c>
      <c r="W35" s="706">
        <f t="shared" si="14"/>
        <v>100</v>
      </c>
      <c r="X35" s="1355"/>
      <c r="Y35" s="3792"/>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90"/>
      <c r="Q36" s="1352" t="str">
        <f t="shared" si="11"/>
        <v>公共部分装修</v>
      </c>
      <c r="R36" s="705" t="s">
        <v>18</v>
      </c>
      <c r="S36" s="706">
        <f t="shared" si="12"/>
        <v>100</v>
      </c>
      <c r="T36" s="705" t="s">
        <v>18</v>
      </c>
      <c r="U36" s="706">
        <f t="shared" si="13"/>
        <v>100</v>
      </c>
      <c r="V36" s="705" t="s">
        <v>18</v>
      </c>
      <c r="W36" s="706">
        <f t="shared" si="14"/>
        <v>100</v>
      </c>
      <c r="X36" s="1355"/>
      <c r="Y36" s="3792"/>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90"/>
      <c r="Q37" s="1343" t="str">
        <f t="shared" si="11"/>
        <v>成新度</v>
      </c>
      <c r="R37" s="701" t="s">
        <v>18</v>
      </c>
      <c r="S37" s="702">
        <f t="shared" si="12"/>
        <v>100</v>
      </c>
      <c r="T37" s="701" t="s">
        <v>18</v>
      </c>
      <c r="U37" s="702">
        <f t="shared" si="13"/>
        <v>100</v>
      </c>
      <c r="V37" s="701" t="s">
        <v>18</v>
      </c>
      <c r="W37" s="702">
        <f t="shared" si="14"/>
        <v>100</v>
      </c>
      <c r="X37" s="703"/>
      <c r="Y37" s="3792"/>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90" t="s">
        <v>1695</v>
      </c>
      <c r="Q38" s="1352" t="str">
        <f t="shared" si="11"/>
        <v>物业管理</v>
      </c>
      <c r="R38" s="705" t="s">
        <v>18</v>
      </c>
      <c r="S38" s="706">
        <f t="shared" si="12"/>
        <v>100</v>
      </c>
      <c r="T38" s="705" t="s">
        <v>18</v>
      </c>
      <c r="U38" s="706">
        <f t="shared" si="13"/>
        <v>100</v>
      </c>
      <c r="V38" s="705" t="s">
        <v>18</v>
      </c>
      <c r="W38" s="706">
        <f t="shared" si="14"/>
        <v>100</v>
      </c>
      <c r="X38" s="1355"/>
      <c r="Y38" s="3792"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90"/>
      <c r="Q39" s="1352" t="str">
        <f t="shared" si="11"/>
        <v>市政基础设施</v>
      </c>
      <c r="R39" s="705" t="s">
        <v>18</v>
      </c>
      <c r="S39" s="706">
        <f t="shared" si="12"/>
        <v>100</v>
      </c>
      <c r="T39" s="705" t="s">
        <v>18</v>
      </c>
      <c r="U39" s="706">
        <f t="shared" si="13"/>
        <v>100</v>
      </c>
      <c r="V39" s="705" t="s">
        <v>18</v>
      </c>
      <c r="W39" s="706">
        <f t="shared" si="14"/>
        <v>100</v>
      </c>
      <c r="X39" s="1355"/>
      <c r="Y39" s="3792"/>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90"/>
      <c r="Q40" s="1352" t="str">
        <f t="shared" si="11"/>
        <v>房型</v>
      </c>
      <c r="R40" s="705" t="s">
        <v>18</v>
      </c>
      <c r="S40" s="706">
        <f t="shared" si="12"/>
        <v>100</v>
      </c>
      <c r="T40" s="705" t="s">
        <v>18</v>
      </c>
      <c r="U40" s="706">
        <f t="shared" si="13"/>
        <v>100</v>
      </c>
      <c r="V40" s="705" t="s">
        <v>18</v>
      </c>
      <c r="W40" s="706">
        <f t="shared" si="14"/>
        <v>100</v>
      </c>
      <c r="X40" s="1355"/>
      <c r="Y40" s="379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90"/>
      <c r="Q41" s="707" t="str">
        <f t="shared" si="11"/>
        <v>单套/主力户型建筑面积</v>
      </c>
      <c r="R41" s="708" t="s">
        <v>18</v>
      </c>
      <c r="S41" s="709">
        <f t="shared" si="12"/>
        <v>100</v>
      </c>
      <c r="T41" s="708" t="s">
        <v>18</v>
      </c>
      <c r="U41" s="709">
        <f t="shared" si="13"/>
        <v>100</v>
      </c>
      <c r="V41" s="708" t="s">
        <v>18</v>
      </c>
      <c r="W41" s="709">
        <f t="shared" si="14"/>
        <v>100</v>
      </c>
      <c r="X41" s="710"/>
      <c r="Y41" s="3792"/>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108</v>
      </c>
      <c r="G42" s="1906" t="s">
        <v>3401</v>
      </c>
      <c r="H42" s="386">
        <f>SUMIF(122:122,G42,123:123)-SUMIF(122:122,C42,123:123)+100</f>
        <v>108</v>
      </c>
      <c r="I42" s="1907" t="s">
        <v>3401</v>
      </c>
      <c r="J42" s="386">
        <f>SUMIF(122:122,I42,123:123)-SUMIF(122:122,C42,123:123)+100</f>
        <v>108</v>
      </c>
      <c r="K42" s="377">
        <v>4</v>
      </c>
      <c r="L42" s="2722"/>
      <c r="M42" s="2716"/>
      <c r="N42" s="2716"/>
      <c r="O42" s="2716"/>
      <c r="P42" s="3790"/>
      <c r="Q42" s="1352" t="str">
        <f t="shared" si="11"/>
        <v>内部装修</v>
      </c>
      <c r="R42" s="705" t="s">
        <v>18</v>
      </c>
      <c r="S42" s="706">
        <f t="shared" si="12"/>
        <v>108</v>
      </c>
      <c r="T42" s="705" t="s">
        <v>18</v>
      </c>
      <c r="U42" s="706">
        <f t="shared" si="13"/>
        <v>108</v>
      </c>
      <c r="V42" s="705" t="s">
        <v>18</v>
      </c>
      <c r="W42" s="706">
        <f t="shared" si="14"/>
        <v>108</v>
      </c>
      <c r="X42" s="1355"/>
      <c r="Y42" s="3792"/>
      <c r="Z42" s="1356" t="str">
        <f t="shared" si="18"/>
        <v>内部装修</v>
      </c>
      <c r="AA42" s="1353">
        <f t="shared" si="15"/>
        <v>0.92592592592592593</v>
      </c>
      <c r="AB42" s="1353">
        <f t="shared" si="16"/>
        <v>0.92592592592592593</v>
      </c>
      <c r="AC42" s="1353">
        <f t="shared" si="17"/>
        <v>0.92592592592592593</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90"/>
      <c r="Q43" s="1352" t="str">
        <f t="shared" si="11"/>
        <v>内部装修维护情况</v>
      </c>
      <c r="R43" s="705" t="s">
        <v>18</v>
      </c>
      <c r="S43" s="706">
        <f t="shared" si="12"/>
        <v>100</v>
      </c>
      <c r="T43" s="705" t="s">
        <v>18</v>
      </c>
      <c r="U43" s="706">
        <f t="shared" si="13"/>
        <v>100</v>
      </c>
      <c r="V43" s="705" t="s">
        <v>18</v>
      </c>
      <c r="W43" s="706">
        <f t="shared" si="14"/>
        <v>100</v>
      </c>
      <c r="X43" s="1355"/>
      <c r="Y43" s="3792"/>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90"/>
      <c r="Q44" s="1343">
        <f t="shared" si="11"/>
        <v>111</v>
      </c>
      <c r="R44" s="701" t="s">
        <v>18</v>
      </c>
      <c r="S44" s="702">
        <f t="shared" si="12"/>
        <v>100</v>
      </c>
      <c r="T44" s="701" t="s">
        <v>18</v>
      </c>
      <c r="U44" s="702">
        <f t="shared" si="13"/>
        <v>100</v>
      </c>
      <c r="V44" s="701" t="s">
        <v>18</v>
      </c>
      <c r="W44" s="702">
        <f t="shared" si="14"/>
        <v>100</v>
      </c>
      <c r="X44" s="703"/>
      <c r="Y44" s="37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90"/>
      <c r="Q45" s="1352">
        <f t="shared" si="11"/>
        <v>111</v>
      </c>
      <c r="R45" s="705" t="s">
        <v>18</v>
      </c>
      <c r="S45" s="706">
        <f t="shared" si="12"/>
        <v>100</v>
      </c>
      <c r="T45" s="705" t="s">
        <v>18</v>
      </c>
      <c r="U45" s="706">
        <f t="shared" si="13"/>
        <v>100</v>
      </c>
      <c r="V45" s="705" t="s">
        <v>18</v>
      </c>
      <c r="W45" s="706">
        <f t="shared" si="14"/>
        <v>100</v>
      </c>
      <c r="X45" s="1355"/>
      <c r="Y45" s="379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91"/>
      <c r="Q46" s="1352">
        <f t="shared" si="11"/>
        <v>111</v>
      </c>
      <c r="R46" s="705" t="s">
        <v>17</v>
      </c>
      <c r="S46" s="706">
        <f t="shared" si="12"/>
        <v>100</v>
      </c>
      <c r="T46" s="705" t="s">
        <v>17</v>
      </c>
      <c r="U46" s="706">
        <f t="shared" si="13"/>
        <v>100</v>
      </c>
      <c r="V46" s="705" t="s">
        <v>17</v>
      </c>
      <c r="W46" s="706">
        <f t="shared" si="14"/>
        <v>100</v>
      </c>
      <c r="X46" s="1355"/>
      <c r="Y46" s="3793"/>
      <c r="Z46" s="1356">
        <f t="shared" si="18"/>
        <v>111</v>
      </c>
      <c r="AA46" s="1353">
        <f t="shared" si="15"/>
        <v>1</v>
      </c>
      <c r="AB46" s="1353">
        <f t="shared" si="16"/>
        <v>1</v>
      </c>
      <c r="AC46" s="1353">
        <f t="shared" si="17"/>
        <v>1</v>
      </c>
    </row>
    <row r="47" spans="1:29" ht="14.4">
      <c r="A47" s="430" t="s">
        <v>1707</v>
      </c>
      <c r="B47" s="431"/>
      <c r="C47" s="1154" t="s">
        <v>16</v>
      </c>
      <c r="D47" s="1155"/>
      <c r="E47" s="1156">
        <f>Sheet1!R8</f>
        <v>6798</v>
      </c>
      <c r="F47" s="1157"/>
      <c r="G47" s="1158">
        <f>Sheet1!R13</f>
        <v>6870</v>
      </c>
      <c r="H47" s="1159"/>
      <c r="I47" s="3458">
        <f>Sheet1!R16</f>
        <v>7105</v>
      </c>
      <c r="J47" s="1159"/>
      <c r="K47" s="1914"/>
      <c r="L47" s="2724"/>
      <c r="M47" s="2725"/>
      <c r="N47" s="2716"/>
      <c r="O47" s="2725"/>
      <c r="P47" s="3785" t="str">
        <f>A47</f>
        <v>成交单价（元/平方米）</v>
      </c>
      <c r="Q47" s="3785"/>
      <c r="R47" s="3786">
        <f>E47</f>
        <v>6798</v>
      </c>
      <c r="S47" s="3786"/>
      <c r="T47" s="3786">
        <f>G47</f>
        <v>6870</v>
      </c>
      <c r="U47" s="3786"/>
      <c r="V47" s="3786">
        <f>I47</f>
        <v>7105</v>
      </c>
      <c r="W47" s="3786"/>
      <c r="X47" s="690"/>
      <c r="Y47" s="712"/>
      <c r="Z47" s="690"/>
      <c r="AA47" s="690"/>
      <c r="AB47" s="690"/>
      <c r="AC47" s="690"/>
    </row>
    <row r="48" spans="1:29" ht="15" thickBot="1">
      <c r="A48" s="437" t="s">
        <v>1708</v>
      </c>
      <c r="B48" s="438"/>
      <c r="C48" s="1160">
        <f>R49</f>
        <v>6395</v>
      </c>
      <c r="D48" s="2317" t="s">
        <v>2137</v>
      </c>
      <c r="E48" s="1161">
        <f>R48</f>
        <v>6297</v>
      </c>
      <c r="F48" s="2318"/>
      <c r="G48" s="1160">
        <f>T48</f>
        <v>6176</v>
      </c>
      <c r="H48" s="2318"/>
      <c r="I48" s="1161">
        <f>V48</f>
        <v>6713</v>
      </c>
      <c r="J48" s="2318"/>
      <c r="K48" s="2319">
        <f>F48+H48+J48</f>
        <v>0</v>
      </c>
      <c r="L48" s="2724"/>
      <c r="M48" s="2725"/>
      <c r="N48" s="2725"/>
      <c r="O48" s="2725"/>
      <c r="P48" s="3785" t="str">
        <f>A48</f>
        <v>比较价值（元/平方米）</v>
      </c>
      <c r="Q48" s="3785"/>
      <c r="R48" s="3786">
        <f>IF(F1="售价",ROUND(PRODUCT(R47,AA7:AA46),0),ROUND(PRODUCT(R47,AA7:AA46),1))</f>
        <v>6297</v>
      </c>
      <c r="S48" s="3786"/>
      <c r="T48" s="3786">
        <f>IF(F1="售价",ROUND(PRODUCT(T47,AB7:AB46),0),ROUND(PRODUCT(T47,AB7:AB46),1))</f>
        <v>6176</v>
      </c>
      <c r="U48" s="3786"/>
      <c r="V48" s="3786">
        <f>IF(F1="售价",ROUND(PRODUCT(V47,AC7:AC46),0),ROUND(PRODUCT(V47,AC7:AC46),1))</f>
        <v>6713</v>
      </c>
      <c r="W48" s="3786"/>
      <c r="X48" s="690"/>
      <c r="Y48" s="690"/>
      <c r="Z48" s="690"/>
      <c r="AA48" s="690"/>
      <c r="AB48" s="690"/>
      <c r="AC48" s="690"/>
    </row>
    <row r="49" spans="1:29" ht="15" thickBot="1">
      <c r="A49" s="441" t="s">
        <v>1709</v>
      </c>
      <c r="B49" s="442"/>
      <c r="C49" s="1162">
        <f>R49</f>
        <v>6395</v>
      </c>
      <c r="D49" s="1163"/>
      <c r="E49" s="1163"/>
      <c r="F49" s="1163"/>
      <c r="G49" s="1163"/>
      <c r="H49" s="1163"/>
      <c r="I49" s="1163"/>
      <c r="J49" s="1163"/>
      <c r="K49" s="1915"/>
      <c r="L49" s="2724"/>
      <c r="M49" s="2725"/>
      <c r="N49" s="2725"/>
      <c r="O49" s="2725"/>
      <c r="P49" s="3782" t="str">
        <f>A49</f>
        <v>估价对象XX用房的比较价值（楼面单价，元/平方米）</v>
      </c>
      <c r="Q49" s="3783"/>
      <c r="R49" s="3784">
        <f>IF(F1="售价",ROUND(IF(D48="简单平均",AVERAGE(R48:V48),R48*F48+T48*H48+V48*J48),0),ROUND(IF(D48="简单平均",AVERAGE(R48:V48),R48*F48+T48*H48+V48*J48),1))</f>
        <v>6395</v>
      </c>
      <c r="S49" s="3784"/>
      <c r="T49" s="3784"/>
      <c r="U49" s="3784"/>
      <c r="V49" s="3784"/>
      <c r="W49" s="37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7.9561696045736152E-2</v>
      </c>
      <c r="F52" s="449" t="str">
        <f>IF(OR(E52&gt;=0.3,E52&lt;=-0.3),"超过30%","")</f>
        <v/>
      </c>
      <c r="G52" s="448">
        <f>IF(G47&lt;G48,G48/G47-1,G47/G48-1)</f>
        <v>0.11237046632124348</v>
      </c>
      <c r="H52" s="449" t="str">
        <f>IF(OR(G52&gt;=0.3,G52&lt;=-0.3),"超过30%","")</f>
        <v/>
      </c>
      <c r="I52" s="448">
        <f>IF(I47&lt;I48,I48/I47-1,I47/I48-1)</f>
        <v>5.8394160583941535E-2</v>
      </c>
      <c r="J52" s="449" t="str">
        <f>IF(OR(I52&gt;=0.3,I52&lt;=-0.3),"超过30%","")</f>
        <v/>
      </c>
      <c r="K52" s="2730"/>
      <c r="L52" s="2726"/>
      <c r="M52" s="2725"/>
      <c r="N52" s="2725"/>
      <c r="O52" s="2725"/>
    </row>
    <row r="53" spans="1:29" ht="13.5" customHeight="1">
      <c r="A53" s="2725"/>
      <c r="B53" s="2725"/>
      <c r="C53" s="446" t="s">
        <v>1711</v>
      </c>
      <c r="D53" s="450"/>
      <c r="E53" s="448">
        <f>IF(E48&lt;G48,G48/E48-1,E48/G48-1)</f>
        <v>1.9591968911917057E-2</v>
      </c>
      <c r="F53" s="449" t="str">
        <f>IF(OR(E53&gt;=0.2,E53&lt;=-0.2),"超过20%","")</f>
        <v/>
      </c>
      <c r="G53" s="448">
        <f>IF(G48&lt;I48,I48/G48-1,G48/I48-1)</f>
        <v>8.694948186528495E-2</v>
      </c>
      <c r="H53" s="449" t="str">
        <f>IF(OR(G53&gt;=0.2,G53&lt;=-0.2),"超过20%","")</f>
        <v/>
      </c>
      <c r="I53" s="448">
        <f>IF(I48&lt;E48,E48/I48-1,I48/E48-1)</f>
        <v>6.6063204700651079E-2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1.0591350397175736E-2</v>
      </c>
      <c r="F54" s="449" t="str">
        <f>IF(OR(E54&gt;=0.3,E54&lt;=-0.3),"超过30%","")</f>
        <v/>
      </c>
      <c r="G54" s="448">
        <f>IF(G47&lt;I47,I47/G47-1,G47/I47-1)</f>
        <v>3.4206695778748131E-2</v>
      </c>
      <c r="H54" s="449" t="str">
        <f>IF(OR(G54&gt;=0.3,G54&lt;=-0.3),"超过30%","")</f>
        <v/>
      </c>
      <c r="I54" s="448">
        <f>IF(I47&lt;E47,E47/I47-1,I47/E47-1)</f>
        <v>4.5160341276846205E-2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2009-9</v>
      </c>
      <c r="D58" s="1185">
        <f>EDATE(C58,-1)</f>
        <v>40026</v>
      </c>
      <c r="E58" s="1185">
        <f>EDATE(D58,-1)</f>
        <v>39995</v>
      </c>
      <c r="F58" s="1185">
        <f t="shared" ref="F58:O58" si="19">EDATE(E58,-1)</f>
        <v>39965</v>
      </c>
      <c r="G58" s="1185">
        <f t="shared" si="19"/>
        <v>39934</v>
      </c>
      <c r="H58" s="1185">
        <f t="shared" si="19"/>
        <v>39904</v>
      </c>
      <c r="I58" s="1185">
        <f t="shared" si="19"/>
        <v>39873</v>
      </c>
      <c r="J58" s="1185">
        <f t="shared" si="19"/>
        <v>39845</v>
      </c>
      <c r="K58" s="1185">
        <f t="shared" si="19"/>
        <v>39814</v>
      </c>
      <c r="L58" s="1185">
        <f t="shared" si="19"/>
        <v>39783</v>
      </c>
      <c r="M58" s="1185">
        <f t="shared" si="19"/>
        <v>39753</v>
      </c>
      <c r="N58" s="1185">
        <f t="shared" si="19"/>
        <v>39722</v>
      </c>
      <c r="O58" s="1185">
        <f t="shared" si="19"/>
        <v>39692</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3435</v>
      </c>
      <c r="D88" s="3451" t="s">
        <v>3436</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6/6</v>
      </c>
      <c r="E90" s="3456" t="str">
        <f>G27</f>
        <v>3/6</v>
      </c>
      <c r="F90" s="3456"/>
      <c r="G90" s="503"/>
      <c r="H90" s="504"/>
      <c r="I90" s="504"/>
      <c r="J90" s="504"/>
      <c r="K90" s="504"/>
      <c r="L90" s="505"/>
      <c r="M90" s="506"/>
      <c r="N90" s="935"/>
      <c r="O90" s="935"/>
      <c r="P90" s="1923"/>
      <c r="Q90" s="508"/>
    </row>
    <row r="91" spans="1:17" s="422" customFormat="1" ht="14.4" thickBot="1">
      <c r="A91" s="502"/>
      <c r="B91" s="492"/>
      <c r="C91" s="509">
        <v>100</v>
      </c>
      <c r="D91" s="509">
        <v>98</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90(含)-125</v>
      </c>
      <c r="F102" s="527" t="str">
        <f t="shared" si="26"/>
        <v>125(含)-180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125</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3425</v>
      </c>
      <c r="D105" s="3451" t="s">
        <v>3433</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96</v>
      </c>
      <c r="E123" s="493">
        <f t="shared" si="32"/>
        <v>92</v>
      </c>
      <c r="F123" s="493">
        <f t="shared" si="32"/>
        <v>88</v>
      </c>
      <c r="G123" s="493">
        <f t="shared" si="32"/>
        <v>84</v>
      </c>
      <c r="H123" s="493">
        <f t="shared" si="32"/>
        <v>80</v>
      </c>
      <c r="I123" s="493">
        <f t="shared" si="32"/>
        <v>76</v>
      </c>
      <c r="J123" s="493">
        <f t="shared" si="32"/>
        <v>72</v>
      </c>
      <c r="K123" s="493">
        <f t="shared" si="32"/>
        <v>68</v>
      </c>
      <c r="L123" s="493">
        <f t="shared" si="32"/>
        <v>64</v>
      </c>
      <c r="M123" s="493">
        <f t="shared" si="32"/>
        <v>60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30"/>
  <sheetViews>
    <sheetView topLeftCell="H1" workbookViewId="0">
      <selection activeCell="I20" sqref="I20"/>
    </sheetView>
  </sheetViews>
  <sheetFormatPr defaultRowHeight="14.4"/>
  <cols>
    <col min="40" max="40" width="16.21875" customWidth="1"/>
  </cols>
  <sheetData>
    <row r="1" spans="1:237">
      <c r="A1" s="3474"/>
      <c r="B1" s="3475"/>
      <c r="C1" s="3476"/>
      <c r="D1" s="3476"/>
      <c r="E1" s="3476"/>
      <c r="F1" s="3476"/>
      <c r="G1" s="3476"/>
      <c r="H1" s="3476"/>
      <c r="I1" s="3476"/>
      <c r="J1" s="3476"/>
      <c r="K1" s="3477"/>
      <c r="L1" s="3478"/>
      <c r="M1" s="3479"/>
      <c r="N1" s="3478"/>
      <c r="O1" s="3479"/>
      <c r="P1" s="3478"/>
      <c r="Q1" s="3479"/>
      <c r="R1" s="3479"/>
      <c r="S1" s="3478"/>
      <c r="T1" s="3480"/>
      <c r="U1" s="3478"/>
      <c r="V1" s="3477" t="s">
        <v>3437</v>
      </c>
      <c r="W1" s="3477"/>
      <c r="X1" s="3481"/>
      <c r="Y1" s="3478"/>
      <c r="Z1" s="3479" t="s">
        <v>3438</v>
      </c>
      <c r="AA1" s="3478"/>
      <c r="AB1" s="3478"/>
      <c r="AC1" s="3478"/>
      <c r="AD1" s="3482"/>
      <c r="AE1" s="3478"/>
      <c r="AF1" s="3475"/>
      <c r="AG1" s="3475"/>
      <c r="AH1" s="3483"/>
      <c r="AI1" s="3475"/>
      <c r="AJ1" s="3484"/>
      <c r="AK1" s="3475"/>
      <c r="AL1" s="3485"/>
      <c r="AM1" s="3486"/>
      <c r="AN1" s="3491"/>
      <c r="AO1" s="3492"/>
      <c r="AP1" s="3492"/>
      <c r="AQ1" s="3493" t="s">
        <v>3477</v>
      </c>
      <c r="AR1" s="3494" t="s">
        <v>3478</v>
      </c>
      <c r="AS1" s="3477"/>
      <c r="AT1" s="3495"/>
      <c r="AU1" s="3495"/>
      <c r="AV1" s="3495"/>
      <c r="AW1" s="3495"/>
      <c r="AX1" s="3496"/>
      <c r="AY1" s="3496"/>
      <c r="AZ1" s="3497"/>
      <c r="BA1" s="3497"/>
      <c r="BB1" s="3497"/>
      <c r="BC1" s="3497"/>
      <c r="BD1" s="3497"/>
      <c r="BE1" s="3497"/>
      <c r="BF1" s="3497"/>
      <c r="BG1" s="3497"/>
      <c r="BH1" s="3497"/>
      <c r="BI1" s="3497"/>
      <c r="BJ1" s="3497"/>
      <c r="BK1" s="3497"/>
      <c r="BL1" s="3497"/>
      <c r="BM1" s="3497"/>
      <c r="BN1" s="3497"/>
      <c r="BO1" s="3497"/>
      <c r="BP1" s="3497"/>
      <c r="BQ1" s="3497"/>
      <c r="BR1" s="3497"/>
      <c r="BS1" s="3497"/>
      <c r="BT1" s="3497"/>
      <c r="BU1" s="3497"/>
      <c r="BV1" s="3497"/>
      <c r="BW1" s="3497"/>
      <c r="BX1" s="3497"/>
      <c r="BY1" s="3497"/>
      <c r="BZ1" s="3497"/>
      <c r="CA1" s="3497"/>
      <c r="CB1" s="3497"/>
      <c r="CC1" s="3497"/>
      <c r="CD1" s="3497"/>
      <c r="CE1" s="3497"/>
      <c r="CF1" s="3497"/>
      <c r="CG1" s="3497"/>
      <c r="CH1" s="3497"/>
      <c r="CI1" s="3497"/>
      <c r="CJ1" s="3497"/>
      <c r="CK1" s="3497"/>
      <c r="CL1" s="3497"/>
      <c r="CM1" s="3497"/>
      <c r="CN1" s="3497"/>
      <c r="CO1" s="3497"/>
      <c r="CP1" s="3497"/>
      <c r="CQ1" s="3497"/>
      <c r="CR1" s="3497"/>
      <c r="CS1" s="3497"/>
      <c r="CT1" s="3497"/>
      <c r="CU1" s="3497"/>
      <c r="CV1" s="3497"/>
      <c r="CW1" s="3497"/>
      <c r="CX1" s="3497"/>
      <c r="CY1" s="3497"/>
      <c r="CZ1" s="3497"/>
      <c r="DA1" s="3497"/>
      <c r="DB1" s="3497"/>
      <c r="DC1" s="3497"/>
      <c r="DD1" s="3497"/>
      <c r="DE1" s="3497"/>
      <c r="DF1" s="3497"/>
      <c r="DG1" s="3497"/>
      <c r="DH1" s="3497"/>
      <c r="DI1" s="3497"/>
      <c r="DJ1" s="3497"/>
      <c r="DK1" s="3497"/>
      <c r="DL1" s="3497"/>
      <c r="DM1" s="3497"/>
      <c r="DN1" s="3497"/>
      <c r="DO1" s="3497"/>
      <c r="DP1" s="3497"/>
      <c r="DQ1" s="3497"/>
      <c r="DR1" s="3497"/>
      <c r="DS1" s="3497"/>
      <c r="DT1" s="3497"/>
      <c r="DU1" s="3497"/>
      <c r="DV1" s="3497"/>
      <c r="DW1" s="3497"/>
      <c r="DX1" s="3497"/>
      <c r="DY1" s="3497"/>
      <c r="DZ1" s="3497"/>
      <c r="EA1" s="3497"/>
      <c r="EB1" s="3497"/>
      <c r="EC1" s="3497"/>
      <c r="ED1" s="3497"/>
      <c r="EE1" s="3497"/>
      <c r="EF1" s="3497"/>
      <c r="EG1" s="3497"/>
      <c r="EH1" s="3497"/>
      <c r="EI1" s="3497"/>
      <c r="EJ1" s="3497"/>
      <c r="EK1" s="3497"/>
      <c r="EL1" s="3497"/>
      <c r="EM1" s="3497"/>
      <c r="EN1" s="3497"/>
      <c r="EO1" s="3497"/>
      <c r="EP1" s="3497"/>
      <c r="EQ1" s="3497"/>
      <c r="ER1" s="3497"/>
      <c r="ES1" s="3497"/>
      <c r="ET1" s="3497"/>
      <c r="EU1" s="3497"/>
      <c r="EV1" s="3497"/>
      <c r="EW1" s="3497"/>
      <c r="EX1" s="3497"/>
      <c r="EY1" s="3497"/>
      <c r="EZ1" s="3497"/>
      <c r="FA1" s="3497"/>
      <c r="FB1" s="3497"/>
      <c r="FC1" s="3497"/>
      <c r="FD1" s="3497"/>
      <c r="FE1" s="3497"/>
      <c r="FF1" s="3497"/>
      <c r="FG1" s="3497"/>
      <c r="FH1" s="3497"/>
      <c r="FI1" s="3497"/>
      <c r="FJ1" s="3497"/>
      <c r="FK1" s="3497"/>
      <c r="FL1" s="3497"/>
      <c r="FM1" s="3497"/>
      <c r="FN1" s="3497"/>
      <c r="FO1" s="3497"/>
      <c r="FP1" s="3497"/>
      <c r="FQ1" s="3497"/>
      <c r="FR1" s="3497"/>
      <c r="FS1" s="3497"/>
      <c r="FT1" s="3497"/>
      <c r="FU1" s="3497"/>
      <c r="FV1" s="3497"/>
      <c r="FW1" s="3497"/>
      <c r="FX1" s="3497"/>
      <c r="FY1" s="3497"/>
      <c r="FZ1" s="3497"/>
      <c r="GA1" s="3497"/>
      <c r="GB1" s="3497"/>
      <c r="GC1" s="3497"/>
      <c r="GD1" s="3497"/>
      <c r="GE1" s="3497"/>
      <c r="GF1" s="3497"/>
      <c r="GG1" s="3497"/>
      <c r="GH1" s="3497"/>
      <c r="GI1" s="3497"/>
      <c r="GJ1" s="3497"/>
      <c r="GK1" s="3497"/>
      <c r="GL1" s="3497"/>
      <c r="GM1" s="3497"/>
      <c r="GN1" s="3497"/>
      <c r="GO1" s="3497"/>
      <c r="GP1" s="3497"/>
      <c r="GQ1" s="3497"/>
      <c r="GR1" s="3497"/>
      <c r="GS1" s="3497"/>
      <c r="GT1" s="3497"/>
      <c r="GU1" s="3497"/>
      <c r="GV1" s="3497"/>
      <c r="GW1" s="3497"/>
      <c r="GX1" s="3497"/>
      <c r="GY1" s="3497"/>
      <c r="GZ1" s="3497"/>
      <c r="HA1" s="3497"/>
      <c r="HB1" s="3497"/>
      <c r="HC1" s="3497"/>
      <c r="HD1" s="3497"/>
      <c r="HE1" s="3497"/>
      <c r="HF1" s="3497"/>
      <c r="HG1" s="3497"/>
      <c r="HH1" s="3497"/>
      <c r="HI1" s="3497"/>
      <c r="HJ1" s="3497"/>
      <c r="HK1" s="3497"/>
      <c r="HL1" s="3497"/>
      <c r="HM1" s="3497"/>
      <c r="HN1" s="3497"/>
      <c r="HO1" s="3497"/>
      <c r="HP1" s="3497"/>
      <c r="HQ1" s="3497"/>
      <c r="HR1" s="3497"/>
      <c r="HS1" s="3497"/>
      <c r="HT1" s="3497"/>
      <c r="HU1" s="3497"/>
      <c r="HV1" s="3497"/>
      <c r="HW1" s="3497"/>
      <c r="HX1" s="3497"/>
      <c r="HY1" s="3497"/>
      <c r="HZ1" s="3497"/>
      <c r="IA1" s="3497"/>
      <c r="IB1" s="3497"/>
      <c r="IC1" s="3497"/>
    </row>
    <row r="2" spans="1:237" ht="15.6">
      <c r="A2" s="3487" t="s">
        <v>2644</v>
      </c>
      <c r="B2" s="3488" t="s">
        <v>3439</v>
      </c>
      <c r="C2" s="3487" t="s">
        <v>3440</v>
      </c>
      <c r="D2" s="3487" t="s">
        <v>3441</v>
      </c>
      <c r="E2" s="3487" t="s">
        <v>3442</v>
      </c>
      <c r="F2" s="3487" t="s">
        <v>3443</v>
      </c>
      <c r="G2" s="3487" t="s">
        <v>3444</v>
      </c>
      <c r="H2" s="3487" t="s">
        <v>3445</v>
      </c>
      <c r="I2" s="3487" t="s">
        <v>3446</v>
      </c>
      <c r="J2" s="3487" t="s">
        <v>3447</v>
      </c>
      <c r="K2" s="3488" t="s">
        <v>3448</v>
      </c>
      <c r="L2" s="3488" t="s">
        <v>3449</v>
      </c>
      <c r="M2" s="3488" t="s">
        <v>3450</v>
      </c>
      <c r="N2" s="3488" t="s">
        <v>3451</v>
      </c>
      <c r="O2" s="3488" t="s">
        <v>3452</v>
      </c>
      <c r="P2" s="3488" t="s">
        <v>3453</v>
      </c>
      <c r="Q2" s="3488" t="s">
        <v>3454</v>
      </c>
      <c r="R2" s="3488" t="s">
        <v>3455</v>
      </c>
      <c r="S2" s="3488" t="s">
        <v>3456</v>
      </c>
      <c r="T2" s="3489" t="s">
        <v>3457</v>
      </c>
      <c r="U2" s="3488" t="s">
        <v>3458</v>
      </c>
      <c r="V2" s="3488" t="s">
        <v>3459</v>
      </c>
      <c r="W2" s="3488" t="s">
        <v>3460</v>
      </c>
      <c r="X2" s="3489" t="s">
        <v>3461</v>
      </c>
      <c r="Y2" s="3488" t="s">
        <v>3462</v>
      </c>
      <c r="Z2" s="3488" t="s">
        <v>3463</v>
      </c>
      <c r="AA2" s="3488" t="s">
        <v>3464</v>
      </c>
      <c r="AB2" s="3488" t="s">
        <v>3465</v>
      </c>
      <c r="AC2" s="3488" t="s">
        <v>3466</v>
      </c>
      <c r="AD2" s="3485" t="s">
        <v>3467</v>
      </c>
      <c r="AE2" s="3488" t="s">
        <v>3468</v>
      </c>
      <c r="AF2" s="3488" t="s">
        <v>3469</v>
      </c>
      <c r="AG2" s="3488" t="s">
        <v>3470</v>
      </c>
      <c r="AH2" s="3488" t="s">
        <v>3471</v>
      </c>
      <c r="AI2" s="3488" t="s">
        <v>3472</v>
      </c>
      <c r="AJ2" s="3490" t="s">
        <v>3473</v>
      </c>
      <c r="AK2" s="3488" t="s">
        <v>3474</v>
      </c>
      <c r="AL2" s="3485" t="s">
        <v>3475</v>
      </c>
      <c r="AM2" s="3486" t="s">
        <v>3476</v>
      </c>
      <c r="AN2" s="3498" t="s">
        <v>3479</v>
      </c>
      <c r="AO2" s="3498" t="s">
        <v>3480</v>
      </c>
      <c r="AP2" s="3498" t="s">
        <v>3481</v>
      </c>
      <c r="AQ2" s="3493" t="s">
        <v>3482</v>
      </c>
      <c r="AR2" s="3494" t="s">
        <v>3483</v>
      </c>
      <c r="AS2" s="3496" t="s">
        <v>3484</v>
      </c>
      <c r="AT2" s="3495" t="s">
        <v>3485</v>
      </c>
      <c r="AU2" s="3495" t="s">
        <v>3486</v>
      </c>
      <c r="AV2" s="3495" t="s">
        <v>3487</v>
      </c>
      <c r="AW2" s="3495"/>
      <c r="AX2" s="3496" t="s">
        <v>3488</v>
      </c>
      <c r="AY2" s="3496" t="s">
        <v>3489</v>
      </c>
      <c r="AZ2" s="3499"/>
      <c r="BA2" s="3499"/>
      <c r="BB2" s="3499"/>
      <c r="BC2" s="3499"/>
      <c r="BD2" s="3499"/>
      <c r="BE2" s="3499"/>
      <c r="BF2" s="3499"/>
      <c r="BG2" s="3499"/>
      <c r="BH2" s="3499"/>
      <c r="BI2" s="3499"/>
      <c r="BJ2" s="3499"/>
      <c r="BK2" s="3499"/>
      <c r="BL2" s="3499"/>
      <c r="BM2" s="3499"/>
      <c r="BN2" s="3499"/>
      <c r="BO2" s="3499"/>
      <c r="BP2" s="3499"/>
      <c r="BQ2" s="3499"/>
      <c r="BR2" s="3499"/>
      <c r="BS2" s="3499"/>
      <c r="BT2" s="3499"/>
      <c r="BU2" s="3499"/>
      <c r="BV2" s="3499"/>
      <c r="BW2" s="3499"/>
      <c r="BX2" s="3499"/>
      <c r="BY2" s="3499"/>
      <c r="BZ2" s="3499"/>
      <c r="CA2" s="3499"/>
      <c r="CB2" s="3499"/>
      <c r="CC2" s="3499"/>
      <c r="CD2" s="3499"/>
      <c r="CE2" s="3499"/>
      <c r="CF2" s="3499"/>
      <c r="CG2" s="3499"/>
      <c r="CH2" s="3499"/>
      <c r="CI2" s="3499"/>
      <c r="CJ2" s="3499"/>
      <c r="CK2" s="3499"/>
      <c r="CL2" s="3499"/>
      <c r="CM2" s="3499"/>
      <c r="CN2" s="3499"/>
      <c r="CO2" s="3499"/>
      <c r="CP2" s="3499"/>
      <c r="CQ2" s="3499"/>
      <c r="CR2" s="3499"/>
      <c r="CS2" s="3499"/>
      <c r="CT2" s="3499"/>
      <c r="CU2" s="3499"/>
      <c r="CV2" s="3499"/>
      <c r="CW2" s="3499"/>
      <c r="CX2" s="3499"/>
      <c r="CY2" s="3499"/>
      <c r="CZ2" s="3499"/>
      <c r="DA2" s="3499"/>
      <c r="DB2" s="3499"/>
      <c r="DC2" s="3499"/>
      <c r="DD2" s="3499"/>
      <c r="DE2" s="3499"/>
      <c r="DF2" s="3499"/>
      <c r="DG2" s="3499"/>
      <c r="DH2" s="3499"/>
      <c r="DI2" s="3499"/>
      <c r="DJ2" s="3499"/>
      <c r="DK2" s="3499"/>
      <c r="DL2" s="3499"/>
      <c r="DM2" s="3499"/>
      <c r="DN2" s="3499"/>
      <c r="DO2" s="3499"/>
      <c r="DP2" s="3499"/>
      <c r="DQ2" s="3499"/>
      <c r="DR2" s="3499"/>
      <c r="DS2" s="3499"/>
      <c r="DT2" s="3499"/>
      <c r="DU2" s="3499"/>
      <c r="DV2" s="3499"/>
      <c r="DW2" s="3499"/>
      <c r="DX2" s="3499"/>
      <c r="DY2" s="3499"/>
      <c r="DZ2" s="3499"/>
      <c r="EA2" s="3499"/>
      <c r="EB2" s="3499"/>
      <c r="EC2" s="3499"/>
      <c r="ED2" s="3499"/>
      <c r="EE2" s="3499"/>
      <c r="EF2" s="3499"/>
      <c r="EG2" s="3499"/>
      <c r="EH2" s="3499"/>
      <c r="EI2" s="3499"/>
      <c r="EJ2" s="3499"/>
      <c r="EK2" s="3499"/>
      <c r="EL2" s="3499"/>
      <c r="EM2" s="3499"/>
      <c r="EN2" s="3499"/>
      <c r="EO2" s="3499"/>
      <c r="EP2" s="3499"/>
      <c r="EQ2" s="3499"/>
      <c r="ER2" s="3499"/>
      <c r="ES2" s="3499"/>
      <c r="ET2" s="3499"/>
      <c r="EU2" s="3499"/>
      <c r="EV2" s="3499"/>
      <c r="EW2" s="3499"/>
      <c r="EX2" s="3499"/>
      <c r="EY2" s="3499"/>
      <c r="EZ2" s="3499"/>
      <c r="FA2" s="3499"/>
      <c r="FB2" s="3499"/>
      <c r="FC2" s="3499"/>
      <c r="FD2" s="3499"/>
      <c r="FE2" s="3499"/>
      <c r="FF2" s="3499"/>
      <c r="FG2" s="3499"/>
      <c r="FH2" s="3499"/>
      <c r="FI2" s="3499"/>
      <c r="FJ2" s="3499"/>
      <c r="FK2" s="3499"/>
      <c r="FL2" s="3499"/>
      <c r="FM2" s="3499"/>
      <c r="FN2" s="3499"/>
      <c r="FO2" s="3499"/>
      <c r="FP2" s="3499"/>
      <c r="FQ2" s="3499"/>
      <c r="FR2" s="3499"/>
      <c r="FS2" s="3499"/>
      <c r="FT2" s="3499"/>
      <c r="FU2" s="3499"/>
      <c r="FV2" s="3499"/>
      <c r="FW2" s="3499"/>
      <c r="FX2" s="3499"/>
      <c r="FY2" s="3499"/>
      <c r="FZ2" s="3499"/>
      <c r="GA2" s="3499"/>
      <c r="GB2" s="3499"/>
      <c r="GC2" s="3499"/>
      <c r="GD2" s="3499"/>
      <c r="GE2" s="3499"/>
      <c r="GF2" s="3499"/>
      <c r="GG2" s="3499"/>
      <c r="GH2" s="3499"/>
      <c r="GI2" s="3499"/>
      <c r="GJ2" s="3499"/>
      <c r="GK2" s="3499"/>
      <c r="GL2" s="3499"/>
      <c r="GM2" s="3499"/>
      <c r="GN2" s="3499"/>
      <c r="GO2" s="3499"/>
      <c r="GP2" s="3499"/>
      <c r="GQ2" s="3499"/>
      <c r="GR2" s="3499"/>
      <c r="GS2" s="3499"/>
      <c r="GT2" s="3499"/>
      <c r="GU2" s="3499"/>
      <c r="GV2" s="3499"/>
      <c r="GW2" s="3499"/>
      <c r="GX2" s="3499"/>
      <c r="GY2" s="3499"/>
      <c r="GZ2" s="3499"/>
      <c r="HA2" s="3499"/>
      <c r="HB2" s="3499"/>
      <c r="HC2" s="3499"/>
      <c r="HD2" s="3499"/>
      <c r="HE2" s="3499"/>
      <c r="HF2" s="3499"/>
      <c r="HG2" s="3499"/>
      <c r="HH2" s="3499"/>
      <c r="HI2" s="3499"/>
      <c r="HJ2" s="3499"/>
      <c r="HK2" s="3499"/>
      <c r="HL2" s="3499"/>
      <c r="HM2" s="3499"/>
      <c r="HN2" s="3499"/>
      <c r="HO2" s="3499"/>
      <c r="HP2" s="3499"/>
      <c r="HQ2" s="3499"/>
      <c r="HR2" s="3499"/>
      <c r="HS2" s="3499"/>
      <c r="HT2" s="3499"/>
      <c r="HU2" s="3499"/>
      <c r="HV2" s="3499"/>
      <c r="HW2" s="3499"/>
      <c r="HX2" s="3499"/>
      <c r="HY2" s="3499"/>
      <c r="HZ2" s="3499"/>
      <c r="IA2" s="3499"/>
      <c r="IB2" s="3499"/>
      <c r="IC2" s="3499"/>
    </row>
    <row r="3" spans="1:237">
      <c r="A3" s="3500" t="s">
        <v>3490</v>
      </c>
      <c r="B3" s="3501" t="s">
        <v>3491</v>
      </c>
      <c r="C3" s="3502" t="s">
        <v>3492</v>
      </c>
      <c r="D3" s="3502" t="s">
        <v>3493</v>
      </c>
      <c r="E3" s="3501" t="s">
        <v>2769</v>
      </c>
      <c r="F3" s="3503" t="s">
        <v>3494</v>
      </c>
      <c r="G3" s="3501"/>
      <c r="H3" s="3501" t="s">
        <v>3495</v>
      </c>
      <c r="I3" s="3501" t="s">
        <v>3496</v>
      </c>
      <c r="J3" s="3502" t="s">
        <v>3497</v>
      </c>
      <c r="K3" s="3501" t="s">
        <v>3498</v>
      </c>
      <c r="L3" s="3501">
        <v>139.49</v>
      </c>
      <c r="M3" s="3501">
        <v>2</v>
      </c>
      <c r="N3" s="3501" t="s">
        <v>3499</v>
      </c>
      <c r="O3" s="3501">
        <v>127.4</v>
      </c>
      <c r="P3" s="3501" t="s">
        <v>3500</v>
      </c>
      <c r="Q3" s="3504">
        <v>432000</v>
      </c>
      <c r="R3" s="3501">
        <v>3097</v>
      </c>
      <c r="S3" s="3505">
        <v>90.66</v>
      </c>
      <c r="T3" s="3506">
        <v>906600</v>
      </c>
      <c r="U3" s="3501">
        <v>6500</v>
      </c>
      <c r="V3" s="3507">
        <v>0.2</v>
      </c>
      <c r="W3" s="3508">
        <v>72.52</v>
      </c>
      <c r="X3" s="3509">
        <v>725200</v>
      </c>
      <c r="Y3" s="3497">
        <v>2009</v>
      </c>
      <c r="Z3" s="3497">
        <v>1</v>
      </c>
      <c r="AA3" s="3497">
        <v>19</v>
      </c>
      <c r="AB3" s="3501">
        <v>1500</v>
      </c>
      <c r="AC3" s="3501" t="s">
        <v>3501</v>
      </c>
      <c r="AD3" s="3500">
        <v>91162009010029</v>
      </c>
      <c r="AE3" s="3497" t="s">
        <v>3502</v>
      </c>
      <c r="AF3" s="3501" t="s">
        <v>3503</v>
      </c>
      <c r="AG3" s="3501" t="s">
        <v>3504</v>
      </c>
      <c r="AH3" s="3500"/>
      <c r="AI3" s="3510" t="s">
        <v>3505</v>
      </c>
      <c r="AJ3" s="3511"/>
      <c r="AK3" s="3512" t="s">
        <v>3506</v>
      </c>
      <c r="AL3" s="3497">
        <v>56</v>
      </c>
      <c r="AM3" s="3497" t="s">
        <v>3507</v>
      </c>
      <c r="AN3" s="3513">
        <v>39820</v>
      </c>
      <c r="AO3" s="3497"/>
      <c r="AP3" s="3497" t="s">
        <v>3508</v>
      </c>
      <c r="AQ3" s="3514">
        <v>39820</v>
      </c>
      <c r="AR3" s="3514"/>
      <c r="AS3" s="3501" t="s">
        <v>3509</v>
      </c>
      <c r="AT3" s="3497" t="s">
        <v>3510</v>
      </c>
      <c r="AU3" s="3497" t="s">
        <v>3511</v>
      </c>
      <c r="AV3" s="3497" t="s">
        <v>3512</v>
      </c>
      <c r="AW3" s="3497"/>
      <c r="AX3" s="3497">
        <v>7116</v>
      </c>
      <c r="AY3" s="3497">
        <v>3391</v>
      </c>
      <c r="AZ3" s="3515" t="s">
        <v>3513</v>
      </c>
      <c r="BA3" s="3515" t="s">
        <v>3514</v>
      </c>
      <c r="BB3" s="3516"/>
      <c r="BC3" s="3516"/>
      <c r="BD3" s="3516"/>
      <c r="BE3" s="3516"/>
      <c r="BF3" s="3516"/>
      <c r="BG3" s="3516"/>
      <c r="BH3" s="3516"/>
      <c r="BI3" s="3516"/>
      <c r="BJ3" s="3516"/>
      <c r="BK3" s="3516"/>
      <c r="BL3" s="3516"/>
      <c r="BM3" s="3516"/>
      <c r="BN3" s="3516"/>
      <c r="BO3" s="3516"/>
      <c r="BP3" s="3516"/>
      <c r="BQ3" s="3516"/>
      <c r="BR3" s="3516"/>
      <c r="BS3" s="3516"/>
      <c r="BT3" s="3516"/>
      <c r="BU3" s="3516"/>
      <c r="BV3" s="3516"/>
      <c r="BW3" s="3516"/>
      <c r="BX3" s="3516"/>
      <c r="BY3" s="3516"/>
      <c r="BZ3" s="3516"/>
      <c r="CA3" s="3516"/>
      <c r="CB3" s="3516"/>
      <c r="CC3" s="3516"/>
      <c r="CD3" s="3516"/>
      <c r="CE3" s="3516"/>
      <c r="CF3" s="3516"/>
      <c r="CG3" s="3516"/>
      <c r="CH3" s="3516"/>
      <c r="CI3" s="3516"/>
      <c r="CJ3" s="3516"/>
      <c r="CK3" s="3516"/>
      <c r="CL3" s="3516"/>
      <c r="CM3" s="3516"/>
      <c r="CN3" s="3516"/>
      <c r="CO3" s="3516"/>
      <c r="CP3" s="3516"/>
      <c r="CQ3" s="3516"/>
      <c r="CR3" s="3516"/>
      <c r="CS3" s="3516"/>
      <c r="CT3" s="3516"/>
      <c r="CU3" s="3516"/>
      <c r="CV3" s="3516"/>
      <c r="CW3" s="3516"/>
      <c r="CX3" s="3516"/>
      <c r="CY3" s="3516"/>
      <c r="CZ3" s="3516"/>
      <c r="DA3" s="3516"/>
      <c r="DB3" s="3516"/>
      <c r="DC3" s="3516"/>
      <c r="DD3" s="3516"/>
      <c r="DE3" s="3516"/>
      <c r="DF3" s="3516"/>
      <c r="DG3" s="3516"/>
      <c r="DH3" s="3516"/>
      <c r="DI3" s="3516"/>
      <c r="DJ3" s="3516"/>
      <c r="DK3" s="3516"/>
      <c r="DL3" s="3516"/>
      <c r="DM3" s="3516"/>
      <c r="DN3" s="3516"/>
      <c r="DO3" s="3516"/>
      <c r="DP3" s="3516"/>
      <c r="DQ3" s="3516"/>
      <c r="DR3" s="3516"/>
      <c r="DS3" s="3516"/>
      <c r="DT3" s="3516"/>
      <c r="DU3" s="3516"/>
      <c r="DV3" s="3516"/>
      <c r="DW3" s="3516"/>
      <c r="DX3" s="3516"/>
      <c r="DY3" s="3516"/>
      <c r="DZ3" s="3516"/>
      <c r="EA3" s="3516"/>
      <c r="EB3" s="3516"/>
      <c r="EC3" s="3516"/>
      <c r="ED3" s="3516"/>
      <c r="EE3" s="3516"/>
      <c r="EF3" s="3516"/>
      <c r="EG3" s="3516"/>
      <c r="EH3" s="3516"/>
      <c r="EI3" s="3516"/>
      <c r="EJ3" s="3516"/>
      <c r="EK3" s="3516"/>
      <c r="EL3" s="3516"/>
      <c r="EM3" s="3516"/>
      <c r="EN3" s="3516"/>
      <c r="EO3" s="3516"/>
      <c r="EP3" s="3516"/>
      <c r="EQ3" s="3516"/>
      <c r="ER3" s="3516"/>
      <c r="ES3" s="3516"/>
      <c r="ET3" s="3516"/>
      <c r="EU3" s="3516"/>
      <c r="EV3" s="3516"/>
      <c r="EW3" s="3516"/>
      <c r="EX3" s="3516"/>
      <c r="EY3" s="3516"/>
      <c r="EZ3" s="3516"/>
      <c r="FA3" s="3516"/>
      <c r="FB3" s="3516"/>
      <c r="FC3" s="3516"/>
      <c r="FD3" s="3516"/>
      <c r="FE3" s="3516"/>
      <c r="FF3" s="3516"/>
      <c r="FG3" s="3516"/>
      <c r="FH3" s="3516"/>
      <c r="FI3" s="3516"/>
      <c r="FJ3" s="3516"/>
      <c r="FK3" s="3516"/>
      <c r="FL3" s="3516"/>
      <c r="FM3" s="3516"/>
      <c r="FN3" s="3516"/>
      <c r="FO3" s="3516"/>
      <c r="FP3" s="3516"/>
      <c r="FQ3" s="3516"/>
      <c r="FR3" s="3516"/>
      <c r="FS3" s="3516"/>
      <c r="FT3" s="3516"/>
      <c r="FU3" s="3516"/>
      <c r="FV3" s="3516"/>
      <c r="FW3" s="3516"/>
      <c r="FX3" s="3516"/>
      <c r="FY3" s="3516"/>
      <c r="FZ3" s="3516"/>
      <c r="GA3" s="3516"/>
      <c r="GB3" s="3516"/>
      <c r="GC3" s="3516"/>
      <c r="GD3" s="3516"/>
      <c r="GE3" s="3516"/>
      <c r="GF3" s="3516"/>
      <c r="GG3" s="3516"/>
      <c r="GH3" s="3516"/>
      <c r="GI3" s="3516"/>
      <c r="GJ3" s="3516"/>
      <c r="GK3" s="3516"/>
      <c r="GL3" s="3516"/>
      <c r="GM3" s="3516"/>
      <c r="GN3" s="3516"/>
      <c r="GO3" s="3516"/>
      <c r="GP3" s="3516"/>
      <c r="GQ3" s="3516"/>
      <c r="GR3" s="3516"/>
      <c r="GS3" s="3516"/>
      <c r="GT3" s="3516"/>
      <c r="GU3" s="3516"/>
      <c r="GV3" s="3516"/>
      <c r="GW3" s="3516"/>
      <c r="GX3" s="3516"/>
      <c r="GY3" s="3516"/>
      <c r="GZ3" s="3516"/>
      <c r="HA3" s="3516"/>
      <c r="HB3" s="3516"/>
      <c r="HC3" s="3516"/>
      <c r="HD3" s="3516"/>
      <c r="HE3" s="3516"/>
      <c r="HF3" s="3516"/>
      <c r="HG3" s="3516"/>
      <c r="HH3" s="3516"/>
      <c r="HI3" s="3516"/>
      <c r="HJ3" s="3516"/>
      <c r="HK3" s="3516"/>
      <c r="HL3" s="3516"/>
      <c r="HM3" s="3516"/>
      <c r="HN3" s="3516"/>
      <c r="HO3" s="3516"/>
      <c r="HP3" s="3516"/>
      <c r="HQ3" s="3516"/>
      <c r="HR3" s="3516"/>
      <c r="HS3" s="3516"/>
      <c r="HT3" s="3516"/>
      <c r="HU3" s="3516"/>
      <c r="HV3" s="3516"/>
      <c r="HW3" s="3516"/>
      <c r="HX3" s="3516"/>
      <c r="HY3" s="3516"/>
      <c r="HZ3" s="3516"/>
      <c r="IA3" s="3516"/>
      <c r="IB3" s="3516"/>
      <c r="IC3" s="3516"/>
    </row>
    <row r="4" spans="1:237">
      <c r="A4" s="3500" t="s">
        <v>3515</v>
      </c>
      <c r="B4" s="3501" t="s">
        <v>3516</v>
      </c>
      <c r="C4" s="3502" t="s">
        <v>3517</v>
      </c>
      <c r="D4" s="3502" t="s">
        <v>3518</v>
      </c>
      <c r="E4" s="3501" t="s">
        <v>2769</v>
      </c>
      <c r="F4" s="3517" t="s">
        <v>3519</v>
      </c>
      <c r="G4" s="3501"/>
      <c r="H4" s="3501" t="s">
        <v>3520</v>
      </c>
      <c r="I4" s="3501" t="s">
        <v>3521</v>
      </c>
      <c r="J4" s="3502" t="s">
        <v>3522</v>
      </c>
      <c r="K4" s="3501" t="s">
        <v>3516</v>
      </c>
      <c r="L4" s="3501">
        <v>88.06</v>
      </c>
      <c r="M4" s="3501">
        <v>3</v>
      </c>
      <c r="N4" s="3501" t="s">
        <v>3523</v>
      </c>
      <c r="O4" s="3501"/>
      <c r="P4" s="3501" t="s">
        <v>3524</v>
      </c>
      <c r="Q4" s="3504">
        <v>300000</v>
      </c>
      <c r="R4" s="3501">
        <v>3407</v>
      </c>
      <c r="S4" s="3505">
        <v>51.51</v>
      </c>
      <c r="T4" s="3506">
        <v>515100</v>
      </c>
      <c r="U4" s="3501">
        <v>5850</v>
      </c>
      <c r="V4" s="3507">
        <v>0.2</v>
      </c>
      <c r="W4" s="3508">
        <v>41.2</v>
      </c>
      <c r="X4" s="3509">
        <v>412000</v>
      </c>
      <c r="Y4" s="3497">
        <v>2009</v>
      </c>
      <c r="Z4" s="3497">
        <v>3</v>
      </c>
      <c r="AA4" s="3497">
        <v>4</v>
      </c>
      <c r="AB4" s="3501">
        <v>1500</v>
      </c>
      <c r="AC4" s="3501" t="s">
        <v>3525</v>
      </c>
      <c r="AD4" s="3518">
        <v>91162009020126</v>
      </c>
      <c r="AE4" s="3497" t="s">
        <v>3502</v>
      </c>
      <c r="AF4" s="3501" t="s">
        <v>3509</v>
      </c>
      <c r="AG4" s="3519" t="s">
        <v>3504</v>
      </c>
      <c r="AH4" s="3500"/>
      <c r="AI4" s="3510" t="s">
        <v>3526</v>
      </c>
      <c r="AJ4" s="3511"/>
      <c r="AK4" s="3501" t="s">
        <v>3527</v>
      </c>
      <c r="AL4" s="3497">
        <v>55</v>
      </c>
      <c r="AM4" s="3497" t="s">
        <v>3528</v>
      </c>
      <c r="AN4" s="3513">
        <v>39862</v>
      </c>
      <c r="AO4" s="3497"/>
      <c r="AP4" s="3501" t="s">
        <v>3529</v>
      </c>
      <c r="AQ4" s="3514">
        <v>39862</v>
      </c>
      <c r="AR4" s="3514"/>
      <c r="AS4" s="3501" t="s">
        <v>3530</v>
      </c>
      <c r="AT4" s="3497" t="s">
        <v>3510</v>
      </c>
      <c r="AU4" s="3497" t="s">
        <v>3531</v>
      </c>
      <c r="AV4" s="3497" t="s">
        <v>3532</v>
      </c>
      <c r="AW4" s="3497"/>
      <c r="AX4" s="3497" t="e">
        <v>#DIV/0!</v>
      </c>
      <c r="AY4" s="3497" t="e">
        <v>#DIV/0!</v>
      </c>
      <c r="AZ4" s="3515" t="s">
        <v>3533</v>
      </c>
      <c r="BA4" s="3515" t="s">
        <v>3514</v>
      </c>
      <c r="BB4" s="3516"/>
      <c r="BC4" s="3520"/>
      <c r="BD4" s="3516"/>
      <c r="BE4" s="3516"/>
      <c r="BF4" s="3516"/>
      <c r="BG4" s="3516"/>
      <c r="BH4" s="3516"/>
      <c r="BI4" s="3516"/>
      <c r="BJ4" s="3516"/>
      <c r="BK4" s="3516"/>
      <c r="BL4" s="3516"/>
      <c r="BM4" s="3516"/>
      <c r="BN4" s="3516"/>
      <c r="BO4" s="3516"/>
      <c r="BP4" s="3516"/>
      <c r="BQ4" s="3516"/>
      <c r="BR4" s="3516"/>
      <c r="BS4" s="3516"/>
      <c r="BT4" s="3516"/>
      <c r="BU4" s="3516"/>
      <c r="BV4" s="3516"/>
      <c r="BW4" s="3516"/>
      <c r="BX4" s="3516"/>
      <c r="BY4" s="3516"/>
      <c r="BZ4" s="3516"/>
      <c r="CA4" s="3516"/>
      <c r="CB4" s="3516"/>
      <c r="CC4" s="3516"/>
      <c r="CD4" s="3516"/>
      <c r="CE4" s="3516"/>
      <c r="CF4" s="3516"/>
      <c r="CG4" s="3516"/>
      <c r="CH4" s="3516"/>
      <c r="CI4" s="3516"/>
      <c r="CJ4" s="3516"/>
      <c r="CK4" s="3516"/>
      <c r="CL4" s="3516"/>
      <c r="CM4" s="3516"/>
      <c r="CN4" s="3516"/>
      <c r="CO4" s="3516"/>
      <c r="CP4" s="3516"/>
      <c r="CQ4" s="3516"/>
      <c r="CR4" s="3516"/>
      <c r="CS4" s="3516"/>
      <c r="CT4" s="3516"/>
      <c r="CU4" s="3516"/>
      <c r="CV4" s="3516"/>
      <c r="CW4" s="3516"/>
      <c r="CX4" s="3516"/>
      <c r="CY4" s="3516"/>
      <c r="CZ4" s="3516"/>
      <c r="DA4" s="3516"/>
      <c r="DB4" s="3516"/>
      <c r="DC4" s="3516"/>
      <c r="DD4" s="3516"/>
      <c r="DE4" s="3516"/>
      <c r="DF4" s="3516"/>
      <c r="DG4" s="3516"/>
      <c r="DH4" s="3516"/>
      <c r="DI4" s="3516"/>
      <c r="DJ4" s="3516"/>
      <c r="DK4" s="3516"/>
      <c r="DL4" s="3516"/>
      <c r="DM4" s="3516"/>
      <c r="DN4" s="3516"/>
      <c r="DO4" s="3516"/>
      <c r="DP4" s="3516"/>
      <c r="DQ4" s="3516"/>
      <c r="DR4" s="3516"/>
      <c r="DS4" s="3516"/>
      <c r="DT4" s="3516"/>
      <c r="DU4" s="3516"/>
      <c r="DV4" s="3516"/>
      <c r="DW4" s="3516"/>
      <c r="DX4" s="3516"/>
      <c r="DY4" s="3516"/>
      <c r="DZ4" s="3516"/>
      <c r="EA4" s="3516"/>
      <c r="EB4" s="3516"/>
      <c r="EC4" s="3516"/>
      <c r="ED4" s="3516"/>
      <c r="EE4" s="3516"/>
      <c r="EF4" s="3516"/>
      <c r="EG4" s="3516"/>
      <c r="EH4" s="3516"/>
      <c r="EI4" s="3516"/>
      <c r="EJ4" s="3516"/>
      <c r="EK4" s="3516"/>
      <c r="EL4" s="3516"/>
      <c r="EM4" s="3516"/>
      <c r="EN4" s="3516"/>
      <c r="EO4" s="3516"/>
      <c r="EP4" s="3516"/>
      <c r="EQ4" s="3516"/>
      <c r="ER4" s="3516"/>
      <c r="ES4" s="3516"/>
      <c r="ET4" s="3516"/>
      <c r="EU4" s="3516"/>
      <c r="EV4" s="3516"/>
      <c r="EW4" s="3516"/>
      <c r="EX4" s="3516"/>
      <c r="EY4" s="3516"/>
      <c r="EZ4" s="3516"/>
      <c r="FA4" s="3516"/>
      <c r="FB4" s="3516"/>
      <c r="FC4" s="3516"/>
      <c r="FD4" s="3516"/>
      <c r="FE4" s="3516"/>
      <c r="FF4" s="3516"/>
      <c r="FG4" s="3516"/>
      <c r="FH4" s="3516"/>
      <c r="FI4" s="3516"/>
      <c r="FJ4" s="3516"/>
      <c r="FK4" s="3516"/>
      <c r="FL4" s="3516"/>
      <c r="FM4" s="3516"/>
      <c r="FN4" s="3516"/>
      <c r="FO4" s="3516"/>
      <c r="FP4" s="3516"/>
      <c r="FQ4" s="3516"/>
      <c r="FR4" s="3516"/>
      <c r="FS4" s="3516"/>
      <c r="FT4" s="3516"/>
      <c r="FU4" s="3516"/>
      <c r="FV4" s="3516"/>
      <c r="FW4" s="3516"/>
      <c r="FX4" s="3516"/>
      <c r="FY4" s="3516"/>
      <c r="FZ4" s="3516"/>
      <c r="GA4" s="3516"/>
      <c r="GB4" s="3516"/>
      <c r="GC4" s="3516"/>
      <c r="GD4" s="3516"/>
      <c r="GE4" s="3516"/>
      <c r="GF4" s="3516"/>
      <c r="GG4" s="3516"/>
      <c r="GH4" s="3516"/>
      <c r="GI4" s="3516"/>
      <c r="GJ4" s="3516"/>
      <c r="GK4" s="3516"/>
      <c r="GL4" s="3516"/>
      <c r="GM4" s="3516"/>
      <c r="GN4" s="3516"/>
      <c r="GO4" s="3516"/>
      <c r="GP4" s="3516"/>
      <c r="GQ4" s="3516"/>
      <c r="GR4" s="3516"/>
      <c r="GS4" s="3516"/>
      <c r="GT4" s="3516"/>
      <c r="GU4" s="3516"/>
      <c r="GV4" s="3516"/>
      <c r="GW4" s="3516"/>
      <c r="GX4" s="3516"/>
      <c r="GY4" s="3516"/>
      <c r="GZ4" s="3516"/>
      <c r="HA4" s="3516"/>
      <c r="HB4" s="3516"/>
      <c r="HC4" s="3516"/>
      <c r="HD4" s="3516"/>
      <c r="HE4" s="3516"/>
      <c r="HF4" s="3516"/>
      <c r="HG4" s="3516"/>
      <c r="HH4" s="3516"/>
      <c r="HI4" s="3516"/>
      <c r="HJ4" s="3516"/>
      <c r="HK4" s="3516"/>
      <c r="HL4" s="3516"/>
      <c r="HM4" s="3516"/>
      <c r="HN4" s="3516"/>
      <c r="HO4" s="3516"/>
      <c r="HP4" s="3516"/>
      <c r="HQ4" s="3516"/>
      <c r="HR4" s="3516"/>
      <c r="HS4" s="3516"/>
      <c r="HT4" s="3516"/>
      <c r="HU4" s="3516"/>
      <c r="HV4" s="3516"/>
      <c r="HW4" s="3516"/>
      <c r="HX4" s="3516"/>
      <c r="HY4" s="3516"/>
      <c r="HZ4" s="3516"/>
      <c r="IA4" s="3516"/>
      <c r="IB4" s="3516"/>
      <c r="IC4" s="3516"/>
    </row>
    <row r="5" spans="1:237">
      <c r="A5" s="3501" t="s">
        <v>3534</v>
      </c>
      <c r="B5" s="3501" t="s">
        <v>3535</v>
      </c>
      <c r="C5" s="3502" t="s">
        <v>3536</v>
      </c>
      <c r="D5" s="3502" t="s">
        <v>3537</v>
      </c>
      <c r="E5" s="3501" t="s">
        <v>2769</v>
      </c>
      <c r="F5" s="3503" t="s">
        <v>3538</v>
      </c>
      <c r="G5" s="3501"/>
      <c r="H5" s="3501" t="s">
        <v>3539</v>
      </c>
      <c r="I5" s="3501" t="s">
        <v>3540</v>
      </c>
      <c r="J5" s="3502" t="s">
        <v>3541</v>
      </c>
      <c r="K5" s="3501" t="s">
        <v>3542</v>
      </c>
      <c r="L5" s="3501">
        <v>121.83</v>
      </c>
      <c r="M5" s="3501">
        <v>4</v>
      </c>
      <c r="N5" s="3501" t="s">
        <v>3543</v>
      </c>
      <c r="O5" s="3501"/>
      <c r="P5" s="3501" t="s">
        <v>3524</v>
      </c>
      <c r="Q5" s="3504">
        <v>540000</v>
      </c>
      <c r="R5" s="3501">
        <v>4432</v>
      </c>
      <c r="S5" s="3505">
        <v>65.17</v>
      </c>
      <c r="T5" s="3506">
        <v>651700</v>
      </c>
      <c r="U5" s="3501">
        <v>5350</v>
      </c>
      <c r="V5" s="3507">
        <v>0.2</v>
      </c>
      <c r="W5" s="3508">
        <v>52.13</v>
      </c>
      <c r="X5" s="3509">
        <v>521300</v>
      </c>
      <c r="Y5" s="3497">
        <v>2009</v>
      </c>
      <c r="Z5" s="3497">
        <v>3</v>
      </c>
      <c r="AA5" s="3497">
        <v>9</v>
      </c>
      <c r="AB5" s="3501">
        <v>1500</v>
      </c>
      <c r="AC5" s="3501" t="s">
        <v>3525</v>
      </c>
      <c r="AD5" s="3500">
        <v>91162009030007</v>
      </c>
      <c r="AE5" s="3497" t="s">
        <v>3502</v>
      </c>
      <c r="AF5" s="3501" t="s">
        <v>3503</v>
      </c>
      <c r="AG5" s="3501" t="s">
        <v>3504</v>
      </c>
      <c r="AH5" s="3500"/>
      <c r="AI5" s="3501" t="s">
        <v>3526</v>
      </c>
      <c r="AJ5" s="3511"/>
      <c r="AK5" s="3512">
        <v>3</v>
      </c>
      <c r="AL5" s="3497">
        <v>35</v>
      </c>
      <c r="AM5" s="3497" t="s">
        <v>3544</v>
      </c>
      <c r="AN5" s="3513">
        <v>39874</v>
      </c>
      <c r="AO5" s="3497"/>
      <c r="AP5" s="3497" t="s">
        <v>3508</v>
      </c>
      <c r="AQ5" s="3514">
        <v>39874</v>
      </c>
      <c r="AR5" s="3514"/>
      <c r="AS5" s="3501" t="s">
        <v>3545</v>
      </c>
      <c r="AT5" s="3497" t="s">
        <v>3510</v>
      </c>
      <c r="AU5" s="3497" t="s">
        <v>3546</v>
      </c>
      <c r="AV5" s="3497" t="s">
        <v>3547</v>
      </c>
      <c r="AW5" s="3497"/>
      <c r="AX5" s="3497" t="e">
        <v>#DIV/0!</v>
      </c>
      <c r="AY5" s="3497" t="e">
        <v>#DIV/0!</v>
      </c>
      <c r="AZ5" s="3515" t="s">
        <v>3513</v>
      </c>
      <c r="BA5" s="3515" t="s">
        <v>3514</v>
      </c>
      <c r="BB5" s="3516"/>
      <c r="BC5" s="3520"/>
      <c r="BD5" s="3516"/>
      <c r="BE5" s="3516"/>
      <c r="BF5" s="3516"/>
      <c r="BG5" s="3516"/>
      <c r="BH5" s="3516"/>
      <c r="BI5" s="3516"/>
      <c r="BJ5" s="3516"/>
      <c r="BK5" s="3516"/>
      <c r="BL5" s="3516"/>
      <c r="BM5" s="3516"/>
      <c r="BN5" s="3516"/>
      <c r="BO5" s="3516"/>
      <c r="BP5" s="3516"/>
      <c r="BQ5" s="3516"/>
      <c r="BR5" s="3516"/>
      <c r="BS5" s="3516"/>
      <c r="BT5" s="3516"/>
      <c r="BU5" s="3516"/>
      <c r="BV5" s="3516"/>
      <c r="BW5" s="3516"/>
      <c r="BX5" s="3516"/>
      <c r="BY5" s="3516"/>
      <c r="BZ5" s="3516"/>
      <c r="CA5" s="3516"/>
      <c r="CB5" s="3516"/>
      <c r="CC5" s="3516"/>
      <c r="CD5" s="3516"/>
      <c r="CE5" s="3516"/>
      <c r="CF5" s="3516"/>
      <c r="CG5" s="3516"/>
      <c r="CH5" s="3516"/>
      <c r="CI5" s="3516"/>
      <c r="CJ5" s="3516"/>
      <c r="CK5" s="3516"/>
      <c r="CL5" s="3516"/>
      <c r="CM5" s="3516"/>
      <c r="CN5" s="3516"/>
      <c r="CO5" s="3516"/>
      <c r="CP5" s="3516"/>
      <c r="CQ5" s="3516"/>
      <c r="CR5" s="3516"/>
      <c r="CS5" s="3516"/>
      <c r="CT5" s="3516"/>
      <c r="CU5" s="3516"/>
      <c r="CV5" s="3516"/>
      <c r="CW5" s="3516"/>
      <c r="CX5" s="3516"/>
      <c r="CY5" s="3516"/>
      <c r="CZ5" s="3516"/>
      <c r="DA5" s="3516"/>
      <c r="DB5" s="3516"/>
      <c r="DC5" s="3516"/>
      <c r="DD5" s="3516"/>
      <c r="DE5" s="3516"/>
      <c r="DF5" s="3516"/>
      <c r="DG5" s="3516"/>
      <c r="DH5" s="3516"/>
      <c r="DI5" s="3516"/>
      <c r="DJ5" s="3516"/>
      <c r="DK5" s="3516"/>
      <c r="DL5" s="3516"/>
      <c r="DM5" s="3516"/>
      <c r="DN5" s="3516"/>
      <c r="DO5" s="3516"/>
      <c r="DP5" s="3516"/>
      <c r="DQ5" s="3516"/>
      <c r="DR5" s="3516"/>
      <c r="DS5" s="3516"/>
      <c r="DT5" s="3516"/>
      <c r="DU5" s="3516"/>
      <c r="DV5" s="3516"/>
      <c r="DW5" s="3516"/>
      <c r="DX5" s="3516"/>
      <c r="DY5" s="3516"/>
      <c r="DZ5" s="3516"/>
      <c r="EA5" s="3516"/>
      <c r="EB5" s="3516"/>
      <c r="EC5" s="3516"/>
      <c r="ED5" s="3516"/>
      <c r="EE5" s="3516"/>
      <c r="EF5" s="3516"/>
      <c r="EG5" s="3516"/>
      <c r="EH5" s="3516"/>
      <c r="EI5" s="3516"/>
      <c r="EJ5" s="3516"/>
      <c r="EK5" s="3516"/>
      <c r="EL5" s="3516"/>
      <c r="EM5" s="3516"/>
      <c r="EN5" s="3516"/>
      <c r="EO5" s="3516"/>
      <c r="EP5" s="3516"/>
      <c r="EQ5" s="3516"/>
      <c r="ER5" s="3516"/>
      <c r="ES5" s="3516"/>
      <c r="ET5" s="3516"/>
      <c r="EU5" s="3516"/>
      <c r="EV5" s="3516"/>
      <c r="EW5" s="3516"/>
      <c r="EX5" s="3516"/>
      <c r="EY5" s="3516"/>
      <c r="EZ5" s="3516"/>
      <c r="FA5" s="3516"/>
      <c r="FB5" s="3516"/>
      <c r="FC5" s="3516"/>
      <c r="FD5" s="3516"/>
      <c r="FE5" s="3516"/>
      <c r="FF5" s="3516"/>
      <c r="FG5" s="3516"/>
      <c r="FH5" s="3516"/>
      <c r="FI5" s="3516"/>
      <c r="FJ5" s="3516"/>
      <c r="FK5" s="3516"/>
      <c r="FL5" s="3516"/>
      <c r="FM5" s="3516"/>
      <c r="FN5" s="3516"/>
      <c r="FO5" s="3516"/>
      <c r="FP5" s="3516"/>
      <c r="FQ5" s="3516"/>
      <c r="FR5" s="3516"/>
      <c r="FS5" s="3516"/>
      <c r="FT5" s="3516"/>
      <c r="FU5" s="3516"/>
      <c r="FV5" s="3516"/>
      <c r="FW5" s="3516"/>
      <c r="FX5" s="3516"/>
      <c r="FY5" s="3516"/>
      <c r="FZ5" s="3516"/>
      <c r="GA5" s="3516"/>
      <c r="GB5" s="3516"/>
      <c r="GC5" s="3516"/>
      <c r="GD5" s="3516"/>
      <c r="GE5" s="3516"/>
      <c r="GF5" s="3516"/>
      <c r="GG5" s="3516"/>
      <c r="GH5" s="3516"/>
      <c r="GI5" s="3516"/>
      <c r="GJ5" s="3516"/>
      <c r="GK5" s="3516"/>
      <c r="GL5" s="3516"/>
      <c r="GM5" s="3516"/>
      <c r="GN5" s="3516"/>
      <c r="GO5" s="3516"/>
      <c r="GP5" s="3516"/>
      <c r="GQ5" s="3516"/>
      <c r="GR5" s="3516"/>
      <c r="GS5" s="3516"/>
      <c r="GT5" s="3516"/>
      <c r="GU5" s="3516"/>
      <c r="GV5" s="3516"/>
      <c r="GW5" s="3516"/>
      <c r="GX5" s="3516"/>
      <c r="GY5" s="3516"/>
      <c r="GZ5" s="3516"/>
      <c r="HA5" s="3516"/>
      <c r="HB5" s="3516"/>
      <c r="HC5" s="3516"/>
      <c r="HD5" s="3516"/>
      <c r="HE5" s="3516"/>
      <c r="HF5" s="3516"/>
      <c r="HG5" s="3516"/>
      <c r="HH5" s="3516"/>
      <c r="HI5" s="3516"/>
      <c r="HJ5" s="3516"/>
      <c r="HK5" s="3516"/>
      <c r="HL5" s="3516"/>
      <c r="HM5" s="3516"/>
      <c r="HN5" s="3516"/>
      <c r="HO5" s="3516"/>
      <c r="HP5" s="3516"/>
      <c r="HQ5" s="3516"/>
      <c r="HR5" s="3516"/>
      <c r="HS5" s="3516"/>
      <c r="HT5" s="3516"/>
      <c r="HU5" s="3516"/>
      <c r="HV5" s="3516"/>
      <c r="HW5" s="3516"/>
      <c r="HX5" s="3516"/>
      <c r="HY5" s="3516"/>
      <c r="HZ5" s="3516"/>
      <c r="IA5" s="3516"/>
      <c r="IB5" s="3516"/>
      <c r="IC5" s="3516"/>
    </row>
    <row r="6" spans="1:237">
      <c r="A6" s="3500" t="s">
        <v>3548</v>
      </c>
      <c r="B6" s="3501" t="s">
        <v>3549</v>
      </c>
      <c r="C6" s="3502" t="s">
        <v>3550</v>
      </c>
      <c r="D6" s="3502" t="s">
        <v>3551</v>
      </c>
      <c r="E6" s="3501" t="s">
        <v>2769</v>
      </c>
      <c r="F6" s="3503" t="s">
        <v>3552</v>
      </c>
      <c r="G6" s="3501"/>
      <c r="H6" s="3501" t="s">
        <v>3553</v>
      </c>
      <c r="I6" s="3501" t="s">
        <v>3554</v>
      </c>
      <c r="J6" s="3502" t="s">
        <v>3555</v>
      </c>
      <c r="K6" s="3501" t="s">
        <v>3556</v>
      </c>
      <c r="L6" s="3501">
        <v>90.88</v>
      </c>
      <c r="M6" s="3501">
        <v>5</v>
      </c>
      <c r="N6" s="3501" t="s">
        <v>3557</v>
      </c>
      <c r="O6" s="3501"/>
      <c r="P6" s="3501" t="s">
        <v>3524</v>
      </c>
      <c r="Q6" s="3504">
        <v>550000</v>
      </c>
      <c r="R6" s="3501">
        <v>6052</v>
      </c>
      <c r="S6" s="3505">
        <v>51.34</v>
      </c>
      <c r="T6" s="3506">
        <v>513400.00000000006</v>
      </c>
      <c r="U6" s="3501">
        <v>5650</v>
      </c>
      <c r="V6" s="3507">
        <v>0.2</v>
      </c>
      <c r="W6" s="3508">
        <v>41.07</v>
      </c>
      <c r="X6" s="3509">
        <v>410700</v>
      </c>
      <c r="Y6" s="3497">
        <v>2009</v>
      </c>
      <c r="Z6" s="3497">
        <v>3</v>
      </c>
      <c r="AA6" s="3497">
        <v>25</v>
      </c>
      <c r="AB6" s="3501">
        <v>1500</v>
      </c>
      <c r="AC6" s="3501" t="s">
        <v>3525</v>
      </c>
      <c r="AD6" s="3518">
        <v>91162009030111</v>
      </c>
      <c r="AE6" s="3497" t="s">
        <v>3502</v>
      </c>
      <c r="AF6" s="3501" t="s">
        <v>3509</v>
      </c>
      <c r="AG6" s="3501" t="s">
        <v>3504</v>
      </c>
      <c r="AH6" s="3500"/>
      <c r="AI6" s="3501" t="s">
        <v>3505</v>
      </c>
      <c r="AJ6" s="3511"/>
      <c r="AK6" s="3512">
        <v>3</v>
      </c>
      <c r="AL6" s="3497">
        <v>41</v>
      </c>
      <c r="AM6" s="3497" t="s">
        <v>3558</v>
      </c>
      <c r="AN6" s="3513">
        <v>39882</v>
      </c>
      <c r="AO6" s="3497"/>
      <c r="AP6" s="3497" t="s">
        <v>3559</v>
      </c>
      <c r="AQ6" s="3514">
        <v>39883</v>
      </c>
      <c r="AR6" s="3514"/>
      <c r="AS6" s="3501" t="s">
        <v>3509</v>
      </c>
      <c r="AT6" s="3497" t="s">
        <v>3560</v>
      </c>
      <c r="AU6" s="3497" t="s">
        <v>3511</v>
      </c>
      <c r="AV6" s="3497" t="s">
        <v>3512</v>
      </c>
      <c r="AW6" s="3497"/>
      <c r="AX6" s="3497" t="e">
        <v>#DIV/0!</v>
      </c>
      <c r="AY6" s="3497" t="e">
        <v>#DIV/0!</v>
      </c>
      <c r="AZ6" s="3515" t="s">
        <v>3561</v>
      </c>
      <c r="BA6" s="3515" t="s">
        <v>3514</v>
      </c>
      <c r="BB6" s="3516"/>
      <c r="BC6" s="3520"/>
      <c r="BD6" s="3516"/>
      <c r="BE6" s="3516"/>
      <c r="BF6" s="3516"/>
      <c r="BG6" s="3516"/>
      <c r="BH6" s="3516"/>
      <c r="BI6" s="3516"/>
      <c r="BJ6" s="3516"/>
      <c r="BK6" s="3516"/>
      <c r="BL6" s="3516"/>
      <c r="BM6" s="3516"/>
      <c r="BN6" s="3516"/>
      <c r="BO6" s="3516"/>
      <c r="BP6" s="3516"/>
      <c r="BQ6" s="3516"/>
      <c r="BR6" s="3516"/>
      <c r="BS6" s="3516"/>
      <c r="BT6" s="3516"/>
      <c r="BU6" s="3516"/>
      <c r="BV6" s="3516"/>
      <c r="BW6" s="3516"/>
      <c r="BX6" s="3516"/>
      <c r="BY6" s="3516"/>
      <c r="BZ6" s="3516"/>
      <c r="CA6" s="3516"/>
      <c r="CB6" s="3516"/>
      <c r="CC6" s="3516"/>
      <c r="CD6" s="3516"/>
      <c r="CE6" s="3516"/>
      <c r="CF6" s="3516"/>
      <c r="CG6" s="3516"/>
      <c r="CH6" s="3516"/>
      <c r="CI6" s="3516"/>
      <c r="CJ6" s="3516"/>
      <c r="CK6" s="3516"/>
      <c r="CL6" s="3516"/>
      <c r="CM6" s="3516"/>
      <c r="CN6" s="3516"/>
      <c r="CO6" s="3516"/>
      <c r="CP6" s="3516"/>
      <c r="CQ6" s="3516"/>
      <c r="CR6" s="3516"/>
      <c r="CS6" s="3516"/>
      <c r="CT6" s="3516"/>
      <c r="CU6" s="3516"/>
      <c r="CV6" s="3516"/>
      <c r="CW6" s="3516"/>
      <c r="CX6" s="3516"/>
      <c r="CY6" s="3516"/>
      <c r="CZ6" s="3516"/>
      <c r="DA6" s="3516"/>
      <c r="DB6" s="3516"/>
      <c r="DC6" s="3516"/>
      <c r="DD6" s="3516"/>
      <c r="DE6" s="3516"/>
      <c r="DF6" s="3516"/>
      <c r="DG6" s="3516"/>
      <c r="DH6" s="3516"/>
      <c r="DI6" s="3516"/>
      <c r="DJ6" s="3516"/>
      <c r="DK6" s="3516"/>
      <c r="DL6" s="3516"/>
      <c r="DM6" s="3516"/>
      <c r="DN6" s="3516"/>
      <c r="DO6" s="3516"/>
      <c r="DP6" s="3516"/>
      <c r="DQ6" s="3516"/>
      <c r="DR6" s="3516"/>
      <c r="DS6" s="3516"/>
      <c r="DT6" s="3516"/>
      <c r="DU6" s="3516"/>
      <c r="DV6" s="3516"/>
      <c r="DW6" s="3516"/>
      <c r="DX6" s="3516"/>
      <c r="DY6" s="3516"/>
      <c r="DZ6" s="3516"/>
      <c r="EA6" s="3516"/>
      <c r="EB6" s="3516"/>
      <c r="EC6" s="3516"/>
      <c r="ED6" s="3516"/>
      <c r="EE6" s="3516"/>
      <c r="EF6" s="3516"/>
      <c r="EG6" s="3516"/>
      <c r="EH6" s="3516"/>
      <c r="EI6" s="3516"/>
      <c r="EJ6" s="3516"/>
      <c r="EK6" s="3516"/>
      <c r="EL6" s="3516"/>
      <c r="EM6" s="3516"/>
      <c r="EN6" s="3516"/>
      <c r="EO6" s="3516"/>
      <c r="EP6" s="3516"/>
      <c r="EQ6" s="3516"/>
      <c r="ER6" s="3516"/>
      <c r="ES6" s="3516"/>
      <c r="ET6" s="3516"/>
      <c r="EU6" s="3516"/>
      <c r="EV6" s="3516"/>
      <c r="EW6" s="3516"/>
      <c r="EX6" s="3516"/>
      <c r="EY6" s="3516"/>
      <c r="EZ6" s="3516"/>
      <c r="FA6" s="3516"/>
      <c r="FB6" s="3516"/>
      <c r="FC6" s="3516"/>
      <c r="FD6" s="3516"/>
      <c r="FE6" s="3516"/>
      <c r="FF6" s="3516"/>
      <c r="FG6" s="3516"/>
      <c r="FH6" s="3516"/>
      <c r="FI6" s="3516"/>
      <c r="FJ6" s="3516"/>
      <c r="FK6" s="3516"/>
      <c r="FL6" s="3516"/>
      <c r="FM6" s="3516"/>
      <c r="FN6" s="3516"/>
      <c r="FO6" s="3516"/>
      <c r="FP6" s="3516"/>
      <c r="FQ6" s="3516"/>
      <c r="FR6" s="3516"/>
      <c r="FS6" s="3516"/>
      <c r="FT6" s="3516"/>
      <c r="FU6" s="3516"/>
      <c r="FV6" s="3516"/>
      <c r="FW6" s="3516"/>
      <c r="FX6" s="3516"/>
      <c r="FY6" s="3516"/>
      <c r="FZ6" s="3516"/>
      <c r="GA6" s="3516"/>
      <c r="GB6" s="3516"/>
      <c r="GC6" s="3516"/>
      <c r="GD6" s="3516"/>
      <c r="GE6" s="3516"/>
      <c r="GF6" s="3516"/>
      <c r="GG6" s="3516"/>
      <c r="GH6" s="3516"/>
      <c r="GI6" s="3516"/>
      <c r="GJ6" s="3516"/>
      <c r="GK6" s="3516"/>
      <c r="GL6" s="3516"/>
      <c r="GM6" s="3516"/>
      <c r="GN6" s="3516"/>
      <c r="GO6" s="3516"/>
      <c r="GP6" s="3516"/>
      <c r="GQ6" s="3516"/>
      <c r="GR6" s="3516"/>
      <c r="GS6" s="3516"/>
      <c r="GT6" s="3516"/>
      <c r="GU6" s="3516"/>
      <c r="GV6" s="3516"/>
      <c r="GW6" s="3516"/>
      <c r="GX6" s="3516"/>
      <c r="GY6" s="3516"/>
      <c r="GZ6" s="3516"/>
      <c r="HA6" s="3516"/>
      <c r="HB6" s="3516"/>
      <c r="HC6" s="3516"/>
      <c r="HD6" s="3516"/>
      <c r="HE6" s="3516"/>
      <c r="HF6" s="3516"/>
      <c r="HG6" s="3516"/>
      <c r="HH6" s="3516"/>
      <c r="HI6" s="3516"/>
      <c r="HJ6" s="3516"/>
      <c r="HK6" s="3516"/>
      <c r="HL6" s="3516"/>
      <c r="HM6" s="3516"/>
      <c r="HN6" s="3516"/>
      <c r="HO6" s="3516"/>
      <c r="HP6" s="3516"/>
      <c r="HQ6" s="3516"/>
      <c r="HR6" s="3516"/>
      <c r="HS6" s="3516"/>
      <c r="HT6" s="3516"/>
      <c r="HU6" s="3516"/>
      <c r="HV6" s="3516"/>
      <c r="HW6" s="3516"/>
      <c r="HX6" s="3516"/>
      <c r="HY6" s="3516"/>
      <c r="HZ6" s="3516"/>
      <c r="IA6" s="3516"/>
      <c r="IB6" s="3516"/>
      <c r="IC6" s="3516"/>
    </row>
    <row r="7" spans="1:237">
      <c r="A7" s="3500" t="s">
        <v>3562</v>
      </c>
      <c r="B7" s="3501" t="s">
        <v>3563</v>
      </c>
      <c r="C7" s="3502" t="s">
        <v>3564</v>
      </c>
      <c r="D7" s="3502" t="s">
        <v>3565</v>
      </c>
      <c r="E7" s="3501" t="s">
        <v>2769</v>
      </c>
      <c r="F7" s="3503" t="s">
        <v>3494</v>
      </c>
      <c r="G7" s="3501"/>
      <c r="H7" s="3501" t="s">
        <v>3566</v>
      </c>
      <c r="I7" s="3501" t="s">
        <v>3567</v>
      </c>
      <c r="J7" s="3502" t="s">
        <v>3568</v>
      </c>
      <c r="K7" s="3501" t="s">
        <v>3569</v>
      </c>
      <c r="L7" s="3501">
        <v>82.57</v>
      </c>
      <c r="M7" s="3501">
        <v>5</v>
      </c>
      <c r="N7" s="3501" t="s">
        <v>3523</v>
      </c>
      <c r="O7" s="3501">
        <v>70.180000000000007</v>
      </c>
      <c r="P7" s="3501" t="s">
        <v>3524</v>
      </c>
      <c r="Q7" s="3504">
        <v>390000</v>
      </c>
      <c r="R7" s="3501">
        <v>4723</v>
      </c>
      <c r="S7" s="3505">
        <v>51.6</v>
      </c>
      <c r="T7" s="3506">
        <v>516000</v>
      </c>
      <c r="U7" s="3501">
        <v>6250</v>
      </c>
      <c r="V7" s="3507">
        <v>0.2</v>
      </c>
      <c r="W7" s="3508">
        <v>41.28</v>
      </c>
      <c r="X7" s="3509">
        <v>412800</v>
      </c>
      <c r="Y7" s="3497">
        <v>2009</v>
      </c>
      <c r="Z7" s="3497">
        <v>5</v>
      </c>
      <c r="AA7" s="3497">
        <v>5</v>
      </c>
      <c r="AB7" s="3501">
        <v>1500</v>
      </c>
      <c r="AC7" s="3501" t="s">
        <v>3525</v>
      </c>
      <c r="AD7" s="3521" t="s">
        <v>3570</v>
      </c>
      <c r="AE7" s="3497" t="s">
        <v>3502</v>
      </c>
      <c r="AF7" s="3501" t="s">
        <v>3503</v>
      </c>
      <c r="AG7" s="3501" t="s">
        <v>3504</v>
      </c>
      <c r="AH7" s="3500" t="s">
        <v>3571</v>
      </c>
      <c r="AI7" s="3501" t="s">
        <v>3526</v>
      </c>
      <c r="AJ7" s="3511"/>
      <c r="AK7" s="3512" t="s">
        <v>3572</v>
      </c>
      <c r="AL7" s="3497">
        <v>46</v>
      </c>
      <c r="AM7" s="3497" t="s">
        <v>3573</v>
      </c>
      <c r="AN7" s="3513">
        <v>39918</v>
      </c>
      <c r="AO7" s="3497"/>
      <c r="AP7" s="3497" t="s">
        <v>3574</v>
      </c>
      <c r="AQ7" s="3514">
        <v>39919</v>
      </c>
      <c r="AR7" s="3514"/>
      <c r="AS7" s="3501" t="s">
        <v>3509</v>
      </c>
      <c r="AT7" s="3497" t="s">
        <v>3510</v>
      </c>
      <c r="AU7" s="3497" t="s">
        <v>3531</v>
      </c>
      <c r="AV7" s="3497"/>
      <c r="AW7" s="3497"/>
      <c r="AX7" s="3497">
        <v>7353</v>
      </c>
      <c r="AY7" s="3497">
        <v>5557</v>
      </c>
      <c r="AZ7" s="3515" t="s">
        <v>3575</v>
      </c>
      <c r="BA7" s="3515" t="s">
        <v>3514</v>
      </c>
      <c r="BB7" s="3516"/>
      <c r="BC7" s="3516"/>
      <c r="BD7" s="3516"/>
      <c r="BE7" s="3516"/>
      <c r="BF7" s="3516"/>
      <c r="BG7" s="3516"/>
      <c r="BH7" s="3516"/>
      <c r="BI7" s="3516"/>
      <c r="BJ7" s="3516"/>
      <c r="BK7" s="3516"/>
      <c r="BL7" s="3516"/>
      <c r="BM7" s="3516"/>
      <c r="BN7" s="3516"/>
      <c r="BO7" s="3516"/>
      <c r="BP7" s="3516"/>
      <c r="BQ7" s="3516"/>
      <c r="BR7" s="3516"/>
      <c r="BS7" s="3516"/>
      <c r="BT7" s="3516"/>
      <c r="BU7" s="3516"/>
      <c r="BV7" s="3516"/>
      <c r="BW7" s="3516"/>
      <c r="BX7" s="3516"/>
      <c r="BY7" s="3516"/>
      <c r="BZ7" s="3516"/>
      <c r="CA7" s="3516"/>
      <c r="CB7" s="3516"/>
      <c r="CC7" s="3516"/>
      <c r="CD7" s="3516"/>
      <c r="CE7" s="3516"/>
      <c r="CF7" s="3516"/>
      <c r="CG7" s="3516"/>
      <c r="CH7" s="3516"/>
      <c r="CI7" s="3516"/>
      <c r="CJ7" s="3516"/>
      <c r="CK7" s="3516"/>
      <c r="CL7" s="3516"/>
      <c r="CM7" s="3516"/>
      <c r="CN7" s="3516"/>
      <c r="CO7" s="3516"/>
      <c r="CP7" s="3516"/>
      <c r="CQ7" s="3516"/>
      <c r="CR7" s="3516"/>
      <c r="CS7" s="3516"/>
      <c r="CT7" s="3516"/>
      <c r="CU7" s="3516"/>
      <c r="CV7" s="3516"/>
      <c r="CW7" s="3516"/>
      <c r="CX7" s="3516"/>
      <c r="CY7" s="3516"/>
      <c r="CZ7" s="3516"/>
      <c r="DA7" s="3516"/>
      <c r="DB7" s="3516"/>
      <c r="DC7" s="3516"/>
      <c r="DD7" s="3516"/>
      <c r="DE7" s="3516"/>
      <c r="DF7" s="3516"/>
      <c r="DG7" s="3516"/>
      <c r="DH7" s="3516"/>
      <c r="DI7" s="3516"/>
      <c r="DJ7" s="3516"/>
      <c r="DK7" s="3516"/>
      <c r="DL7" s="3516"/>
      <c r="DM7" s="3516"/>
      <c r="DN7" s="3516"/>
      <c r="DO7" s="3516"/>
      <c r="DP7" s="3516"/>
      <c r="DQ7" s="3516"/>
      <c r="DR7" s="3516"/>
      <c r="DS7" s="3516"/>
      <c r="DT7" s="3516"/>
      <c r="DU7" s="3516"/>
      <c r="DV7" s="3516"/>
      <c r="DW7" s="3516"/>
      <c r="DX7" s="3516"/>
      <c r="DY7" s="3516"/>
      <c r="DZ7" s="3516"/>
      <c r="EA7" s="3516"/>
      <c r="EB7" s="3516"/>
      <c r="EC7" s="3516"/>
      <c r="ED7" s="3516"/>
      <c r="EE7" s="3516"/>
      <c r="EF7" s="3516"/>
      <c r="EG7" s="3516"/>
      <c r="EH7" s="3516"/>
      <c r="EI7" s="3516"/>
      <c r="EJ7" s="3516"/>
      <c r="EK7" s="3516"/>
      <c r="EL7" s="3516"/>
      <c r="EM7" s="3516"/>
      <c r="EN7" s="3516"/>
      <c r="EO7" s="3516"/>
      <c r="EP7" s="3516"/>
      <c r="EQ7" s="3516"/>
      <c r="ER7" s="3516"/>
      <c r="ES7" s="3516"/>
      <c r="ET7" s="3516"/>
      <c r="EU7" s="3516"/>
      <c r="EV7" s="3516"/>
      <c r="EW7" s="3516"/>
      <c r="EX7" s="3516"/>
      <c r="EY7" s="3516"/>
      <c r="EZ7" s="3516"/>
      <c r="FA7" s="3516"/>
      <c r="FB7" s="3516"/>
      <c r="FC7" s="3516"/>
      <c r="FD7" s="3516"/>
      <c r="FE7" s="3516"/>
      <c r="FF7" s="3516"/>
      <c r="FG7" s="3516"/>
      <c r="FH7" s="3516"/>
      <c r="FI7" s="3516"/>
      <c r="FJ7" s="3516"/>
      <c r="FK7" s="3516"/>
      <c r="FL7" s="3516"/>
      <c r="FM7" s="3516"/>
      <c r="FN7" s="3516"/>
      <c r="FO7" s="3516"/>
      <c r="FP7" s="3516"/>
      <c r="FQ7" s="3516"/>
      <c r="FR7" s="3516"/>
      <c r="FS7" s="3516"/>
      <c r="FT7" s="3516"/>
      <c r="FU7" s="3516"/>
      <c r="FV7" s="3516"/>
      <c r="FW7" s="3516"/>
      <c r="FX7" s="3516"/>
      <c r="FY7" s="3516"/>
      <c r="FZ7" s="3516"/>
      <c r="GA7" s="3516"/>
      <c r="GB7" s="3516"/>
      <c r="GC7" s="3516"/>
      <c r="GD7" s="3516"/>
      <c r="GE7" s="3516"/>
      <c r="GF7" s="3516"/>
      <c r="GG7" s="3516"/>
      <c r="GH7" s="3516"/>
      <c r="GI7" s="3516"/>
      <c r="GJ7" s="3516"/>
      <c r="GK7" s="3516"/>
      <c r="GL7" s="3516"/>
      <c r="GM7" s="3516"/>
      <c r="GN7" s="3516"/>
      <c r="GO7" s="3516"/>
      <c r="GP7" s="3516"/>
      <c r="GQ7" s="3516"/>
      <c r="GR7" s="3516"/>
      <c r="GS7" s="3516"/>
      <c r="GT7" s="3516"/>
      <c r="GU7" s="3516"/>
      <c r="GV7" s="3516"/>
      <c r="GW7" s="3516"/>
      <c r="GX7" s="3516"/>
      <c r="GY7" s="3516"/>
      <c r="GZ7" s="3516"/>
      <c r="HA7" s="3516"/>
      <c r="HB7" s="3516"/>
      <c r="HC7" s="3516"/>
      <c r="HD7" s="3516"/>
      <c r="HE7" s="3516"/>
      <c r="HF7" s="3516"/>
      <c r="HG7" s="3516"/>
      <c r="HH7" s="3516"/>
      <c r="HI7" s="3516"/>
      <c r="HJ7" s="3516"/>
      <c r="HK7" s="3516"/>
      <c r="HL7" s="3516"/>
      <c r="HM7" s="3516"/>
      <c r="HN7" s="3516"/>
      <c r="HO7" s="3516"/>
      <c r="HP7" s="3516"/>
      <c r="HQ7" s="3516"/>
      <c r="HR7" s="3516"/>
      <c r="HS7" s="3516"/>
      <c r="HT7" s="3516"/>
      <c r="HU7" s="3516"/>
      <c r="HV7" s="3516"/>
      <c r="HW7" s="3516"/>
      <c r="HX7" s="3516"/>
      <c r="HY7" s="3516"/>
      <c r="HZ7" s="3516"/>
      <c r="IA7" s="3516"/>
      <c r="IB7" s="3516"/>
      <c r="IC7" s="3516"/>
    </row>
    <row r="8" spans="1:237" s="3472" customFormat="1">
      <c r="A8" s="3550" t="s">
        <v>3576</v>
      </c>
      <c r="B8" s="3550" t="s">
        <v>3577</v>
      </c>
      <c r="C8" s="3551" t="s">
        <v>3578</v>
      </c>
      <c r="D8" s="3550">
        <v>13699257495</v>
      </c>
      <c r="E8" s="3550" t="s">
        <v>2769</v>
      </c>
      <c r="F8" s="3550" t="s">
        <v>3579</v>
      </c>
      <c r="G8" s="3550"/>
      <c r="H8" s="3550" t="s">
        <v>3580</v>
      </c>
      <c r="I8" s="3550" t="s">
        <v>3581</v>
      </c>
      <c r="J8" s="3550" t="s">
        <v>3582</v>
      </c>
      <c r="K8" s="3550" t="s">
        <v>3577</v>
      </c>
      <c r="L8" s="3550">
        <v>83.55</v>
      </c>
      <c r="M8" s="3550">
        <v>6</v>
      </c>
      <c r="N8" s="3550" t="s">
        <v>3523</v>
      </c>
      <c r="O8" s="3550">
        <v>66.42</v>
      </c>
      <c r="P8" s="3550" t="s">
        <v>3524</v>
      </c>
      <c r="Q8" s="3550">
        <v>568000</v>
      </c>
      <c r="R8" s="3550">
        <v>6798</v>
      </c>
      <c r="S8" s="3553">
        <v>52.21</v>
      </c>
      <c r="T8" s="3554">
        <v>522100</v>
      </c>
      <c r="U8" s="3550">
        <v>6250</v>
      </c>
      <c r="V8" s="3555">
        <v>0.2</v>
      </c>
      <c r="W8" s="3556">
        <v>41.76</v>
      </c>
      <c r="X8" s="3557">
        <v>417600</v>
      </c>
      <c r="Y8" s="3550">
        <v>2009</v>
      </c>
      <c r="Z8" s="3550">
        <v>7</v>
      </c>
      <c r="AA8" s="3550">
        <v>29</v>
      </c>
      <c r="AB8" s="3550">
        <v>1500</v>
      </c>
      <c r="AC8" s="3550" t="s">
        <v>3525</v>
      </c>
      <c r="AD8" s="3551" t="s">
        <v>3583</v>
      </c>
      <c r="AE8" s="3550" t="s">
        <v>3502</v>
      </c>
      <c r="AF8" s="3550" t="s">
        <v>3503</v>
      </c>
      <c r="AG8" s="3550" t="s">
        <v>3504</v>
      </c>
      <c r="AH8" s="3550"/>
      <c r="AI8" s="3550" t="s">
        <v>3526</v>
      </c>
      <c r="AJ8" s="3550"/>
      <c r="AK8" s="3550" t="s">
        <v>3584</v>
      </c>
      <c r="AL8" s="3550">
        <v>41</v>
      </c>
      <c r="AM8" s="3550" t="s">
        <v>3585</v>
      </c>
      <c r="AN8" s="3567">
        <v>40003</v>
      </c>
      <c r="AO8" s="3550"/>
      <c r="AP8" s="3550" t="s">
        <v>3574</v>
      </c>
      <c r="AQ8" s="3568">
        <v>40004</v>
      </c>
      <c r="AR8" s="3568"/>
      <c r="AS8" s="3550" t="s">
        <v>3586</v>
      </c>
      <c r="AT8" s="3550" t="s">
        <v>3560</v>
      </c>
      <c r="AU8" s="3550" t="s">
        <v>3511</v>
      </c>
      <c r="AV8" s="3550" t="s">
        <v>3512</v>
      </c>
      <c r="AW8" s="3550"/>
      <c r="AX8" s="3558">
        <v>7861</v>
      </c>
      <c r="AY8" s="3558">
        <v>8552</v>
      </c>
      <c r="AZ8" s="3564" t="s">
        <v>3575</v>
      </c>
      <c r="BA8" s="3564" t="s">
        <v>3514</v>
      </c>
      <c r="BB8" s="3565"/>
      <c r="BC8" s="3569"/>
      <c r="BD8" s="3569"/>
      <c r="BE8" s="3569"/>
      <c r="BF8" s="3569"/>
      <c r="BG8" s="3569"/>
      <c r="BH8" s="3569"/>
      <c r="BI8" s="3569"/>
      <c r="BJ8" s="3569"/>
      <c r="BK8" s="3569"/>
      <c r="BL8" s="3569"/>
      <c r="BM8" s="3569"/>
      <c r="BN8" s="3569"/>
      <c r="BO8" s="3569"/>
      <c r="BP8" s="3569"/>
      <c r="BQ8" s="3569"/>
      <c r="BR8" s="3569"/>
      <c r="BS8" s="3569"/>
      <c r="BT8" s="3569"/>
      <c r="BU8" s="3569"/>
      <c r="BV8" s="3569"/>
      <c r="BW8" s="3569"/>
      <c r="BX8" s="3569"/>
      <c r="BY8" s="3569"/>
      <c r="BZ8" s="3569"/>
      <c r="CA8" s="3569"/>
      <c r="CB8" s="3569"/>
      <c r="CC8" s="3569"/>
      <c r="CD8" s="3569"/>
      <c r="CE8" s="3569"/>
      <c r="CF8" s="3569"/>
      <c r="CG8" s="3569"/>
      <c r="CH8" s="3569"/>
      <c r="CI8" s="3569"/>
      <c r="CJ8" s="3569"/>
      <c r="CK8" s="3569"/>
      <c r="CL8" s="3569"/>
      <c r="CM8" s="3569"/>
      <c r="CN8" s="3569"/>
      <c r="CO8" s="3569"/>
      <c r="CP8" s="3569"/>
      <c r="CQ8" s="3569"/>
      <c r="CR8" s="3569"/>
      <c r="CS8" s="3569"/>
      <c r="CT8" s="3569"/>
      <c r="CU8" s="3569"/>
      <c r="CV8" s="3569"/>
      <c r="CW8" s="3569"/>
      <c r="CX8" s="3569"/>
      <c r="CY8" s="3569"/>
      <c r="CZ8" s="3569"/>
      <c r="DA8" s="3569"/>
      <c r="DB8" s="3569"/>
      <c r="DC8" s="3569"/>
      <c r="DD8" s="3569"/>
      <c r="DE8" s="3569"/>
      <c r="DF8" s="3569"/>
      <c r="DG8" s="3569"/>
      <c r="DH8" s="3569"/>
      <c r="DI8" s="3569"/>
      <c r="DJ8" s="3569"/>
      <c r="DK8" s="3569"/>
      <c r="DL8" s="3569"/>
      <c r="DM8" s="3569"/>
      <c r="DN8" s="3569"/>
      <c r="DO8" s="3569"/>
      <c r="DP8" s="3569"/>
      <c r="DQ8" s="3569"/>
      <c r="DR8" s="3569"/>
      <c r="DS8" s="3569"/>
      <c r="DT8" s="3569"/>
      <c r="DU8" s="3569"/>
      <c r="DV8" s="3569"/>
      <c r="DW8" s="3569"/>
      <c r="DX8" s="3569"/>
      <c r="DY8" s="3569"/>
      <c r="DZ8" s="3569"/>
      <c r="EA8" s="3569"/>
      <c r="EB8" s="3569"/>
      <c r="EC8" s="3569"/>
      <c r="ED8" s="3569"/>
      <c r="EE8" s="3569"/>
      <c r="EF8" s="3569"/>
      <c r="EG8" s="3569"/>
      <c r="EH8" s="3569"/>
      <c r="EI8" s="3569"/>
      <c r="EJ8" s="3569"/>
      <c r="EK8" s="3569"/>
      <c r="EL8" s="3569"/>
      <c r="EM8" s="3569"/>
      <c r="EN8" s="3569"/>
      <c r="EO8" s="3569"/>
      <c r="EP8" s="3569"/>
      <c r="EQ8" s="3569"/>
      <c r="ER8" s="3569"/>
      <c r="ES8" s="3569"/>
      <c r="ET8" s="3569"/>
      <c r="EU8" s="3569"/>
      <c r="EV8" s="3569"/>
      <c r="EW8" s="3569"/>
      <c r="EX8" s="3569"/>
      <c r="EY8" s="3569"/>
      <c r="EZ8" s="3569"/>
      <c r="FA8" s="3569"/>
      <c r="FB8" s="3569"/>
      <c r="FC8" s="3569"/>
      <c r="FD8" s="3569"/>
      <c r="FE8" s="3569"/>
      <c r="FF8" s="3569"/>
      <c r="FG8" s="3569"/>
      <c r="FH8" s="3569"/>
      <c r="FI8" s="3569"/>
      <c r="FJ8" s="3569"/>
      <c r="FK8" s="3569"/>
      <c r="FL8" s="3569"/>
      <c r="FM8" s="3569"/>
      <c r="FN8" s="3569"/>
      <c r="FO8" s="3569"/>
      <c r="FP8" s="3569"/>
      <c r="FQ8" s="3569"/>
      <c r="FR8" s="3569"/>
      <c r="FS8" s="3569"/>
      <c r="FT8" s="3569"/>
      <c r="FU8" s="3569"/>
      <c r="FV8" s="3569"/>
      <c r="FW8" s="3569"/>
      <c r="FX8" s="3569"/>
      <c r="FY8" s="3569"/>
      <c r="FZ8" s="3569"/>
      <c r="GA8" s="3569"/>
      <c r="GB8" s="3569"/>
      <c r="GC8" s="3569"/>
      <c r="GD8" s="3569"/>
      <c r="GE8" s="3569"/>
      <c r="GF8" s="3569"/>
      <c r="GG8" s="3569"/>
      <c r="GH8" s="3569"/>
      <c r="GI8" s="3569"/>
      <c r="GJ8" s="3569"/>
      <c r="GK8" s="3569"/>
      <c r="GL8" s="3569"/>
      <c r="GM8" s="3569"/>
      <c r="GN8" s="3569"/>
      <c r="GO8" s="3569"/>
      <c r="GP8" s="3569"/>
      <c r="GQ8" s="3569"/>
      <c r="GR8" s="3569"/>
      <c r="GS8" s="3569"/>
      <c r="GT8" s="3569"/>
      <c r="GU8" s="3569"/>
      <c r="GV8" s="3569"/>
      <c r="GW8" s="3569"/>
      <c r="GX8" s="3569"/>
      <c r="GY8" s="3569"/>
      <c r="GZ8" s="3569"/>
      <c r="HA8" s="3569"/>
      <c r="HB8" s="3569"/>
      <c r="HC8" s="3569"/>
      <c r="HD8" s="3569"/>
      <c r="HE8" s="3569"/>
      <c r="HF8" s="3569"/>
      <c r="HG8" s="3569"/>
      <c r="HH8" s="3569"/>
      <c r="HI8" s="3569"/>
      <c r="HJ8" s="3569"/>
      <c r="HK8" s="3569"/>
      <c r="HL8" s="3569"/>
      <c r="HM8" s="3569"/>
      <c r="HN8" s="3569"/>
      <c r="HO8" s="3569"/>
      <c r="HP8" s="3569"/>
      <c r="HQ8" s="3569"/>
      <c r="HR8" s="3569"/>
      <c r="HS8" s="3569"/>
      <c r="HT8" s="3569"/>
      <c r="HU8" s="3569"/>
      <c r="HV8" s="3569"/>
      <c r="HW8" s="3569"/>
      <c r="HX8" s="3569"/>
      <c r="HY8" s="3569"/>
      <c r="HZ8" s="3569"/>
      <c r="IA8" s="3569"/>
      <c r="IB8" s="3569"/>
      <c r="IC8" s="3569"/>
    </row>
    <row r="9" spans="1:237">
      <c r="A9" s="3501" t="s">
        <v>3587</v>
      </c>
      <c r="B9" s="3501" t="s">
        <v>3588</v>
      </c>
      <c r="C9" s="3502" t="s">
        <v>3589</v>
      </c>
      <c r="D9" s="3501">
        <v>13651349126</v>
      </c>
      <c r="E9" s="3501" t="s">
        <v>2769</v>
      </c>
      <c r="F9" s="3501" t="s">
        <v>3494</v>
      </c>
      <c r="G9" s="3501"/>
      <c r="H9" s="3501" t="s">
        <v>3566</v>
      </c>
      <c r="I9" s="3501" t="s">
        <v>3590</v>
      </c>
      <c r="J9" s="3501" t="s">
        <v>3591</v>
      </c>
      <c r="K9" s="3501" t="s">
        <v>3588</v>
      </c>
      <c r="L9" s="3501">
        <v>82.57</v>
      </c>
      <c r="M9" s="3501">
        <v>4</v>
      </c>
      <c r="N9" s="3501" t="s">
        <v>3523</v>
      </c>
      <c r="O9" s="3501">
        <v>70.180000000000007</v>
      </c>
      <c r="P9" s="3501" t="s">
        <v>3524</v>
      </c>
      <c r="Q9" s="3501">
        <v>260000</v>
      </c>
      <c r="R9" s="3501">
        <v>3149</v>
      </c>
      <c r="S9" s="3505">
        <v>54.16</v>
      </c>
      <c r="T9" s="3506">
        <v>541600</v>
      </c>
      <c r="U9" s="3501">
        <v>6560</v>
      </c>
      <c r="V9" s="3507">
        <v>0.2</v>
      </c>
      <c r="W9" s="3508">
        <v>43.32</v>
      </c>
      <c r="X9" s="3509">
        <v>433200</v>
      </c>
      <c r="Y9" s="3501">
        <v>2009</v>
      </c>
      <c r="Z9" s="3501">
        <v>7</v>
      </c>
      <c r="AA9" s="3501">
        <v>31</v>
      </c>
      <c r="AB9" s="3501">
        <v>1500</v>
      </c>
      <c r="AC9" s="3501" t="s">
        <v>3525</v>
      </c>
      <c r="AD9" s="3502" t="s">
        <v>3592</v>
      </c>
      <c r="AE9" s="3501" t="s">
        <v>3502</v>
      </c>
      <c r="AF9" s="3501" t="s">
        <v>3593</v>
      </c>
      <c r="AG9" s="3501" t="s">
        <v>3504</v>
      </c>
      <c r="AH9" s="3501"/>
      <c r="AI9" s="3501" t="s">
        <v>3526</v>
      </c>
      <c r="AJ9" s="3501"/>
      <c r="AK9" s="3501" t="s">
        <v>3594</v>
      </c>
      <c r="AL9" s="3501">
        <v>44</v>
      </c>
      <c r="AM9" s="3501" t="s">
        <v>3595</v>
      </c>
      <c r="AN9" s="3522">
        <v>40018</v>
      </c>
      <c r="AO9" s="3501"/>
      <c r="AP9" s="3501" t="s">
        <v>3574</v>
      </c>
      <c r="AQ9" s="3523">
        <v>40018</v>
      </c>
      <c r="AR9" s="3523"/>
      <c r="AS9" s="3501" t="s">
        <v>3509</v>
      </c>
      <c r="AT9" s="3501" t="s">
        <v>3510</v>
      </c>
      <c r="AU9" s="3501" t="s">
        <v>3511</v>
      </c>
      <c r="AV9" s="3501" t="s">
        <v>3512</v>
      </c>
      <c r="AW9" s="3501"/>
      <c r="AX9" s="3497">
        <v>7717</v>
      </c>
      <c r="AY9" s="3497">
        <v>3705</v>
      </c>
      <c r="AZ9" s="3515" t="s">
        <v>3575</v>
      </c>
      <c r="BA9" s="3515" t="s">
        <v>3514</v>
      </c>
      <c r="BB9" s="3516"/>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c r="IA9" s="3520"/>
      <c r="IB9" s="3520"/>
      <c r="IC9" s="3520"/>
    </row>
    <row r="10" spans="1:237">
      <c r="A10" s="3524" t="s">
        <v>3596</v>
      </c>
      <c r="B10" s="3501" t="s">
        <v>3597</v>
      </c>
      <c r="C10" s="3502" t="s">
        <v>3598</v>
      </c>
      <c r="D10" s="3501">
        <v>13699258395</v>
      </c>
      <c r="E10" s="3501" t="s">
        <v>2769</v>
      </c>
      <c r="F10" s="3501" t="s">
        <v>3599</v>
      </c>
      <c r="G10" s="3501"/>
      <c r="H10" s="3501" t="s">
        <v>3600</v>
      </c>
      <c r="I10" s="3501" t="s">
        <v>3601</v>
      </c>
      <c r="J10" s="3501" t="s">
        <v>3602</v>
      </c>
      <c r="K10" s="3501" t="s">
        <v>3603</v>
      </c>
      <c r="L10" s="3501">
        <v>83.55</v>
      </c>
      <c r="M10" s="3501">
        <v>6</v>
      </c>
      <c r="N10" s="3501" t="s">
        <v>3523</v>
      </c>
      <c r="O10" s="3501"/>
      <c r="P10" s="3501" t="s">
        <v>3524</v>
      </c>
      <c r="Q10" s="3501">
        <v>320000</v>
      </c>
      <c r="R10" s="3501">
        <v>3830</v>
      </c>
      <c r="S10" s="3505">
        <v>60.57</v>
      </c>
      <c r="T10" s="3506">
        <v>605700</v>
      </c>
      <c r="U10" s="3501">
        <v>7250</v>
      </c>
      <c r="V10" s="3507">
        <v>0.2</v>
      </c>
      <c r="W10" s="3508">
        <v>48.45</v>
      </c>
      <c r="X10" s="3509">
        <v>484500</v>
      </c>
      <c r="Y10" s="3497">
        <v>2009</v>
      </c>
      <c r="Z10" s="3497">
        <v>9</v>
      </c>
      <c r="AA10" s="3501">
        <v>2</v>
      </c>
      <c r="AB10" s="3501">
        <v>1500</v>
      </c>
      <c r="AC10" s="3501" t="s">
        <v>3525</v>
      </c>
      <c r="AD10" s="3501">
        <v>91162009080084</v>
      </c>
      <c r="AE10" s="3501" t="s">
        <v>3604</v>
      </c>
      <c r="AF10" s="3501" t="s">
        <v>3503</v>
      </c>
      <c r="AG10" s="3501" t="s">
        <v>3504</v>
      </c>
      <c r="AH10" s="3501">
        <v>6941</v>
      </c>
      <c r="AI10" s="3501" t="s">
        <v>3526</v>
      </c>
      <c r="AJ10" s="3501"/>
      <c r="AK10" s="3512" t="s">
        <v>3605</v>
      </c>
      <c r="AL10" s="3501">
        <v>41</v>
      </c>
      <c r="AM10" s="3501"/>
      <c r="AN10" s="3522">
        <v>40035</v>
      </c>
      <c r="AO10" s="3501"/>
      <c r="AP10" s="3497" t="s">
        <v>3606</v>
      </c>
      <c r="AQ10" s="3523">
        <v>40035</v>
      </c>
      <c r="AR10" s="3523"/>
      <c r="AS10" s="3501" t="s">
        <v>3509</v>
      </c>
      <c r="AT10" s="3497" t="s">
        <v>3560</v>
      </c>
      <c r="AU10" s="3501"/>
      <c r="AV10" s="3501" t="s">
        <v>3607</v>
      </c>
      <c r="AW10" s="3501"/>
      <c r="AX10" s="3497" t="e">
        <v>#DIV/0!</v>
      </c>
      <c r="AY10" s="3497" t="e">
        <v>#DIV/0!</v>
      </c>
      <c r="AZ10" s="3515" t="s">
        <v>3608</v>
      </c>
      <c r="BA10" s="3515" t="s">
        <v>3514</v>
      </c>
      <c r="BB10" s="3516"/>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3520"/>
      <c r="IB10" s="3520"/>
      <c r="IC10" s="3520"/>
    </row>
    <row r="11" spans="1:237">
      <c r="A11" s="3525" t="s">
        <v>3609</v>
      </c>
      <c r="B11" s="3501" t="s">
        <v>3610</v>
      </c>
      <c r="C11" s="3502" t="s">
        <v>3611</v>
      </c>
      <c r="D11" s="3525">
        <v>13126611508</v>
      </c>
      <c r="E11" s="3501" t="s">
        <v>2769</v>
      </c>
      <c r="F11" s="3501" t="s">
        <v>3612</v>
      </c>
      <c r="G11" s="3501"/>
      <c r="H11" s="3501" t="s">
        <v>3613</v>
      </c>
      <c r="I11" s="3501" t="s">
        <v>3614</v>
      </c>
      <c r="J11" s="3501" t="s">
        <v>3615</v>
      </c>
      <c r="K11" s="3501" t="s">
        <v>3616</v>
      </c>
      <c r="L11" s="3501">
        <v>97.12</v>
      </c>
      <c r="M11" s="3501">
        <v>1</v>
      </c>
      <c r="N11" s="3501" t="s">
        <v>3523</v>
      </c>
      <c r="O11" s="3501"/>
      <c r="P11" s="3501" t="s">
        <v>3500</v>
      </c>
      <c r="Q11" s="3501">
        <v>500000</v>
      </c>
      <c r="R11" s="3501">
        <v>5148</v>
      </c>
      <c r="S11" s="3505">
        <v>68.03</v>
      </c>
      <c r="T11" s="3506">
        <v>680300</v>
      </c>
      <c r="U11" s="3501">
        <v>7005</v>
      </c>
      <c r="V11" s="3507">
        <v>0.2</v>
      </c>
      <c r="W11" s="3508">
        <v>54.42</v>
      </c>
      <c r="X11" s="3509">
        <v>544200</v>
      </c>
      <c r="Y11" s="3501">
        <v>2009</v>
      </c>
      <c r="Z11" s="3501">
        <v>8</v>
      </c>
      <c r="AA11" s="3501">
        <v>21</v>
      </c>
      <c r="AB11" s="3501">
        <v>1500</v>
      </c>
      <c r="AC11" s="3501" t="s">
        <v>3617</v>
      </c>
      <c r="AD11" s="3501">
        <v>91162009080065</v>
      </c>
      <c r="AE11" s="3501" t="s">
        <v>3502</v>
      </c>
      <c r="AF11" s="3501" t="s">
        <v>3503</v>
      </c>
      <c r="AG11" s="3501" t="s">
        <v>3504</v>
      </c>
      <c r="AH11" s="3501">
        <v>7928</v>
      </c>
      <c r="AI11" s="3501" t="s">
        <v>3618</v>
      </c>
      <c r="AJ11" s="3501"/>
      <c r="AK11" s="3512">
        <v>8</v>
      </c>
      <c r="AL11" s="3501">
        <v>35</v>
      </c>
      <c r="AM11" s="3501" t="s">
        <v>3619</v>
      </c>
      <c r="AN11" s="3522">
        <v>40031</v>
      </c>
      <c r="AO11" s="3501"/>
      <c r="AP11" s="3501" t="s">
        <v>3513</v>
      </c>
      <c r="AQ11" s="3523">
        <v>40031</v>
      </c>
      <c r="AR11" s="3523"/>
      <c r="AS11" s="3501" t="s">
        <v>3509</v>
      </c>
      <c r="AT11" s="3501" t="s">
        <v>3560</v>
      </c>
      <c r="AU11" s="3501" t="s">
        <v>3511</v>
      </c>
      <c r="AV11" s="3501" t="s">
        <v>3620</v>
      </c>
      <c r="AW11" s="3501"/>
      <c r="AX11" s="3497" t="e">
        <v>#DIV/0!</v>
      </c>
      <c r="AY11" s="3497" t="e">
        <v>#DIV/0!</v>
      </c>
      <c r="AZ11" s="3515" t="s">
        <v>3513</v>
      </c>
      <c r="BA11" s="3515" t="s">
        <v>3514</v>
      </c>
      <c r="BB11" s="3516"/>
      <c r="BC11" s="3520"/>
      <c r="BD11" s="3520"/>
      <c r="BE11" s="3520"/>
      <c r="BF11" s="3520"/>
      <c r="BG11" s="3520"/>
      <c r="BH11" s="3520"/>
      <c r="BI11" s="3520"/>
      <c r="BJ11" s="3520"/>
      <c r="BK11" s="3520"/>
      <c r="BL11" s="3520"/>
      <c r="BM11" s="3520"/>
      <c r="BN11" s="3520"/>
      <c r="BO11" s="3520"/>
      <c r="BP11" s="3520"/>
      <c r="BQ11" s="3520"/>
      <c r="BR11" s="3520"/>
      <c r="BS11" s="3520"/>
      <c r="BT11" s="3520"/>
      <c r="BU11" s="3520"/>
      <c r="BV11" s="3520"/>
      <c r="BW11" s="3520"/>
      <c r="BX11" s="3520"/>
      <c r="BY11" s="3520"/>
      <c r="BZ11" s="3520"/>
      <c r="CA11" s="3520"/>
      <c r="CB11" s="3520"/>
      <c r="CC11" s="3520"/>
      <c r="CD11" s="3520"/>
      <c r="CE11" s="3520"/>
      <c r="CF11" s="3520"/>
      <c r="CG11" s="3520"/>
      <c r="CH11" s="3520"/>
      <c r="CI11" s="3520"/>
      <c r="CJ11" s="3520"/>
      <c r="CK11" s="3520"/>
      <c r="CL11" s="3520"/>
      <c r="CM11" s="3520"/>
      <c r="CN11" s="3520"/>
      <c r="CO11" s="3520"/>
      <c r="CP11" s="3520"/>
      <c r="CQ11" s="3520"/>
      <c r="CR11" s="3520"/>
      <c r="CS11" s="3520"/>
      <c r="CT11" s="3520"/>
      <c r="CU11" s="3520"/>
      <c r="CV11" s="3520"/>
      <c r="CW11" s="3520"/>
      <c r="CX11" s="3520"/>
      <c r="CY11" s="3520"/>
      <c r="CZ11" s="3520"/>
      <c r="DA11" s="3520"/>
      <c r="DB11" s="3520"/>
      <c r="DC11" s="3520"/>
      <c r="DD11" s="3520"/>
      <c r="DE11" s="3520"/>
      <c r="DF11" s="3520"/>
      <c r="DG11" s="3520"/>
      <c r="DH11" s="3520"/>
      <c r="DI11" s="3520"/>
      <c r="DJ11" s="3520"/>
      <c r="DK11" s="3520"/>
      <c r="DL11" s="3520"/>
      <c r="DM11" s="3520"/>
      <c r="DN11" s="3520"/>
      <c r="DO11" s="3520"/>
      <c r="DP11" s="3520"/>
      <c r="DQ11" s="3520"/>
      <c r="DR11" s="3520"/>
      <c r="DS11" s="3520"/>
      <c r="DT11" s="3520"/>
      <c r="DU11" s="3520"/>
      <c r="DV11" s="3520"/>
      <c r="DW11" s="3520"/>
      <c r="DX11" s="3520"/>
      <c r="DY11" s="3520"/>
      <c r="DZ11" s="3520"/>
      <c r="EA11" s="3520"/>
      <c r="EB11" s="3520"/>
      <c r="EC11" s="3520"/>
      <c r="ED11" s="3520"/>
      <c r="EE11" s="3520"/>
      <c r="EF11" s="3520"/>
      <c r="EG11" s="3520"/>
      <c r="EH11" s="3520"/>
      <c r="EI11" s="3520"/>
      <c r="EJ11" s="3520"/>
      <c r="EK11" s="3520"/>
      <c r="EL11" s="3520"/>
      <c r="EM11" s="3520"/>
      <c r="EN11" s="3520"/>
      <c r="EO11" s="3520"/>
      <c r="EP11" s="3520"/>
      <c r="EQ11" s="3520"/>
      <c r="ER11" s="3520"/>
      <c r="ES11" s="3520"/>
      <c r="ET11" s="3520"/>
      <c r="EU11" s="3520"/>
      <c r="EV11" s="3520"/>
      <c r="EW11" s="3520"/>
      <c r="EX11" s="3520"/>
      <c r="EY11" s="3520"/>
      <c r="EZ11" s="3520"/>
      <c r="FA11" s="3520"/>
      <c r="FB11" s="3520"/>
      <c r="FC11" s="3520"/>
      <c r="FD11" s="3520"/>
      <c r="FE11" s="3520"/>
      <c r="FF11" s="3520"/>
      <c r="FG11" s="3520"/>
      <c r="FH11" s="3520"/>
      <c r="FI11" s="3520"/>
      <c r="FJ11" s="3520"/>
      <c r="FK11" s="3520"/>
      <c r="FL11" s="3520"/>
      <c r="FM11" s="3520"/>
      <c r="FN11" s="3520"/>
      <c r="FO11" s="3520"/>
      <c r="FP11" s="3520"/>
      <c r="FQ11" s="3520"/>
      <c r="FR11" s="3520"/>
      <c r="FS11" s="3520"/>
      <c r="FT11" s="3520"/>
      <c r="FU11" s="3520"/>
      <c r="FV11" s="3520"/>
      <c r="FW11" s="3520"/>
      <c r="FX11" s="3520"/>
      <c r="FY11" s="3520"/>
      <c r="FZ11" s="3520"/>
      <c r="GA11" s="3520"/>
      <c r="GB11" s="3520"/>
      <c r="GC11" s="3520"/>
      <c r="GD11" s="3520"/>
      <c r="GE11" s="3520"/>
      <c r="GF11" s="3520"/>
      <c r="GG11" s="3520"/>
      <c r="GH11" s="3520"/>
      <c r="GI11" s="3520"/>
      <c r="GJ11" s="3520"/>
      <c r="GK11" s="3520"/>
      <c r="GL11" s="3520"/>
      <c r="GM11" s="3520"/>
      <c r="GN11" s="3520"/>
      <c r="GO11" s="3520"/>
      <c r="GP11" s="3520"/>
      <c r="GQ11" s="3520"/>
      <c r="GR11" s="3520"/>
      <c r="GS11" s="3520"/>
      <c r="GT11" s="3520"/>
      <c r="GU11" s="3520"/>
      <c r="GV11" s="3520"/>
      <c r="GW11" s="3520"/>
      <c r="GX11" s="3520"/>
      <c r="GY11" s="3520"/>
      <c r="GZ11" s="3520"/>
      <c r="HA11" s="3520"/>
      <c r="HB11" s="3520"/>
      <c r="HC11" s="3520"/>
      <c r="HD11" s="3520"/>
      <c r="HE11" s="3520"/>
      <c r="HF11" s="3520"/>
      <c r="HG11" s="3520"/>
      <c r="HH11" s="3520"/>
      <c r="HI11" s="3520"/>
      <c r="HJ11" s="3520"/>
      <c r="HK11" s="3520"/>
      <c r="HL11" s="3520"/>
      <c r="HM11" s="3520"/>
      <c r="HN11" s="3520"/>
      <c r="HO11" s="3520"/>
      <c r="HP11" s="3520"/>
      <c r="HQ11" s="3520"/>
      <c r="HR11" s="3520"/>
      <c r="HS11" s="3520"/>
      <c r="HT11" s="3520"/>
      <c r="HU11" s="3520"/>
      <c r="HV11" s="3520"/>
      <c r="HW11" s="3520"/>
      <c r="HX11" s="3520"/>
      <c r="HY11" s="3520"/>
      <c r="HZ11" s="3520"/>
      <c r="IA11" s="3520"/>
      <c r="IB11" s="3520"/>
      <c r="IC11" s="3520"/>
    </row>
    <row r="12" spans="1:237">
      <c r="A12" s="3525" t="s">
        <v>3621</v>
      </c>
      <c r="B12" s="3501" t="s">
        <v>3622</v>
      </c>
      <c r="C12" s="3502" t="s">
        <v>3623</v>
      </c>
      <c r="D12" s="3501">
        <v>13671002492</v>
      </c>
      <c r="E12" s="3501" t="s">
        <v>2769</v>
      </c>
      <c r="F12" s="3501" t="s">
        <v>3494</v>
      </c>
      <c r="G12" s="3501"/>
      <c r="H12" s="3501" t="s">
        <v>3624</v>
      </c>
      <c r="I12" s="3501" t="s">
        <v>3625</v>
      </c>
      <c r="J12" s="3501" t="s">
        <v>3591</v>
      </c>
      <c r="K12" s="3501" t="s">
        <v>3626</v>
      </c>
      <c r="L12" s="3501">
        <v>84.28</v>
      </c>
      <c r="M12" s="3502" t="s">
        <v>3627</v>
      </c>
      <c r="N12" s="3501" t="s">
        <v>3523</v>
      </c>
      <c r="O12" s="3501">
        <v>72</v>
      </c>
      <c r="P12" s="3501" t="s">
        <v>3524</v>
      </c>
      <c r="Q12" s="3501">
        <v>380000</v>
      </c>
      <c r="R12" s="3501">
        <v>4509</v>
      </c>
      <c r="S12" s="3505">
        <v>63.63</v>
      </c>
      <c r="T12" s="3506">
        <v>636300</v>
      </c>
      <c r="U12" s="3501">
        <v>7550</v>
      </c>
      <c r="V12" s="3507">
        <v>0.2</v>
      </c>
      <c r="W12" s="3508">
        <v>50.9</v>
      </c>
      <c r="X12" s="3509">
        <v>509000</v>
      </c>
      <c r="Y12" s="3501">
        <v>2009</v>
      </c>
      <c r="Z12" s="3501">
        <v>9</v>
      </c>
      <c r="AA12" s="3501">
        <v>21</v>
      </c>
      <c r="AB12" s="3501">
        <v>1500</v>
      </c>
      <c r="AC12" s="3501" t="s">
        <v>3525</v>
      </c>
      <c r="AD12" s="3501">
        <v>91162009090105</v>
      </c>
      <c r="AE12" s="3501" t="s">
        <v>3502</v>
      </c>
      <c r="AF12" s="3501" t="s">
        <v>3503</v>
      </c>
      <c r="AG12" s="3501" t="s">
        <v>3504</v>
      </c>
      <c r="AH12" s="3501"/>
      <c r="AI12" s="3501" t="s">
        <v>3526</v>
      </c>
      <c r="AJ12" s="3501"/>
      <c r="AK12" s="3501" t="s">
        <v>3605</v>
      </c>
      <c r="AL12" s="3501">
        <v>41</v>
      </c>
      <c r="AM12" s="3501">
        <v>8305</v>
      </c>
      <c r="AN12" s="3522">
        <v>40063</v>
      </c>
      <c r="AO12" s="3501"/>
      <c r="AP12" s="3501" t="s">
        <v>3606</v>
      </c>
      <c r="AQ12" s="3523">
        <v>40064</v>
      </c>
      <c r="AR12" s="3523"/>
      <c r="AS12" s="3501" t="s">
        <v>3509</v>
      </c>
      <c r="AT12" s="3501" t="s">
        <v>3510</v>
      </c>
      <c r="AU12" s="3501"/>
      <c r="AV12" s="3501" t="s">
        <v>3512</v>
      </c>
      <c r="AW12" s="3501"/>
      <c r="AX12" s="3497">
        <v>8838</v>
      </c>
      <c r="AY12" s="3497">
        <v>5278</v>
      </c>
      <c r="AZ12" s="3515" t="s">
        <v>3608</v>
      </c>
      <c r="BA12" s="3515" t="s">
        <v>3514</v>
      </c>
      <c r="BB12" s="3516"/>
      <c r="BC12" s="3520"/>
      <c r="BD12" s="3520"/>
      <c r="BE12" s="3520"/>
      <c r="BF12" s="3520"/>
      <c r="BG12" s="3520"/>
      <c r="BH12" s="3520"/>
      <c r="BI12" s="3520"/>
      <c r="BJ12" s="3520"/>
      <c r="BK12" s="3520"/>
      <c r="BL12" s="3520"/>
      <c r="BM12" s="3520"/>
      <c r="BN12" s="3520"/>
      <c r="BO12" s="3520"/>
      <c r="BP12" s="3520"/>
      <c r="BQ12" s="3520"/>
      <c r="BR12" s="3520"/>
      <c r="BS12" s="3520"/>
      <c r="BT12" s="3520"/>
      <c r="BU12" s="3520"/>
      <c r="BV12" s="3520"/>
      <c r="BW12" s="3520"/>
      <c r="BX12" s="3520"/>
      <c r="BY12" s="3520"/>
      <c r="BZ12" s="3520"/>
      <c r="CA12" s="3520"/>
      <c r="CB12" s="3520"/>
      <c r="CC12" s="3520"/>
      <c r="CD12" s="3520"/>
      <c r="CE12" s="3520"/>
      <c r="CF12" s="3520"/>
      <c r="CG12" s="3520"/>
      <c r="CH12" s="3520"/>
      <c r="CI12" s="3520"/>
      <c r="CJ12" s="3520"/>
      <c r="CK12" s="3520"/>
      <c r="CL12" s="3520"/>
      <c r="CM12" s="3520"/>
      <c r="CN12" s="3520"/>
      <c r="CO12" s="3520"/>
      <c r="CP12" s="3520"/>
      <c r="CQ12" s="3520"/>
      <c r="CR12" s="3520"/>
      <c r="CS12" s="3520"/>
      <c r="CT12" s="3520"/>
      <c r="CU12" s="3520"/>
      <c r="CV12" s="3520"/>
      <c r="CW12" s="3520"/>
      <c r="CX12" s="3520"/>
      <c r="CY12" s="3520"/>
      <c r="CZ12" s="3520"/>
      <c r="DA12" s="3520"/>
      <c r="DB12" s="3520"/>
      <c r="DC12" s="3520"/>
      <c r="DD12" s="3520"/>
      <c r="DE12" s="3520"/>
      <c r="DF12" s="3520"/>
      <c r="DG12" s="3520"/>
      <c r="DH12" s="3520"/>
      <c r="DI12" s="3520"/>
      <c r="DJ12" s="3520"/>
      <c r="DK12" s="3520"/>
      <c r="DL12" s="3520"/>
      <c r="DM12" s="3520"/>
      <c r="DN12" s="3520"/>
      <c r="DO12" s="3520"/>
      <c r="DP12" s="3520"/>
      <c r="DQ12" s="3520"/>
      <c r="DR12" s="3520"/>
      <c r="DS12" s="3520"/>
      <c r="DT12" s="3520"/>
      <c r="DU12" s="3520"/>
      <c r="DV12" s="3520"/>
      <c r="DW12" s="3520"/>
      <c r="DX12" s="3520"/>
      <c r="DY12" s="3520"/>
      <c r="DZ12" s="3520"/>
      <c r="EA12" s="3520"/>
      <c r="EB12" s="3520"/>
      <c r="EC12" s="3520"/>
      <c r="ED12" s="3520"/>
      <c r="EE12" s="3520"/>
      <c r="EF12" s="3520"/>
      <c r="EG12" s="3520"/>
      <c r="EH12" s="3520"/>
      <c r="EI12" s="3520"/>
      <c r="EJ12" s="3520"/>
      <c r="EK12" s="3520"/>
      <c r="EL12" s="3520"/>
      <c r="EM12" s="3520"/>
      <c r="EN12" s="3520"/>
      <c r="EO12" s="3520"/>
      <c r="EP12" s="3520"/>
      <c r="EQ12" s="3520"/>
      <c r="ER12" s="3520"/>
      <c r="ES12" s="3520"/>
      <c r="ET12" s="3520"/>
      <c r="EU12" s="3520"/>
      <c r="EV12" s="3520"/>
      <c r="EW12" s="3520"/>
      <c r="EX12" s="3520"/>
      <c r="EY12" s="3520"/>
      <c r="EZ12" s="3520"/>
      <c r="FA12" s="3520"/>
      <c r="FB12" s="3520"/>
      <c r="FC12" s="3520"/>
      <c r="FD12" s="3520"/>
      <c r="FE12" s="3520"/>
      <c r="FF12" s="3520"/>
      <c r="FG12" s="3520"/>
      <c r="FH12" s="3520"/>
      <c r="FI12" s="3520"/>
      <c r="FJ12" s="3520"/>
      <c r="FK12" s="3520"/>
      <c r="FL12" s="3520"/>
      <c r="FM12" s="3520"/>
      <c r="FN12" s="3520"/>
      <c r="FO12" s="3520"/>
      <c r="FP12" s="3520"/>
      <c r="FQ12" s="3520"/>
      <c r="FR12" s="3520"/>
      <c r="FS12" s="3520"/>
      <c r="FT12" s="3520"/>
      <c r="FU12" s="3520"/>
      <c r="FV12" s="3520"/>
      <c r="FW12" s="3520"/>
      <c r="FX12" s="3520"/>
      <c r="FY12" s="3520"/>
      <c r="FZ12" s="3520"/>
      <c r="GA12" s="3520"/>
      <c r="GB12" s="3520"/>
      <c r="GC12" s="3520"/>
      <c r="GD12" s="3520"/>
      <c r="GE12" s="3520"/>
      <c r="GF12" s="3520"/>
      <c r="GG12" s="3520"/>
      <c r="GH12" s="3520"/>
      <c r="GI12" s="3520"/>
      <c r="GJ12" s="3520"/>
      <c r="GK12" s="3520"/>
      <c r="GL12" s="3520"/>
      <c r="GM12" s="3520"/>
      <c r="GN12" s="3520"/>
      <c r="GO12" s="3520"/>
      <c r="GP12" s="3520"/>
      <c r="GQ12" s="3520"/>
      <c r="GR12" s="3520"/>
      <c r="GS12" s="3520"/>
      <c r="GT12" s="3520"/>
      <c r="GU12" s="3520"/>
      <c r="GV12" s="3520"/>
      <c r="GW12" s="3520"/>
      <c r="GX12" s="3520"/>
      <c r="GY12" s="3520"/>
      <c r="GZ12" s="3520"/>
      <c r="HA12" s="3520"/>
      <c r="HB12" s="3520"/>
      <c r="HC12" s="3520"/>
      <c r="HD12" s="3520"/>
      <c r="HE12" s="3520"/>
      <c r="HF12" s="3520"/>
      <c r="HG12" s="3520"/>
      <c r="HH12" s="3520"/>
      <c r="HI12" s="3520"/>
      <c r="HJ12" s="3520"/>
      <c r="HK12" s="3520"/>
      <c r="HL12" s="3520"/>
      <c r="HM12" s="3520"/>
      <c r="HN12" s="3520"/>
      <c r="HO12" s="3520"/>
      <c r="HP12" s="3520"/>
      <c r="HQ12" s="3520"/>
      <c r="HR12" s="3520"/>
      <c r="HS12" s="3520"/>
      <c r="HT12" s="3520"/>
      <c r="HU12" s="3520"/>
      <c r="HV12" s="3520"/>
      <c r="HW12" s="3520"/>
      <c r="HX12" s="3520"/>
      <c r="HY12" s="3520"/>
      <c r="HZ12" s="3520"/>
      <c r="IA12" s="3520"/>
      <c r="IB12" s="3520"/>
      <c r="IC12" s="3520"/>
    </row>
    <row r="13" spans="1:237" s="3472" customFormat="1">
      <c r="A13" s="3566" t="s">
        <v>3628</v>
      </c>
      <c r="B13" s="3550" t="s">
        <v>3629</v>
      </c>
      <c r="C13" s="3551" t="s">
        <v>3630</v>
      </c>
      <c r="D13" s="3550">
        <v>13910269388</v>
      </c>
      <c r="E13" s="3550" t="s">
        <v>2769</v>
      </c>
      <c r="F13" s="3550" t="s">
        <v>3631</v>
      </c>
      <c r="G13" s="3550"/>
      <c r="H13" s="3550" t="s">
        <v>3632</v>
      </c>
      <c r="I13" s="3550" t="s">
        <v>3633</v>
      </c>
      <c r="J13" s="3550" t="s">
        <v>3634</v>
      </c>
      <c r="K13" s="3550" t="s">
        <v>3635</v>
      </c>
      <c r="L13" s="3550">
        <v>123.73</v>
      </c>
      <c r="M13" s="3550">
        <v>3</v>
      </c>
      <c r="N13" s="3550" t="s">
        <v>3636</v>
      </c>
      <c r="O13" s="3550">
        <v>111.41</v>
      </c>
      <c r="P13" s="3550" t="s">
        <v>3524</v>
      </c>
      <c r="Q13" s="3550">
        <v>850000</v>
      </c>
      <c r="R13" s="3550">
        <v>6870</v>
      </c>
      <c r="S13" s="3553">
        <v>80.42</v>
      </c>
      <c r="T13" s="3554">
        <v>804200</v>
      </c>
      <c r="U13" s="3550">
        <v>6500</v>
      </c>
      <c r="V13" s="3555">
        <v>0.2</v>
      </c>
      <c r="W13" s="3556">
        <v>64.33</v>
      </c>
      <c r="X13" s="3557">
        <v>643300</v>
      </c>
      <c r="Y13" s="3550">
        <v>2009</v>
      </c>
      <c r="Z13" s="3550">
        <v>9</v>
      </c>
      <c r="AA13" s="3550">
        <v>16</v>
      </c>
      <c r="AB13" s="3550">
        <v>1500</v>
      </c>
      <c r="AC13" s="3550" t="s">
        <v>3525</v>
      </c>
      <c r="AD13" s="3550">
        <v>91162009090076</v>
      </c>
      <c r="AE13" s="3550" t="s">
        <v>3637</v>
      </c>
      <c r="AF13" s="3550" t="s">
        <v>3503</v>
      </c>
      <c r="AG13" s="3550" t="s">
        <v>3504</v>
      </c>
      <c r="AH13" s="3550">
        <v>6869</v>
      </c>
      <c r="AI13" s="3550" t="s">
        <v>3526</v>
      </c>
      <c r="AJ13" s="3550"/>
      <c r="AK13" s="3550" t="s">
        <v>3605</v>
      </c>
      <c r="AL13" s="3550">
        <v>39</v>
      </c>
      <c r="AM13" s="3550"/>
      <c r="AN13" s="3567">
        <v>40060</v>
      </c>
      <c r="AO13" s="3550"/>
      <c r="AP13" s="3550" t="s">
        <v>3606</v>
      </c>
      <c r="AQ13" s="3568">
        <v>40060</v>
      </c>
      <c r="AR13" s="3568"/>
      <c r="AS13" s="3550" t="s">
        <v>3509</v>
      </c>
      <c r="AT13" s="3550" t="s">
        <v>3560</v>
      </c>
      <c r="AU13" s="3550"/>
      <c r="AV13" s="3550" t="s">
        <v>3512</v>
      </c>
      <c r="AW13" s="3550"/>
      <c r="AX13" s="3558">
        <v>7218</v>
      </c>
      <c r="AY13" s="3558">
        <v>7629</v>
      </c>
      <c r="AZ13" s="3564" t="s">
        <v>3608</v>
      </c>
      <c r="BA13" s="3564" t="s">
        <v>3514</v>
      </c>
      <c r="BB13" s="3565"/>
      <c r="BC13" s="3569"/>
      <c r="BD13" s="3569"/>
      <c r="BE13" s="3569"/>
      <c r="BF13" s="3569"/>
      <c r="BG13" s="3569"/>
      <c r="BH13" s="3569"/>
      <c r="BI13" s="3569"/>
      <c r="BJ13" s="3569"/>
      <c r="BK13" s="3569"/>
      <c r="BL13" s="3569"/>
      <c r="BM13" s="3569"/>
      <c r="BN13" s="3569"/>
      <c r="BO13" s="3569"/>
      <c r="BP13" s="3569"/>
      <c r="BQ13" s="3569"/>
      <c r="BR13" s="3569"/>
      <c r="BS13" s="3569"/>
      <c r="BT13" s="3569"/>
      <c r="BU13" s="3569"/>
      <c r="BV13" s="3569"/>
      <c r="BW13" s="3569"/>
      <c r="BX13" s="3569"/>
      <c r="BY13" s="3569"/>
      <c r="BZ13" s="3569"/>
      <c r="CA13" s="3569"/>
      <c r="CB13" s="3569"/>
      <c r="CC13" s="3569"/>
      <c r="CD13" s="3569"/>
      <c r="CE13" s="3569"/>
      <c r="CF13" s="3569"/>
      <c r="CG13" s="3569"/>
      <c r="CH13" s="3569"/>
      <c r="CI13" s="3569"/>
      <c r="CJ13" s="3569"/>
      <c r="CK13" s="3569"/>
      <c r="CL13" s="3569"/>
      <c r="CM13" s="3569"/>
      <c r="CN13" s="3569"/>
      <c r="CO13" s="3569"/>
      <c r="CP13" s="3569"/>
      <c r="CQ13" s="3569"/>
      <c r="CR13" s="3569"/>
      <c r="CS13" s="3569"/>
      <c r="CT13" s="3569"/>
      <c r="CU13" s="3569"/>
      <c r="CV13" s="3569"/>
      <c r="CW13" s="3569"/>
      <c r="CX13" s="3569"/>
      <c r="CY13" s="3569"/>
      <c r="CZ13" s="3569"/>
      <c r="DA13" s="3569"/>
      <c r="DB13" s="3569"/>
      <c r="DC13" s="3569"/>
      <c r="DD13" s="3569"/>
      <c r="DE13" s="3569"/>
      <c r="DF13" s="3569"/>
      <c r="DG13" s="3569"/>
      <c r="DH13" s="3569"/>
      <c r="DI13" s="3569"/>
      <c r="DJ13" s="3569"/>
      <c r="DK13" s="3569"/>
      <c r="DL13" s="3569"/>
      <c r="DM13" s="3569"/>
      <c r="DN13" s="3569"/>
      <c r="DO13" s="3569"/>
      <c r="DP13" s="3569"/>
      <c r="DQ13" s="3569"/>
      <c r="DR13" s="3569"/>
      <c r="DS13" s="3569"/>
      <c r="DT13" s="3569"/>
      <c r="DU13" s="3569"/>
      <c r="DV13" s="3569"/>
      <c r="DW13" s="3569"/>
      <c r="DX13" s="3569"/>
      <c r="DY13" s="3569"/>
      <c r="DZ13" s="3569"/>
      <c r="EA13" s="3569"/>
      <c r="EB13" s="3569"/>
      <c r="EC13" s="3569"/>
      <c r="ED13" s="3569"/>
      <c r="EE13" s="3569"/>
      <c r="EF13" s="3569"/>
      <c r="EG13" s="3569"/>
      <c r="EH13" s="3569"/>
      <c r="EI13" s="3569"/>
      <c r="EJ13" s="3569"/>
      <c r="EK13" s="3569"/>
      <c r="EL13" s="3569"/>
      <c r="EM13" s="3569"/>
      <c r="EN13" s="3569"/>
      <c r="EO13" s="3569"/>
      <c r="EP13" s="3569"/>
      <c r="EQ13" s="3569"/>
      <c r="ER13" s="3569"/>
      <c r="ES13" s="3569"/>
      <c r="ET13" s="3569"/>
      <c r="EU13" s="3569"/>
      <c r="EV13" s="3569"/>
      <c r="EW13" s="3569"/>
      <c r="EX13" s="3569"/>
      <c r="EY13" s="3569"/>
      <c r="EZ13" s="3569"/>
      <c r="FA13" s="3569"/>
      <c r="FB13" s="3569"/>
      <c r="FC13" s="3569"/>
      <c r="FD13" s="3569"/>
      <c r="FE13" s="3569"/>
      <c r="FF13" s="3569"/>
      <c r="FG13" s="3569"/>
      <c r="FH13" s="3569"/>
      <c r="FI13" s="3569"/>
      <c r="FJ13" s="3569"/>
      <c r="FK13" s="3569"/>
      <c r="FL13" s="3569"/>
      <c r="FM13" s="3569"/>
      <c r="FN13" s="3569"/>
      <c r="FO13" s="3569"/>
      <c r="FP13" s="3569"/>
      <c r="FQ13" s="3569"/>
      <c r="FR13" s="3569"/>
      <c r="FS13" s="3569"/>
      <c r="FT13" s="3569"/>
      <c r="FU13" s="3569"/>
      <c r="FV13" s="3569"/>
      <c r="FW13" s="3569"/>
      <c r="FX13" s="3569"/>
      <c r="FY13" s="3569"/>
      <c r="FZ13" s="3569"/>
      <c r="GA13" s="3569"/>
      <c r="GB13" s="3569"/>
      <c r="GC13" s="3569"/>
      <c r="GD13" s="3569"/>
      <c r="GE13" s="3569"/>
      <c r="GF13" s="3569"/>
      <c r="GG13" s="3569"/>
      <c r="GH13" s="3569"/>
      <c r="GI13" s="3569"/>
      <c r="GJ13" s="3569"/>
      <c r="GK13" s="3569"/>
      <c r="GL13" s="3569"/>
      <c r="GM13" s="3569"/>
      <c r="GN13" s="3569"/>
      <c r="GO13" s="3569"/>
      <c r="GP13" s="3569"/>
      <c r="GQ13" s="3569"/>
      <c r="GR13" s="3569"/>
      <c r="GS13" s="3569"/>
      <c r="GT13" s="3569"/>
      <c r="GU13" s="3569"/>
      <c r="GV13" s="3569"/>
      <c r="GW13" s="3569"/>
      <c r="GX13" s="3569"/>
      <c r="GY13" s="3569"/>
      <c r="GZ13" s="3569"/>
      <c r="HA13" s="3569"/>
      <c r="HB13" s="3569"/>
      <c r="HC13" s="3569"/>
      <c r="HD13" s="3569"/>
      <c r="HE13" s="3569"/>
      <c r="HF13" s="3569"/>
      <c r="HG13" s="3569"/>
      <c r="HH13" s="3569"/>
      <c r="HI13" s="3569"/>
      <c r="HJ13" s="3569"/>
      <c r="HK13" s="3569"/>
      <c r="HL13" s="3569"/>
      <c r="HM13" s="3569"/>
      <c r="HN13" s="3569"/>
      <c r="HO13" s="3569"/>
      <c r="HP13" s="3569"/>
      <c r="HQ13" s="3569"/>
      <c r="HR13" s="3569"/>
      <c r="HS13" s="3569"/>
      <c r="HT13" s="3569"/>
      <c r="HU13" s="3569"/>
      <c r="HV13" s="3569"/>
      <c r="HW13" s="3569"/>
      <c r="HX13" s="3569"/>
      <c r="HY13" s="3569"/>
      <c r="HZ13" s="3569"/>
      <c r="IA13" s="3569"/>
      <c r="IB13" s="3569"/>
      <c r="IC13" s="3569"/>
    </row>
    <row r="14" spans="1:237">
      <c r="A14" s="3525" t="s">
        <v>3638</v>
      </c>
      <c r="B14" s="3501" t="s">
        <v>3639</v>
      </c>
      <c r="C14" s="3502" t="s">
        <v>3640</v>
      </c>
      <c r="D14" s="3501">
        <v>13146790630</v>
      </c>
      <c r="E14" s="3501" t="s">
        <v>2769</v>
      </c>
      <c r="F14" s="3501" t="s">
        <v>3641</v>
      </c>
      <c r="G14" s="3501"/>
      <c r="H14" s="3501" t="s">
        <v>3642</v>
      </c>
      <c r="I14" s="3501" t="s">
        <v>3643</v>
      </c>
      <c r="J14" s="3501" t="s">
        <v>3644</v>
      </c>
      <c r="K14" s="3501" t="s">
        <v>3645</v>
      </c>
      <c r="L14" s="3501">
        <v>134.35</v>
      </c>
      <c r="M14" s="3502" t="s">
        <v>3646</v>
      </c>
      <c r="N14" s="3501" t="s">
        <v>3647</v>
      </c>
      <c r="O14" s="3501">
        <v>117.43</v>
      </c>
      <c r="P14" s="3501" t="s">
        <v>3524</v>
      </c>
      <c r="Q14" s="3501">
        <v>510000</v>
      </c>
      <c r="R14" s="3501">
        <v>3796</v>
      </c>
      <c r="S14" s="3505">
        <v>105.46</v>
      </c>
      <c r="T14" s="3506">
        <v>1054600</v>
      </c>
      <c r="U14" s="3501">
        <v>7850</v>
      </c>
      <c r="V14" s="3507">
        <v>0.2</v>
      </c>
      <c r="W14" s="3508">
        <v>84.36</v>
      </c>
      <c r="X14" s="3509">
        <v>843600</v>
      </c>
      <c r="Y14" s="3497">
        <v>2009</v>
      </c>
      <c r="Z14" s="3497">
        <v>9</v>
      </c>
      <c r="AA14" s="3501">
        <v>23</v>
      </c>
      <c r="AB14" s="3501">
        <v>1500</v>
      </c>
      <c r="AC14" s="3501" t="s">
        <v>3525</v>
      </c>
      <c r="AD14" s="3501">
        <v>91162009090101</v>
      </c>
      <c r="AE14" s="3501" t="s">
        <v>3502</v>
      </c>
      <c r="AF14" s="3501" t="s">
        <v>3503</v>
      </c>
      <c r="AG14" s="3501" t="s">
        <v>3504</v>
      </c>
      <c r="AH14" s="3501"/>
      <c r="AI14" s="3501" t="s">
        <v>3526</v>
      </c>
      <c r="AJ14" s="3501"/>
      <c r="AK14" s="3512" t="s">
        <v>3605</v>
      </c>
      <c r="AL14" s="3501">
        <v>50</v>
      </c>
      <c r="AM14" s="3501">
        <v>8559</v>
      </c>
      <c r="AN14" s="3522">
        <v>40063</v>
      </c>
      <c r="AO14" s="3501"/>
      <c r="AP14" s="3497" t="s">
        <v>3606</v>
      </c>
      <c r="AQ14" s="3523">
        <v>40063</v>
      </c>
      <c r="AR14" s="3523"/>
      <c r="AS14" s="3501" t="s">
        <v>3509</v>
      </c>
      <c r="AT14" s="3501" t="s">
        <v>3560</v>
      </c>
      <c r="AU14" s="3501"/>
      <c r="AV14" s="3501" t="s">
        <v>3607</v>
      </c>
      <c r="AW14" s="3501"/>
      <c r="AX14" s="3497">
        <v>8981</v>
      </c>
      <c r="AY14" s="3497">
        <v>4343</v>
      </c>
      <c r="AZ14" s="3515" t="s">
        <v>3608</v>
      </c>
      <c r="BA14" s="3515" t="s">
        <v>3514</v>
      </c>
      <c r="BB14" s="3516"/>
      <c r="BC14" s="3520"/>
      <c r="BD14" s="3520"/>
      <c r="BE14" s="3520"/>
      <c r="BF14" s="3520"/>
      <c r="BG14" s="3520"/>
      <c r="BH14" s="3520"/>
      <c r="BI14" s="3520"/>
      <c r="BJ14" s="3520"/>
      <c r="BK14" s="3520"/>
      <c r="BL14" s="3520"/>
      <c r="BM14" s="3520"/>
      <c r="BN14" s="3520"/>
      <c r="BO14" s="3520"/>
      <c r="BP14" s="3520"/>
      <c r="BQ14" s="3520"/>
      <c r="BR14" s="3520"/>
      <c r="BS14" s="3520"/>
      <c r="BT14" s="3520"/>
      <c r="BU14" s="3520"/>
      <c r="BV14" s="3520"/>
      <c r="BW14" s="3520"/>
      <c r="BX14" s="3520"/>
      <c r="BY14" s="3520"/>
      <c r="BZ14" s="3520"/>
      <c r="CA14" s="3520"/>
      <c r="CB14" s="3520"/>
      <c r="CC14" s="3520"/>
      <c r="CD14" s="3520"/>
      <c r="CE14" s="3520"/>
      <c r="CF14" s="3520"/>
      <c r="CG14" s="3520"/>
      <c r="CH14" s="3520"/>
      <c r="CI14" s="3520"/>
      <c r="CJ14" s="3520"/>
      <c r="CK14" s="3520"/>
      <c r="CL14" s="3520"/>
      <c r="CM14" s="3520"/>
      <c r="CN14" s="3520"/>
      <c r="CO14" s="3520"/>
      <c r="CP14" s="3520"/>
      <c r="CQ14" s="3520"/>
      <c r="CR14" s="3520"/>
      <c r="CS14" s="3520"/>
      <c r="CT14" s="3520"/>
      <c r="CU14" s="3520"/>
      <c r="CV14" s="3520"/>
      <c r="CW14" s="3520"/>
      <c r="CX14" s="3520"/>
      <c r="CY14" s="3520"/>
      <c r="CZ14" s="3520"/>
      <c r="DA14" s="3520"/>
      <c r="DB14" s="3520"/>
      <c r="DC14" s="3520"/>
      <c r="DD14" s="3520"/>
      <c r="DE14" s="3520"/>
      <c r="DF14" s="3520"/>
      <c r="DG14" s="3520"/>
      <c r="DH14" s="3520"/>
      <c r="DI14" s="3520"/>
      <c r="DJ14" s="3520"/>
      <c r="DK14" s="3520"/>
      <c r="DL14" s="3520"/>
      <c r="DM14" s="3520"/>
      <c r="DN14" s="3520"/>
      <c r="DO14" s="3520"/>
      <c r="DP14" s="3520"/>
      <c r="DQ14" s="3520"/>
      <c r="DR14" s="3520"/>
      <c r="DS14" s="3520"/>
      <c r="DT14" s="3520"/>
      <c r="DU14" s="3520"/>
      <c r="DV14" s="3520"/>
      <c r="DW14" s="3520"/>
      <c r="DX14" s="3520"/>
      <c r="DY14" s="3520"/>
      <c r="DZ14" s="3520"/>
      <c r="EA14" s="3520"/>
      <c r="EB14" s="3520"/>
      <c r="EC14" s="3520"/>
      <c r="ED14" s="3520"/>
      <c r="EE14" s="3520"/>
      <c r="EF14" s="3520"/>
      <c r="EG14" s="3520"/>
      <c r="EH14" s="3520"/>
      <c r="EI14" s="3520"/>
      <c r="EJ14" s="3520"/>
      <c r="EK14" s="3520"/>
      <c r="EL14" s="3520"/>
      <c r="EM14" s="3520"/>
      <c r="EN14" s="3520"/>
      <c r="EO14" s="3520"/>
      <c r="EP14" s="3520"/>
      <c r="EQ14" s="3520"/>
      <c r="ER14" s="3520"/>
      <c r="ES14" s="3520"/>
      <c r="ET14" s="3520"/>
      <c r="EU14" s="3520"/>
      <c r="EV14" s="3520"/>
      <c r="EW14" s="3520"/>
      <c r="EX14" s="3520"/>
      <c r="EY14" s="3520"/>
      <c r="EZ14" s="3520"/>
      <c r="FA14" s="3520"/>
      <c r="FB14" s="3520"/>
      <c r="FC14" s="3520"/>
      <c r="FD14" s="3520"/>
      <c r="FE14" s="3520"/>
      <c r="FF14" s="3520"/>
      <c r="FG14" s="3520"/>
      <c r="FH14" s="3520"/>
      <c r="FI14" s="3520"/>
      <c r="FJ14" s="3520"/>
      <c r="FK14" s="3520"/>
      <c r="FL14" s="3520"/>
      <c r="FM14" s="3520"/>
      <c r="FN14" s="3520"/>
      <c r="FO14" s="3520"/>
      <c r="FP14" s="3520"/>
      <c r="FQ14" s="3520"/>
      <c r="FR14" s="3520"/>
      <c r="FS14" s="3520"/>
      <c r="FT14" s="3520"/>
      <c r="FU14" s="3520"/>
      <c r="FV14" s="3520"/>
      <c r="FW14" s="3520"/>
      <c r="FX14" s="3520"/>
      <c r="FY14" s="3520"/>
      <c r="FZ14" s="3520"/>
      <c r="GA14" s="3520"/>
      <c r="GB14" s="3520"/>
      <c r="GC14" s="3520"/>
      <c r="GD14" s="3520"/>
      <c r="GE14" s="3520"/>
      <c r="GF14" s="3520"/>
      <c r="GG14" s="3520"/>
      <c r="GH14" s="3520"/>
      <c r="GI14" s="3520"/>
      <c r="GJ14" s="3520"/>
      <c r="GK14" s="3520"/>
      <c r="GL14" s="3520"/>
      <c r="GM14" s="3520"/>
      <c r="GN14" s="3520"/>
      <c r="GO14" s="3520"/>
      <c r="GP14" s="3520"/>
      <c r="GQ14" s="3520"/>
      <c r="GR14" s="3520"/>
      <c r="GS14" s="3520"/>
      <c r="GT14" s="3520"/>
      <c r="GU14" s="3520"/>
      <c r="GV14" s="3520"/>
      <c r="GW14" s="3520"/>
      <c r="GX14" s="3520"/>
      <c r="GY14" s="3520"/>
      <c r="GZ14" s="3520"/>
      <c r="HA14" s="3520"/>
      <c r="HB14" s="3520"/>
      <c r="HC14" s="3520"/>
      <c r="HD14" s="3520"/>
      <c r="HE14" s="3520"/>
      <c r="HF14" s="3520"/>
      <c r="HG14" s="3520"/>
      <c r="HH14" s="3520"/>
      <c r="HI14" s="3520"/>
      <c r="HJ14" s="3520"/>
      <c r="HK14" s="3520"/>
      <c r="HL14" s="3520"/>
      <c r="HM14" s="3520"/>
      <c r="HN14" s="3520"/>
      <c r="HO14" s="3520"/>
      <c r="HP14" s="3520"/>
      <c r="HQ14" s="3520"/>
      <c r="HR14" s="3520"/>
      <c r="HS14" s="3520"/>
      <c r="HT14" s="3520"/>
      <c r="HU14" s="3520"/>
      <c r="HV14" s="3520"/>
      <c r="HW14" s="3520"/>
      <c r="HX14" s="3520"/>
      <c r="HY14" s="3520"/>
      <c r="HZ14" s="3520"/>
      <c r="IA14" s="3520"/>
      <c r="IB14" s="3520"/>
      <c r="IC14" s="3520"/>
    </row>
    <row r="15" spans="1:237">
      <c r="A15" s="3525" t="s">
        <v>3648</v>
      </c>
      <c r="B15" s="3501" t="s">
        <v>3649</v>
      </c>
      <c r="C15" s="3502" t="s">
        <v>3650</v>
      </c>
      <c r="D15" s="3502" t="s">
        <v>3651</v>
      </c>
      <c r="E15" s="3501" t="s">
        <v>2769</v>
      </c>
      <c r="F15" s="3501" t="s">
        <v>3631</v>
      </c>
      <c r="G15" s="3501"/>
      <c r="H15" s="3501" t="s">
        <v>3652</v>
      </c>
      <c r="I15" s="3501" t="s">
        <v>3653</v>
      </c>
      <c r="J15" s="3502" t="s">
        <v>3654</v>
      </c>
      <c r="K15" s="3501" t="s">
        <v>3649</v>
      </c>
      <c r="L15" s="3501">
        <v>129.63999999999999</v>
      </c>
      <c r="M15" s="3501">
        <v>1</v>
      </c>
      <c r="N15" s="3501" t="s">
        <v>3647</v>
      </c>
      <c r="O15" s="3501"/>
      <c r="P15" s="3501" t="s">
        <v>3524</v>
      </c>
      <c r="Q15" s="3504">
        <v>400000</v>
      </c>
      <c r="R15" s="3501">
        <v>3085</v>
      </c>
      <c r="S15" s="3505">
        <v>82.96</v>
      </c>
      <c r="T15" s="3506">
        <v>829599.99999999988</v>
      </c>
      <c r="U15" s="3501">
        <v>6400</v>
      </c>
      <c r="V15" s="3507">
        <v>0.2</v>
      </c>
      <c r="W15" s="3508">
        <v>66.36</v>
      </c>
      <c r="X15" s="3509">
        <v>663600</v>
      </c>
      <c r="Y15" s="3501">
        <v>2009</v>
      </c>
      <c r="Z15" s="3497">
        <v>9</v>
      </c>
      <c r="AA15" s="3497">
        <v>16</v>
      </c>
      <c r="AB15" s="3501">
        <v>1500</v>
      </c>
      <c r="AC15" s="3501" t="s">
        <v>3525</v>
      </c>
      <c r="AD15" s="3521" t="s">
        <v>3655</v>
      </c>
      <c r="AE15" s="3497" t="s">
        <v>3502</v>
      </c>
      <c r="AF15" s="3501" t="s">
        <v>3503</v>
      </c>
      <c r="AG15" s="3501" t="s">
        <v>3504</v>
      </c>
      <c r="AH15" s="3500">
        <v>6556</v>
      </c>
      <c r="AI15" s="3501" t="s">
        <v>3526</v>
      </c>
      <c r="AJ15" s="3511"/>
      <c r="AK15" s="3512">
        <v>9</v>
      </c>
      <c r="AL15" s="3497">
        <v>37</v>
      </c>
      <c r="AM15" s="3497" t="s">
        <v>3656</v>
      </c>
      <c r="AN15" s="3513">
        <v>40064</v>
      </c>
      <c r="AO15" s="3497"/>
      <c r="AP15" s="3501" t="s">
        <v>3574</v>
      </c>
      <c r="AQ15" s="3514">
        <v>40065</v>
      </c>
      <c r="AR15" s="3514"/>
      <c r="AS15" s="3501" t="s">
        <v>3509</v>
      </c>
      <c r="AT15" s="3497" t="s">
        <v>3560</v>
      </c>
      <c r="AU15" s="3497" t="s">
        <v>3511</v>
      </c>
      <c r="AV15" s="3501" t="s">
        <v>3512</v>
      </c>
      <c r="AW15" s="3497"/>
      <c r="AX15" s="3497" t="e">
        <v>#DIV/0!</v>
      </c>
      <c r="AY15" s="3497" t="e">
        <v>#DIV/0!</v>
      </c>
      <c r="AZ15" s="3515" t="s">
        <v>3575</v>
      </c>
      <c r="BA15" s="3515" t="s">
        <v>3514</v>
      </c>
      <c r="BB15" s="3516"/>
      <c r="BC15" s="3516"/>
      <c r="BD15" s="3516"/>
      <c r="BE15" s="3516"/>
      <c r="BF15" s="3516"/>
      <c r="BG15" s="3516"/>
      <c r="BH15" s="3516"/>
      <c r="BI15" s="3516"/>
      <c r="BJ15" s="3516"/>
      <c r="BK15" s="3516"/>
      <c r="BL15" s="3516"/>
      <c r="BM15" s="3516"/>
      <c r="BN15" s="3516"/>
      <c r="BO15" s="3516"/>
      <c r="BP15" s="3516"/>
      <c r="BQ15" s="3516"/>
      <c r="BR15" s="3516"/>
      <c r="BS15" s="3516"/>
      <c r="BT15" s="3516"/>
      <c r="BU15" s="3516"/>
      <c r="BV15" s="3516"/>
      <c r="BW15" s="3516"/>
      <c r="BX15" s="3516"/>
      <c r="BY15" s="3516"/>
      <c r="BZ15" s="3516"/>
      <c r="CA15" s="3516"/>
      <c r="CB15" s="3516"/>
      <c r="CC15" s="3516"/>
      <c r="CD15" s="3516"/>
      <c r="CE15" s="3516"/>
      <c r="CF15" s="3516"/>
      <c r="CG15" s="3516"/>
      <c r="CH15" s="3516"/>
      <c r="CI15" s="3516"/>
      <c r="CJ15" s="3516"/>
      <c r="CK15" s="3516"/>
      <c r="CL15" s="3516"/>
      <c r="CM15" s="3516"/>
      <c r="CN15" s="3516"/>
      <c r="CO15" s="3516"/>
      <c r="CP15" s="3516"/>
      <c r="CQ15" s="3516"/>
      <c r="CR15" s="3516"/>
      <c r="CS15" s="3516"/>
      <c r="CT15" s="3516"/>
      <c r="CU15" s="3516"/>
      <c r="CV15" s="3516"/>
      <c r="CW15" s="3516"/>
      <c r="CX15" s="3516"/>
      <c r="CY15" s="3516"/>
      <c r="CZ15" s="3516"/>
      <c r="DA15" s="3516"/>
      <c r="DB15" s="3516"/>
      <c r="DC15" s="3516"/>
      <c r="DD15" s="3516"/>
      <c r="DE15" s="3516"/>
      <c r="DF15" s="3516"/>
      <c r="DG15" s="3516"/>
      <c r="DH15" s="3516"/>
      <c r="DI15" s="3516"/>
      <c r="DJ15" s="3516"/>
      <c r="DK15" s="3516"/>
      <c r="DL15" s="3516"/>
      <c r="DM15" s="3516"/>
      <c r="DN15" s="3516"/>
      <c r="DO15" s="3516"/>
      <c r="DP15" s="3516"/>
      <c r="DQ15" s="3516"/>
      <c r="DR15" s="3516"/>
      <c r="DS15" s="3516"/>
      <c r="DT15" s="3516"/>
      <c r="DU15" s="3516"/>
      <c r="DV15" s="3516"/>
      <c r="DW15" s="3516"/>
      <c r="DX15" s="3516"/>
      <c r="DY15" s="3516"/>
      <c r="DZ15" s="3516"/>
      <c r="EA15" s="3516"/>
      <c r="EB15" s="3516"/>
      <c r="EC15" s="3516"/>
      <c r="ED15" s="3516"/>
      <c r="EE15" s="3516"/>
      <c r="EF15" s="3516"/>
      <c r="EG15" s="3516"/>
      <c r="EH15" s="3516"/>
      <c r="EI15" s="3516"/>
      <c r="EJ15" s="3516"/>
      <c r="EK15" s="3516"/>
      <c r="EL15" s="3516"/>
      <c r="EM15" s="3516"/>
      <c r="EN15" s="3516"/>
      <c r="EO15" s="3516"/>
      <c r="EP15" s="3516"/>
      <c r="EQ15" s="3516"/>
      <c r="ER15" s="3516"/>
      <c r="ES15" s="3516"/>
      <c r="ET15" s="3516"/>
      <c r="EU15" s="3516"/>
      <c r="EV15" s="3516"/>
      <c r="EW15" s="3516"/>
      <c r="EX15" s="3516"/>
      <c r="EY15" s="3516"/>
      <c r="EZ15" s="3516"/>
      <c r="FA15" s="3516"/>
      <c r="FB15" s="3516"/>
      <c r="FC15" s="3516"/>
      <c r="FD15" s="3516"/>
      <c r="FE15" s="3516"/>
      <c r="FF15" s="3516"/>
      <c r="FG15" s="3516"/>
      <c r="FH15" s="3516"/>
      <c r="FI15" s="3516"/>
      <c r="FJ15" s="3516"/>
      <c r="FK15" s="3516"/>
      <c r="FL15" s="3516"/>
      <c r="FM15" s="3516"/>
      <c r="FN15" s="3516"/>
      <c r="FO15" s="3516"/>
      <c r="FP15" s="3516"/>
      <c r="FQ15" s="3516"/>
      <c r="FR15" s="3516"/>
      <c r="FS15" s="3516"/>
      <c r="FT15" s="3516"/>
      <c r="FU15" s="3516"/>
      <c r="FV15" s="3516"/>
      <c r="FW15" s="3516"/>
      <c r="FX15" s="3516"/>
      <c r="FY15" s="3516"/>
      <c r="FZ15" s="3516"/>
      <c r="GA15" s="3516"/>
      <c r="GB15" s="3516"/>
      <c r="GC15" s="3516"/>
      <c r="GD15" s="3516"/>
      <c r="GE15" s="3516"/>
      <c r="GF15" s="3516"/>
      <c r="GG15" s="3516"/>
      <c r="GH15" s="3516"/>
      <c r="GI15" s="3516"/>
      <c r="GJ15" s="3516"/>
      <c r="GK15" s="3516"/>
      <c r="GL15" s="3516"/>
      <c r="GM15" s="3516"/>
      <c r="GN15" s="3516"/>
      <c r="GO15" s="3516"/>
      <c r="GP15" s="3516"/>
      <c r="GQ15" s="3516"/>
      <c r="GR15" s="3516"/>
      <c r="GS15" s="3516"/>
      <c r="GT15" s="3516"/>
      <c r="GU15" s="3516"/>
      <c r="GV15" s="3516"/>
      <c r="GW15" s="3516"/>
      <c r="GX15" s="3516"/>
      <c r="GY15" s="3516"/>
      <c r="GZ15" s="3516"/>
      <c r="HA15" s="3516"/>
      <c r="HB15" s="3516"/>
      <c r="HC15" s="3516"/>
      <c r="HD15" s="3516"/>
      <c r="HE15" s="3516"/>
      <c r="HF15" s="3516"/>
      <c r="HG15" s="3516"/>
      <c r="HH15" s="3516"/>
      <c r="HI15" s="3516"/>
      <c r="HJ15" s="3516"/>
      <c r="HK15" s="3516"/>
      <c r="HL15" s="3516"/>
      <c r="HM15" s="3516"/>
      <c r="HN15" s="3516"/>
      <c r="HO15" s="3516"/>
      <c r="HP15" s="3516"/>
      <c r="HQ15" s="3516"/>
      <c r="HR15" s="3516"/>
      <c r="HS15" s="3516"/>
      <c r="HT15" s="3516"/>
      <c r="HU15" s="3516"/>
      <c r="HV15" s="3516"/>
      <c r="HW15" s="3516"/>
      <c r="HX15" s="3516"/>
      <c r="HY15" s="3516"/>
      <c r="HZ15" s="3516"/>
      <c r="IA15" s="3516"/>
      <c r="IB15" s="3516"/>
      <c r="IC15" s="3516"/>
    </row>
    <row r="16" spans="1:237" s="3472" customFormat="1">
      <c r="A16" s="3549" t="s">
        <v>3657</v>
      </c>
      <c r="B16" s="3550" t="s">
        <v>3658</v>
      </c>
      <c r="C16" s="3551" t="s">
        <v>3659</v>
      </c>
      <c r="D16" s="3551" t="s">
        <v>3660</v>
      </c>
      <c r="E16" s="3550" t="s">
        <v>2769</v>
      </c>
      <c r="F16" s="3550" t="s">
        <v>3631</v>
      </c>
      <c r="G16" s="3550"/>
      <c r="H16" s="3550" t="s">
        <v>3661</v>
      </c>
      <c r="I16" s="3550" t="s">
        <v>3662</v>
      </c>
      <c r="J16" s="3551" t="s">
        <v>3582</v>
      </c>
      <c r="K16" s="3550" t="s">
        <v>3658</v>
      </c>
      <c r="L16" s="3550">
        <v>104.85</v>
      </c>
      <c r="M16" s="3550">
        <v>6</v>
      </c>
      <c r="N16" s="3550" t="s">
        <v>3636</v>
      </c>
      <c r="O16" s="3550"/>
      <c r="P16" s="3550" t="s">
        <v>3500</v>
      </c>
      <c r="Q16" s="3552">
        <v>745000</v>
      </c>
      <c r="R16" s="3550">
        <v>7105</v>
      </c>
      <c r="S16" s="3553">
        <v>73.44</v>
      </c>
      <c r="T16" s="3554">
        <v>734400</v>
      </c>
      <c r="U16" s="3550">
        <v>7005</v>
      </c>
      <c r="V16" s="3555">
        <v>0.2</v>
      </c>
      <c r="W16" s="3556">
        <v>58.75</v>
      </c>
      <c r="X16" s="3557">
        <v>587500</v>
      </c>
      <c r="Y16" s="3550">
        <v>2009</v>
      </c>
      <c r="Z16" s="3558">
        <v>10</v>
      </c>
      <c r="AA16" s="3558">
        <v>13</v>
      </c>
      <c r="AB16" s="3550">
        <v>1500</v>
      </c>
      <c r="AC16" s="3550" t="s">
        <v>3525</v>
      </c>
      <c r="AD16" s="3559" t="s">
        <v>3663</v>
      </c>
      <c r="AE16" s="3558" t="s">
        <v>3502</v>
      </c>
      <c r="AF16" s="3550" t="s">
        <v>3664</v>
      </c>
      <c r="AG16" s="3550" t="s">
        <v>3504</v>
      </c>
      <c r="AH16" s="3549"/>
      <c r="AI16" s="3550" t="s">
        <v>3618</v>
      </c>
      <c r="AJ16" s="3560"/>
      <c r="AK16" s="3561" t="s">
        <v>3665</v>
      </c>
      <c r="AL16" s="3558">
        <v>41</v>
      </c>
      <c r="AM16" s="3558" t="s">
        <v>3666</v>
      </c>
      <c r="AN16" s="3562">
        <v>40074</v>
      </c>
      <c r="AO16" s="3558"/>
      <c r="AP16" s="3550" t="s">
        <v>3574</v>
      </c>
      <c r="AQ16" s="3563">
        <v>40077</v>
      </c>
      <c r="AR16" s="3563"/>
      <c r="AS16" s="3550" t="s">
        <v>3667</v>
      </c>
      <c r="AT16" s="3558" t="s">
        <v>3560</v>
      </c>
      <c r="AU16" s="3558" t="s">
        <v>3511</v>
      </c>
      <c r="AV16" s="3550" t="s">
        <v>3607</v>
      </c>
      <c r="AW16" s="3558"/>
      <c r="AX16" s="3558" t="e">
        <v>#DIV/0!</v>
      </c>
      <c r="AY16" s="3558" t="e">
        <v>#DIV/0!</v>
      </c>
      <c r="AZ16" s="3564" t="s">
        <v>3575</v>
      </c>
      <c r="BA16" s="3564" t="s">
        <v>3514</v>
      </c>
      <c r="BB16" s="3565"/>
      <c r="BC16" s="3565"/>
      <c r="BD16" s="3565"/>
      <c r="BE16" s="3565"/>
      <c r="BF16" s="3565"/>
      <c r="BG16" s="3565"/>
      <c r="BH16" s="3565"/>
      <c r="BI16" s="3565"/>
      <c r="BJ16" s="3565"/>
      <c r="BK16" s="3565"/>
      <c r="BL16" s="3565"/>
      <c r="BM16" s="3565"/>
      <c r="BN16" s="3565"/>
      <c r="BO16" s="3565"/>
      <c r="BP16" s="3565"/>
      <c r="BQ16" s="3565"/>
      <c r="BR16" s="3565"/>
      <c r="BS16" s="3565"/>
      <c r="BT16" s="3565"/>
      <c r="BU16" s="3565"/>
      <c r="BV16" s="3565"/>
      <c r="BW16" s="3565"/>
      <c r="BX16" s="3565"/>
      <c r="BY16" s="3565"/>
      <c r="BZ16" s="3565"/>
      <c r="CA16" s="3565"/>
      <c r="CB16" s="3565"/>
      <c r="CC16" s="3565"/>
      <c r="CD16" s="3565"/>
      <c r="CE16" s="3565"/>
      <c r="CF16" s="3565"/>
      <c r="CG16" s="3565"/>
      <c r="CH16" s="3565"/>
      <c r="CI16" s="3565"/>
      <c r="CJ16" s="3565"/>
      <c r="CK16" s="3565"/>
      <c r="CL16" s="3565"/>
      <c r="CM16" s="3565"/>
      <c r="CN16" s="3565"/>
      <c r="CO16" s="3565"/>
      <c r="CP16" s="3565"/>
      <c r="CQ16" s="3565"/>
      <c r="CR16" s="3565"/>
      <c r="CS16" s="3565"/>
      <c r="CT16" s="3565"/>
      <c r="CU16" s="3565"/>
      <c r="CV16" s="3565"/>
      <c r="CW16" s="3565"/>
      <c r="CX16" s="3565"/>
      <c r="CY16" s="3565"/>
      <c r="CZ16" s="3565"/>
      <c r="DA16" s="3565"/>
      <c r="DB16" s="3565"/>
      <c r="DC16" s="3565"/>
      <c r="DD16" s="3565"/>
      <c r="DE16" s="3565"/>
      <c r="DF16" s="3565"/>
      <c r="DG16" s="3565"/>
      <c r="DH16" s="3565"/>
      <c r="DI16" s="3565"/>
      <c r="DJ16" s="3565"/>
      <c r="DK16" s="3565"/>
      <c r="DL16" s="3565"/>
      <c r="DM16" s="3565"/>
      <c r="DN16" s="3565"/>
      <c r="DO16" s="3565"/>
      <c r="DP16" s="3565"/>
      <c r="DQ16" s="3565"/>
      <c r="DR16" s="3565"/>
      <c r="DS16" s="3565"/>
      <c r="DT16" s="3565"/>
      <c r="DU16" s="3565"/>
      <c r="DV16" s="3565"/>
      <c r="DW16" s="3565"/>
      <c r="DX16" s="3565"/>
      <c r="DY16" s="3565"/>
      <c r="DZ16" s="3565"/>
      <c r="EA16" s="3565"/>
      <c r="EB16" s="3565"/>
      <c r="EC16" s="3565"/>
      <c r="ED16" s="3565"/>
      <c r="EE16" s="3565"/>
      <c r="EF16" s="3565"/>
      <c r="EG16" s="3565"/>
      <c r="EH16" s="3565"/>
      <c r="EI16" s="3565"/>
      <c r="EJ16" s="3565"/>
      <c r="EK16" s="3565"/>
      <c r="EL16" s="3565"/>
      <c r="EM16" s="3565"/>
      <c r="EN16" s="3565"/>
      <c r="EO16" s="3565"/>
      <c r="EP16" s="3565"/>
      <c r="EQ16" s="3565"/>
      <c r="ER16" s="3565"/>
      <c r="ES16" s="3565"/>
      <c r="ET16" s="3565"/>
      <c r="EU16" s="3565"/>
      <c r="EV16" s="3565"/>
      <c r="EW16" s="3565"/>
      <c r="EX16" s="3565"/>
      <c r="EY16" s="3565"/>
      <c r="EZ16" s="3565"/>
      <c r="FA16" s="3565"/>
      <c r="FB16" s="3565"/>
      <c r="FC16" s="3565"/>
      <c r="FD16" s="3565"/>
      <c r="FE16" s="3565"/>
      <c r="FF16" s="3565"/>
      <c r="FG16" s="3565"/>
      <c r="FH16" s="3565"/>
      <c r="FI16" s="3565"/>
      <c r="FJ16" s="3565"/>
      <c r="FK16" s="3565"/>
      <c r="FL16" s="3565"/>
      <c r="FM16" s="3565"/>
      <c r="FN16" s="3565"/>
      <c r="FO16" s="3565"/>
      <c r="FP16" s="3565"/>
      <c r="FQ16" s="3565"/>
      <c r="FR16" s="3565"/>
      <c r="FS16" s="3565"/>
      <c r="FT16" s="3565"/>
      <c r="FU16" s="3565"/>
      <c r="FV16" s="3565"/>
      <c r="FW16" s="3565"/>
      <c r="FX16" s="3565"/>
      <c r="FY16" s="3565"/>
      <c r="FZ16" s="3565"/>
      <c r="GA16" s="3565"/>
      <c r="GB16" s="3565"/>
      <c r="GC16" s="3565"/>
      <c r="GD16" s="3565"/>
      <c r="GE16" s="3565"/>
      <c r="GF16" s="3565"/>
      <c r="GG16" s="3565"/>
      <c r="GH16" s="3565"/>
      <c r="GI16" s="3565"/>
      <c r="GJ16" s="3565"/>
      <c r="GK16" s="3565"/>
      <c r="GL16" s="3565"/>
      <c r="GM16" s="3565"/>
      <c r="GN16" s="3565"/>
      <c r="GO16" s="3565"/>
      <c r="GP16" s="3565"/>
      <c r="GQ16" s="3565"/>
      <c r="GR16" s="3565"/>
      <c r="GS16" s="3565"/>
      <c r="GT16" s="3565"/>
      <c r="GU16" s="3565"/>
      <c r="GV16" s="3565"/>
      <c r="GW16" s="3565"/>
      <c r="GX16" s="3565"/>
      <c r="GY16" s="3565"/>
      <c r="GZ16" s="3565"/>
      <c r="HA16" s="3565"/>
      <c r="HB16" s="3565"/>
      <c r="HC16" s="3565"/>
      <c r="HD16" s="3565"/>
      <c r="HE16" s="3565"/>
      <c r="HF16" s="3565"/>
      <c r="HG16" s="3565"/>
      <c r="HH16" s="3565"/>
      <c r="HI16" s="3565"/>
      <c r="HJ16" s="3565"/>
      <c r="HK16" s="3565"/>
      <c r="HL16" s="3565"/>
      <c r="HM16" s="3565"/>
      <c r="HN16" s="3565"/>
      <c r="HO16" s="3565"/>
      <c r="HP16" s="3565"/>
      <c r="HQ16" s="3565"/>
      <c r="HR16" s="3565"/>
      <c r="HS16" s="3565"/>
      <c r="HT16" s="3565"/>
      <c r="HU16" s="3565"/>
      <c r="HV16" s="3565"/>
      <c r="HW16" s="3565"/>
      <c r="HX16" s="3565"/>
      <c r="HY16" s="3565"/>
      <c r="HZ16" s="3565"/>
      <c r="IA16" s="3565"/>
      <c r="IB16" s="3565"/>
      <c r="IC16" s="3565"/>
    </row>
    <row r="17" spans="1:237" s="3540" customFormat="1">
      <c r="A17" s="3526" t="s">
        <v>3668</v>
      </c>
      <c r="B17" s="3527" t="s">
        <v>3669</v>
      </c>
      <c r="C17" s="3528" t="s">
        <v>3670</v>
      </c>
      <c r="D17" s="3527">
        <v>15801318850</v>
      </c>
      <c r="E17" s="3527" t="s">
        <v>2769</v>
      </c>
      <c r="F17" s="3527" t="s">
        <v>3631</v>
      </c>
      <c r="G17" s="3527"/>
      <c r="H17" s="3527" t="s">
        <v>3624</v>
      </c>
      <c r="I17" s="3527" t="s">
        <v>3671</v>
      </c>
      <c r="J17" s="3527" t="s">
        <v>3672</v>
      </c>
      <c r="K17" s="3527" t="s">
        <v>3669</v>
      </c>
      <c r="L17" s="3527">
        <v>106.11</v>
      </c>
      <c r="M17" s="3527">
        <v>5</v>
      </c>
      <c r="N17" s="3527" t="s">
        <v>3557</v>
      </c>
      <c r="O17" s="3527"/>
      <c r="P17" s="3527" t="s">
        <v>3524</v>
      </c>
      <c r="Q17" s="3527">
        <v>330000</v>
      </c>
      <c r="R17" s="3527">
        <v>3110</v>
      </c>
      <c r="S17" s="3529">
        <v>76.92</v>
      </c>
      <c r="T17" s="3530">
        <v>769200</v>
      </c>
      <c r="U17" s="3527">
        <v>7250</v>
      </c>
      <c r="V17" s="3531">
        <v>0.2</v>
      </c>
      <c r="W17" s="3532">
        <v>61.53</v>
      </c>
      <c r="X17" s="3533">
        <v>615300</v>
      </c>
      <c r="Y17" s="3527">
        <v>2009</v>
      </c>
      <c r="Z17" s="3527">
        <v>10</v>
      </c>
      <c r="AA17" s="3527">
        <v>27</v>
      </c>
      <c r="AB17" s="3527">
        <v>1500</v>
      </c>
      <c r="AC17" s="3527" t="s">
        <v>3525</v>
      </c>
      <c r="AD17" s="3528" t="s">
        <v>3673</v>
      </c>
      <c r="AE17" s="3527" t="s">
        <v>3502</v>
      </c>
      <c r="AF17" s="3527" t="s">
        <v>3503</v>
      </c>
      <c r="AG17" s="3527" t="s">
        <v>3504</v>
      </c>
      <c r="AH17" s="3527">
        <v>7303</v>
      </c>
      <c r="AI17" s="3527" t="s">
        <v>3526</v>
      </c>
      <c r="AJ17" s="3527"/>
      <c r="AK17" s="3527" t="s">
        <v>3665</v>
      </c>
      <c r="AL17" s="3527">
        <v>39</v>
      </c>
      <c r="AM17" s="3527" t="s">
        <v>3674</v>
      </c>
      <c r="AN17" s="3534">
        <v>40100</v>
      </c>
      <c r="AO17" s="3527"/>
      <c r="AP17" s="3535" t="s">
        <v>3574</v>
      </c>
      <c r="AQ17" s="3536">
        <v>40101</v>
      </c>
      <c r="AR17" s="3536"/>
      <c r="AS17" s="3527" t="s">
        <v>3509</v>
      </c>
      <c r="AT17" s="3527" t="s">
        <v>3560</v>
      </c>
      <c r="AU17" s="3535" t="s">
        <v>3511</v>
      </c>
      <c r="AV17" s="3535" t="s">
        <v>3512</v>
      </c>
      <c r="AW17" s="3527"/>
      <c r="AX17" s="3535" t="e">
        <v>#DIV/0!</v>
      </c>
      <c r="AY17" s="3535" t="e">
        <v>#DIV/0!</v>
      </c>
      <c r="AZ17" s="3537" t="s">
        <v>3575</v>
      </c>
      <c r="BA17" s="3537" t="s">
        <v>3514</v>
      </c>
      <c r="BB17" s="3538"/>
      <c r="BC17" s="3539"/>
      <c r="BD17" s="3539"/>
      <c r="BE17" s="3539"/>
      <c r="BF17" s="3539"/>
      <c r="BG17" s="3539"/>
      <c r="BH17" s="3539"/>
      <c r="BI17" s="3539"/>
      <c r="BJ17" s="3539"/>
      <c r="BK17" s="3539"/>
      <c r="BL17" s="3539"/>
      <c r="BM17" s="3539"/>
      <c r="BN17" s="3539"/>
      <c r="BO17" s="3539"/>
      <c r="BP17" s="3539"/>
      <c r="BQ17" s="3539"/>
      <c r="BR17" s="3539"/>
      <c r="BS17" s="3539"/>
      <c r="BT17" s="3539"/>
      <c r="BU17" s="3539"/>
      <c r="BV17" s="3539"/>
      <c r="BW17" s="3539"/>
      <c r="BX17" s="3539"/>
      <c r="BY17" s="3539"/>
      <c r="BZ17" s="3539"/>
      <c r="CA17" s="3539"/>
      <c r="CB17" s="3539"/>
      <c r="CC17" s="3539"/>
      <c r="CD17" s="3539"/>
      <c r="CE17" s="3539"/>
      <c r="CF17" s="3539"/>
      <c r="CG17" s="3539"/>
      <c r="CH17" s="3539"/>
      <c r="CI17" s="3539"/>
      <c r="CJ17" s="3539"/>
      <c r="CK17" s="3539"/>
      <c r="CL17" s="3539"/>
      <c r="CM17" s="3539"/>
      <c r="CN17" s="3539"/>
      <c r="CO17" s="3539"/>
      <c r="CP17" s="3539"/>
      <c r="CQ17" s="3539"/>
      <c r="CR17" s="3539"/>
      <c r="CS17" s="3539"/>
      <c r="CT17" s="3539"/>
      <c r="CU17" s="3539"/>
      <c r="CV17" s="3539"/>
      <c r="CW17" s="3539"/>
      <c r="CX17" s="3539"/>
      <c r="CY17" s="3539"/>
      <c r="CZ17" s="3539"/>
      <c r="DA17" s="3539"/>
      <c r="DB17" s="3539"/>
      <c r="DC17" s="3539"/>
      <c r="DD17" s="3539"/>
      <c r="DE17" s="3539"/>
      <c r="DF17" s="3539"/>
      <c r="DG17" s="3539"/>
      <c r="DH17" s="3539"/>
      <c r="DI17" s="3539"/>
      <c r="DJ17" s="3539"/>
      <c r="DK17" s="3539"/>
      <c r="DL17" s="3539"/>
      <c r="DM17" s="3539"/>
      <c r="DN17" s="3539"/>
      <c r="DO17" s="3539"/>
      <c r="DP17" s="3539"/>
      <c r="DQ17" s="3539"/>
      <c r="DR17" s="3539"/>
      <c r="DS17" s="3539"/>
      <c r="DT17" s="3539"/>
      <c r="DU17" s="3539"/>
      <c r="DV17" s="3539"/>
      <c r="DW17" s="3539"/>
      <c r="DX17" s="3539"/>
      <c r="DY17" s="3539"/>
      <c r="DZ17" s="3539"/>
      <c r="EA17" s="3539"/>
      <c r="EB17" s="3539"/>
      <c r="EC17" s="3539"/>
      <c r="ED17" s="3539"/>
      <c r="EE17" s="3539"/>
      <c r="EF17" s="3539"/>
      <c r="EG17" s="3539"/>
      <c r="EH17" s="3539"/>
      <c r="EI17" s="3539"/>
      <c r="EJ17" s="3539"/>
      <c r="EK17" s="3539"/>
      <c r="EL17" s="3539"/>
      <c r="EM17" s="3539"/>
      <c r="EN17" s="3539"/>
      <c r="EO17" s="3539"/>
      <c r="EP17" s="3539"/>
      <c r="EQ17" s="3539"/>
      <c r="ER17" s="3539"/>
      <c r="ES17" s="3539"/>
      <c r="ET17" s="3539"/>
      <c r="EU17" s="3539"/>
      <c r="EV17" s="3539"/>
      <c r="EW17" s="3539"/>
      <c r="EX17" s="3539"/>
      <c r="EY17" s="3539"/>
      <c r="EZ17" s="3539"/>
      <c r="FA17" s="3539"/>
      <c r="FB17" s="3539"/>
      <c r="FC17" s="3539"/>
      <c r="FD17" s="3539"/>
      <c r="FE17" s="3539"/>
      <c r="FF17" s="3539"/>
      <c r="FG17" s="3539"/>
      <c r="FH17" s="3539"/>
      <c r="FI17" s="3539"/>
      <c r="FJ17" s="3539"/>
      <c r="FK17" s="3539"/>
      <c r="FL17" s="3539"/>
      <c r="FM17" s="3539"/>
      <c r="FN17" s="3539"/>
      <c r="FO17" s="3539"/>
      <c r="FP17" s="3539"/>
      <c r="FQ17" s="3539"/>
      <c r="FR17" s="3539"/>
      <c r="FS17" s="3539"/>
      <c r="FT17" s="3539"/>
      <c r="FU17" s="3539"/>
      <c r="FV17" s="3539"/>
      <c r="FW17" s="3539"/>
      <c r="FX17" s="3539"/>
      <c r="FY17" s="3539"/>
      <c r="FZ17" s="3539"/>
      <c r="GA17" s="3539"/>
      <c r="GB17" s="3539"/>
      <c r="GC17" s="3539"/>
      <c r="GD17" s="3539"/>
      <c r="GE17" s="3539"/>
      <c r="GF17" s="3539"/>
      <c r="GG17" s="3539"/>
      <c r="GH17" s="3539"/>
      <c r="GI17" s="3539"/>
      <c r="GJ17" s="3539"/>
      <c r="GK17" s="3539"/>
      <c r="GL17" s="3539"/>
      <c r="GM17" s="3539"/>
      <c r="GN17" s="3539"/>
      <c r="GO17" s="3539"/>
      <c r="GP17" s="3539"/>
      <c r="GQ17" s="3539"/>
      <c r="GR17" s="3539"/>
      <c r="GS17" s="3539"/>
      <c r="GT17" s="3539"/>
      <c r="GU17" s="3539"/>
      <c r="GV17" s="3539"/>
      <c r="GW17" s="3539"/>
      <c r="GX17" s="3539"/>
      <c r="GY17" s="3539"/>
      <c r="GZ17" s="3539"/>
      <c r="HA17" s="3539"/>
      <c r="HB17" s="3539"/>
      <c r="HC17" s="3539"/>
      <c r="HD17" s="3539"/>
      <c r="HE17" s="3539"/>
      <c r="HF17" s="3539"/>
      <c r="HG17" s="3539"/>
      <c r="HH17" s="3539"/>
      <c r="HI17" s="3539"/>
      <c r="HJ17" s="3539"/>
      <c r="HK17" s="3539"/>
      <c r="HL17" s="3539"/>
      <c r="HM17" s="3539"/>
      <c r="HN17" s="3539"/>
      <c r="HO17" s="3539"/>
      <c r="HP17" s="3539"/>
      <c r="HQ17" s="3539"/>
      <c r="HR17" s="3539"/>
      <c r="HS17" s="3539"/>
      <c r="HT17" s="3539"/>
      <c r="HU17" s="3539"/>
      <c r="HV17" s="3539"/>
      <c r="HW17" s="3539"/>
      <c r="HX17" s="3539"/>
      <c r="HY17" s="3539"/>
      <c r="HZ17" s="3539"/>
      <c r="IA17" s="3539"/>
      <c r="IB17" s="3539"/>
      <c r="IC17" s="3539"/>
    </row>
    <row r="18" spans="1:237" s="3540" customFormat="1">
      <c r="A18" s="3527" t="s">
        <v>3675</v>
      </c>
      <c r="B18" s="3527" t="s">
        <v>3676</v>
      </c>
      <c r="C18" s="3528" t="s">
        <v>3677</v>
      </c>
      <c r="D18" s="3527">
        <v>15910245820</v>
      </c>
      <c r="E18" s="3527" t="s">
        <v>2769</v>
      </c>
      <c r="F18" s="3527" t="s">
        <v>3579</v>
      </c>
      <c r="G18" s="3527"/>
      <c r="H18" s="3527" t="s">
        <v>3580</v>
      </c>
      <c r="I18" s="3527" t="s">
        <v>3581</v>
      </c>
      <c r="J18" s="3527" t="s">
        <v>3678</v>
      </c>
      <c r="K18" s="3527" t="s">
        <v>3676</v>
      </c>
      <c r="L18" s="3541">
        <v>83.55</v>
      </c>
      <c r="M18" s="3527">
        <v>6</v>
      </c>
      <c r="N18" s="3527" t="s">
        <v>3523</v>
      </c>
      <c r="O18" s="3527"/>
      <c r="P18" s="3527" t="s">
        <v>3524</v>
      </c>
      <c r="Q18" s="3527">
        <v>615000</v>
      </c>
      <c r="R18" s="3527">
        <v>7361</v>
      </c>
      <c r="S18" s="3529">
        <v>60.15</v>
      </c>
      <c r="T18" s="3530">
        <v>601500</v>
      </c>
      <c r="U18" s="3527">
        <v>7200</v>
      </c>
      <c r="V18" s="3531">
        <v>0.2</v>
      </c>
      <c r="W18" s="3532">
        <v>48.12</v>
      </c>
      <c r="X18" s="3533">
        <v>481200</v>
      </c>
      <c r="Y18" s="3527">
        <v>2009</v>
      </c>
      <c r="Z18" s="3527">
        <v>11</v>
      </c>
      <c r="AA18" s="3527">
        <v>3</v>
      </c>
      <c r="AB18" s="3527">
        <v>1500</v>
      </c>
      <c r="AC18" s="3527" t="s">
        <v>3525</v>
      </c>
      <c r="AD18" s="3528" t="s">
        <v>3679</v>
      </c>
      <c r="AE18" s="3527" t="s">
        <v>3502</v>
      </c>
      <c r="AF18" s="3527" t="s">
        <v>3503</v>
      </c>
      <c r="AG18" s="3527" t="s">
        <v>3504</v>
      </c>
      <c r="AH18" s="3527"/>
      <c r="AI18" s="3527" t="s">
        <v>3526</v>
      </c>
      <c r="AJ18" s="3527"/>
      <c r="AK18" s="3527" t="s">
        <v>3680</v>
      </c>
      <c r="AL18" s="3527">
        <v>41</v>
      </c>
      <c r="AM18" s="3527" t="s">
        <v>3681</v>
      </c>
      <c r="AN18" s="3534">
        <v>40101</v>
      </c>
      <c r="AO18" s="3527"/>
      <c r="AP18" s="3527" t="s">
        <v>3574</v>
      </c>
      <c r="AQ18" s="3536">
        <v>40101</v>
      </c>
      <c r="AR18" s="3536"/>
      <c r="AS18" s="3527" t="s">
        <v>3509</v>
      </c>
      <c r="AT18" s="3527" t="s">
        <v>3510</v>
      </c>
      <c r="AU18" s="3527" t="s">
        <v>3511</v>
      </c>
      <c r="AV18" s="3527" t="s">
        <v>3512</v>
      </c>
      <c r="AW18" s="3527"/>
      <c r="AX18" s="3535" t="e">
        <v>#DIV/0!</v>
      </c>
      <c r="AY18" s="3535" t="e">
        <v>#DIV/0!</v>
      </c>
      <c r="AZ18" s="3537" t="s">
        <v>3575</v>
      </c>
      <c r="BA18" s="3537" t="s">
        <v>3514</v>
      </c>
      <c r="BB18" s="3538"/>
      <c r="BC18" s="3539"/>
      <c r="BD18" s="3539"/>
      <c r="BE18" s="3539"/>
      <c r="BF18" s="3539"/>
      <c r="BG18" s="3539"/>
      <c r="BH18" s="3539"/>
      <c r="BI18" s="3539"/>
      <c r="BJ18" s="3539"/>
      <c r="BK18" s="3539"/>
      <c r="BL18" s="3539"/>
      <c r="BM18" s="3539"/>
      <c r="BN18" s="3539"/>
      <c r="BO18" s="3539"/>
      <c r="BP18" s="3539"/>
      <c r="BQ18" s="3539"/>
      <c r="BR18" s="3539"/>
      <c r="BS18" s="3539"/>
      <c r="BT18" s="3539"/>
      <c r="BU18" s="3539"/>
      <c r="BV18" s="3539"/>
      <c r="BW18" s="3539"/>
      <c r="BX18" s="3539"/>
      <c r="BY18" s="3539"/>
      <c r="BZ18" s="3539"/>
      <c r="CA18" s="3539"/>
      <c r="CB18" s="3539"/>
      <c r="CC18" s="3539"/>
      <c r="CD18" s="3539"/>
      <c r="CE18" s="3539"/>
      <c r="CF18" s="3539"/>
      <c r="CG18" s="3539"/>
      <c r="CH18" s="3539"/>
      <c r="CI18" s="3539"/>
      <c r="CJ18" s="3539"/>
      <c r="CK18" s="3539"/>
      <c r="CL18" s="3539"/>
      <c r="CM18" s="3539"/>
      <c r="CN18" s="3539"/>
      <c r="CO18" s="3539"/>
      <c r="CP18" s="3539"/>
      <c r="CQ18" s="3539"/>
      <c r="CR18" s="3539"/>
      <c r="CS18" s="3539"/>
      <c r="CT18" s="3539"/>
      <c r="CU18" s="3539"/>
      <c r="CV18" s="3539"/>
      <c r="CW18" s="3539"/>
      <c r="CX18" s="3539"/>
      <c r="CY18" s="3539"/>
      <c r="CZ18" s="3539"/>
      <c r="DA18" s="3539"/>
      <c r="DB18" s="3539"/>
      <c r="DC18" s="3539"/>
      <c r="DD18" s="3539"/>
      <c r="DE18" s="3539"/>
      <c r="DF18" s="3539"/>
      <c r="DG18" s="3539"/>
      <c r="DH18" s="3539"/>
      <c r="DI18" s="3539"/>
      <c r="DJ18" s="3539"/>
      <c r="DK18" s="3539"/>
      <c r="DL18" s="3539"/>
      <c r="DM18" s="3539"/>
      <c r="DN18" s="3539"/>
      <c r="DO18" s="3539"/>
      <c r="DP18" s="3539"/>
      <c r="DQ18" s="3539"/>
      <c r="DR18" s="3539"/>
      <c r="DS18" s="3539"/>
      <c r="DT18" s="3539"/>
      <c r="DU18" s="3539"/>
      <c r="DV18" s="3539"/>
      <c r="DW18" s="3539"/>
      <c r="DX18" s="3539"/>
      <c r="DY18" s="3539"/>
      <c r="DZ18" s="3539"/>
      <c r="EA18" s="3539"/>
      <c r="EB18" s="3539"/>
      <c r="EC18" s="3539"/>
      <c r="ED18" s="3539"/>
      <c r="EE18" s="3539"/>
      <c r="EF18" s="3539"/>
      <c r="EG18" s="3539"/>
      <c r="EH18" s="3539"/>
      <c r="EI18" s="3539"/>
      <c r="EJ18" s="3539"/>
      <c r="EK18" s="3539"/>
      <c r="EL18" s="3539"/>
      <c r="EM18" s="3539"/>
      <c r="EN18" s="3539"/>
      <c r="EO18" s="3539"/>
      <c r="EP18" s="3539"/>
      <c r="EQ18" s="3539"/>
      <c r="ER18" s="3539"/>
      <c r="ES18" s="3539"/>
      <c r="ET18" s="3539"/>
      <c r="EU18" s="3539"/>
      <c r="EV18" s="3539"/>
      <c r="EW18" s="3539"/>
      <c r="EX18" s="3539"/>
      <c r="EY18" s="3539"/>
      <c r="EZ18" s="3539"/>
      <c r="FA18" s="3539"/>
      <c r="FB18" s="3539"/>
      <c r="FC18" s="3539"/>
      <c r="FD18" s="3539"/>
      <c r="FE18" s="3539"/>
      <c r="FF18" s="3539"/>
      <c r="FG18" s="3539"/>
      <c r="FH18" s="3539"/>
      <c r="FI18" s="3539"/>
      <c r="FJ18" s="3539"/>
      <c r="FK18" s="3539"/>
      <c r="FL18" s="3539"/>
      <c r="FM18" s="3539"/>
      <c r="FN18" s="3539"/>
      <c r="FO18" s="3539"/>
      <c r="FP18" s="3539"/>
      <c r="FQ18" s="3539"/>
      <c r="FR18" s="3539"/>
      <c r="FS18" s="3539"/>
      <c r="FT18" s="3539"/>
      <c r="FU18" s="3539"/>
      <c r="FV18" s="3539"/>
      <c r="FW18" s="3539"/>
      <c r="FX18" s="3539"/>
      <c r="FY18" s="3539"/>
      <c r="FZ18" s="3539"/>
      <c r="GA18" s="3539"/>
      <c r="GB18" s="3539"/>
      <c r="GC18" s="3539"/>
      <c r="GD18" s="3539"/>
      <c r="GE18" s="3539"/>
      <c r="GF18" s="3539"/>
      <c r="GG18" s="3539"/>
      <c r="GH18" s="3539"/>
      <c r="GI18" s="3539"/>
      <c r="GJ18" s="3539"/>
      <c r="GK18" s="3539"/>
      <c r="GL18" s="3539"/>
      <c r="GM18" s="3539"/>
      <c r="GN18" s="3539"/>
      <c r="GO18" s="3539"/>
      <c r="GP18" s="3539"/>
      <c r="GQ18" s="3539"/>
      <c r="GR18" s="3539"/>
      <c r="GS18" s="3539"/>
      <c r="GT18" s="3539"/>
      <c r="GU18" s="3539"/>
      <c r="GV18" s="3539"/>
      <c r="GW18" s="3539"/>
      <c r="GX18" s="3539"/>
      <c r="GY18" s="3539"/>
      <c r="GZ18" s="3539"/>
      <c r="HA18" s="3539"/>
      <c r="HB18" s="3539"/>
      <c r="HC18" s="3539"/>
      <c r="HD18" s="3539"/>
      <c r="HE18" s="3539"/>
      <c r="HF18" s="3539"/>
      <c r="HG18" s="3539"/>
      <c r="HH18" s="3539"/>
      <c r="HI18" s="3539"/>
      <c r="HJ18" s="3539"/>
      <c r="HK18" s="3539"/>
      <c r="HL18" s="3539"/>
      <c r="HM18" s="3539"/>
      <c r="HN18" s="3539"/>
      <c r="HO18" s="3539"/>
      <c r="HP18" s="3539"/>
      <c r="HQ18" s="3539"/>
      <c r="HR18" s="3539"/>
      <c r="HS18" s="3539"/>
      <c r="HT18" s="3539"/>
      <c r="HU18" s="3539"/>
      <c r="HV18" s="3539"/>
      <c r="HW18" s="3539"/>
      <c r="HX18" s="3539"/>
      <c r="HY18" s="3539"/>
      <c r="HZ18" s="3539"/>
      <c r="IA18" s="3539"/>
      <c r="IB18" s="3539"/>
      <c r="IC18" s="3539"/>
    </row>
    <row r="19" spans="1:237" s="3540" customFormat="1">
      <c r="A19" s="3542" t="s">
        <v>3682</v>
      </c>
      <c r="B19" s="3527" t="s">
        <v>3683</v>
      </c>
      <c r="C19" s="3528" t="s">
        <v>3684</v>
      </c>
      <c r="D19" s="3527">
        <v>13651316090</v>
      </c>
      <c r="E19" s="3527" t="s">
        <v>2769</v>
      </c>
      <c r="F19" s="3527" t="s">
        <v>3579</v>
      </c>
      <c r="G19" s="3527"/>
      <c r="H19" s="3527" t="s">
        <v>3580</v>
      </c>
      <c r="I19" s="3527" t="s">
        <v>3685</v>
      </c>
      <c r="J19" s="3527" t="s">
        <v>3568</v>
      </c>
      <c r="K19" s="3527" t="s">
        <v>3683</v>
      </c>
      <c r="L19" s="3541">
        <v>91.75</v>
      </c>
      <c r="M19" s="3527">
        <v>5</v>
      </c>
      <c r="N19" s="3527" t="s">
        <v>3523</v>
      </c>
      <c r="O19" s="3527">
        <v>72.900000000000006</v>
      </c>
      <c r="P19" s="3527" t="s">
        <v>3524</v>
      </c>
      <c r="Q19" s="3527">
        <v>630000</v>
      </c>
      <c r="R19" s="3527">
        <v>6866</v>
      </c>
      <c r="S19" s="3529">
        <v>67.89</v>
      </c>
      <c r="T19" s="3530">
        <v>678900</v>
      </c>
      <c r="U19" s="3527">
        <v>7400</v>
      </c>
      <c r="V19" s="3531">
        <v>0.2</v>
      </c>
      <c r="W19" s="3532">
        <v>54.31</v>
      </c>
      <c r="X19" s="3533">
        <v>543100</v>
      </c>
      <c r="Y19" s="3527">
        <v>2009</v>
      </c>
      <c r="Z19" s="3527">
        <v>11</v>
      </c>
      <c r="AA19" s="3535">
        <v>10</v>
      </c>
      <c r="AB19" s="3527">
        <v>1500</v>
      </c>
      <c r="AC19" s="3527" t="s">
        <v>3525</v>
      </c>
      <c r="AD19" s="3528" t="s">
        <v>3686</v>
      </c>
      <c r="AE19" s="3527" t="s">
        <v>3502</v>
      </c>
      <c r="AF19" s="3527" t="s">
        <v>3503</v>
      </c>
      <c r="AG19" s="3527" t="s">
        <v>3504</v>
      </c>
      <c r="AH19" s="3527"/>
      <c r="AI19" s="3527" t="s">
        <v>3526</v>
      </c>
      <c r="AJ19" s="3527"/>
      <c r="AK19" s="3527" t="s">
        <v>3680</v>
      </c>
      <c r="AL19" s="3527">
        <v>40</v>
      </c>
      <c r="AM19" s="3527" t="s">
        <v>3687</v>
      </c>
      <c r="AN19" s="3534">
        <v>40108</v>
      </c>
      <c r="AO19" s="3527"/>
      <c r="AP19" s="3527" t="s">
        <v>3574</v>
      </c>
      <c r="AQ19" s="3534">
        <v>40108</v>
      </c>
      <c r="AR19" s="3536"/>
      <c r="AS19" s="3527" t="s">
        <v>3688</v>
      </c>
      <c r="AT19" s="3527" t="s">
        <v>3510</v>
      </c>
      <c r="AU19" s="3527" t="s">
        <v>3511</v>
      </c>
      <c r="AV19" s="3527" t="s">
        <v>3512</v>
      </c>
      <c r="AW19" s="3527"/>
      <c r="AX19" s="3535">
        <v>9313</v>
      </c>
      <c r="AY19" s="3535">
        <v>8642</v>
      </c>
      <c r="AZ19" s="3537" t="s">
        <v>3575</v>
      </c>
      <c r="BA19" s="3537" t="s">
        <v>3514</v>
      </c>
      <c r="BB19" s="3538"/>
      <c r="BC19" s="3539"/>
      <c r="BD19" s="3539"/>
      <c r="BE19" s="3539"/>
      <c r="BF19" s="3539"/>
      <c r="BG19" s="3539"/>
      <c r="BH19" s="3539"/>
      <c r="BI19" s="3539"/>
      <c r="BJ19" s="3539"/>
      <c r="BK19" s="3539"/>
      <c r="BL19" s="3539"/>
      <c r="BM19" s="3539"/>
      <c r="BN19" s="3539"/>
      <c r="BO19" s="3539"/>
      <c r="BP19" s="3539"/>
      <c r="BQ19" s="3539"/>
      <c r="BR19" s="3539"/>
      <c r="BS19" s="3539"/>
      <c r="BT19" s="3539"/>
      <c r="BU19" s="3539"/>
      <c r="BV19" s="3539"/>
      <c r="BW19" s="3539"/>
      <c r="BX19" s="3539"/>
      <c r="BY19" s="3539"/>
      <c r="BZ19" s="3539"/>
      <c r="CA19" s="3539"/>
      <c r="CB19" s="3539"/>
      <c r="CC19" s="3539"/>
      <c r="CD19" s="3539"/>
      <c r="CE19" s="3539"/>
      <c r="CF19" s="3539"/>
      <c r="CG19" s="3539"/>
      <c r="CH19" s="3539"/>
      <c r="CI19" s="3539"/>
      <c r="CJ19" s="3539"/>
      <c r="CK19" s="3539"/>
      <c r="CL19" s="3539"/>
      <c r="CM19" s="3539"/>
      <c r="CN19" s="3539"/>
      <c r="CO19" s="3539"/>
      <c r="CP19" s="3539"/>
      <c r="CQ19" s="3539"/>
      <c r="CR19" s="3539"/>
      <c r="CS19" s="3539"/>
      <c r="CT19" s="3539"/>
      <c r="CU19" s="3539"/>
      <c r="CV19" s="3539"/>
      <c r="CW19" s="3539"/>
      <c r="CX19" s="3539"/>
      <c r="CY19" s="3539"/>
      <c r="CZ19" s="3539"/>
      <c r="DA19" s="3539"/>
      <c r="DB19" s="3539"/>
      <c r="DC19" s="3539"/>
      <c r="DD19" s="3539"/>
      <c r="DE19" s="3539"/>
      <c r="DF19" s="3539"/>
      <c r="DG19" s="3539"/>
      <c r="DH19" s="3539"/>
      <c r="DI19" s="3539"/>
      <c r="DJ19" s="3539"/>
      <c r="DK19" s="3539"/>
      <c r="DL19" s="3539"/>
      <c r="DM19" s="3539"/>
      <c r="DN19" s="3539"/>
      <c r="DO19" s="3539"/>
      <c r="DP19" s="3539"/>
      <c r="DQ19" s="3539"/>
      <c r="DR19" s="3539"/>
      <c r="DS19" s="3539"/>
      <c r="DT19" s="3539"/>
      <c r="DU19" s="3539"/>
      <c r="DV19" s="3539"/>
      <c r="DW19" s="3539"/>
      <c r="DX19" s="3539"/>
      <c r="DY19" s="3539"/>
      <c r="DZ19" s="3539"/>
      <c r="EA19" s="3539"/>
      <c r="EB19" s="3539"/>
      <c r="EC19" s="3539"/>
      <c r="ED19" s="3539"/>
      <c r="EE19" s="3539"/>
      <c r="EF19" s="3539"/>
      <c r="EG19" s="3539"/>
      <c r="EH19" s="3539"/>
      <c r="EI19" s="3539"/>
      <c r="EJ19" s="3539"/>
      <c r="EK19" s="3539"/>
      <c r="EL19" s="3539"/>
      <c r="EM19" s="3539"/>
      <c r="EN19" s="3539"/>
      <c r="EO19" s="3539"/>
      <c r="EP19" s="3539"/>
      <c r="EQ19" s="3539"/>
      <c r="ER19" s="3539"/>
      <c r="ES19" s="3539"/>
      <c r="ET19" s="3539"/>
      <c r="EU19" s="3539"/>
      <c r="EV19" s="3539"/>
      <c r="EW19" s="3539"/>
      <c r="EX19" s="3539"/>
      <c r="EY19" s="3539"/>
      <c r="EZ19" s="3539"/>
      <c r="FA19" s="3539"/>
      <c r="FB19" s="3539"/>
      <c r="FC19" s="3539"/>
      <c r="FD19" s="3539"/>
      <c r="FE19" s="3539"/>
      <c r="FF19" s="3539"/>
      <c r="FG19" s="3539"/>
      <c r="FH19" s="3539"/>
      <c r="FI19" s="3539"/>
      <c r="FJ19" s="3539"/>
      <c r="FK19" s="3539"/>
      <c r="FL19" s="3539"/>
      <c r="FM19" s="3539"/>
      <c r="FN19" s="3539"/>
      <c r="FO19" s="3539"/>
      <c r="FP19" s="3539"/>
      <c r="FQ19" s="3539"/>
      <c r="FR19" s="3539"/>
      <c r="FS19" s="3539"/>
      <c r="FT19" s="3539"/>
      <c r="FU19" s="3539"/>
      <c r="FV19" s="3539"/>
      <c r="FW19" s="3539"/>
      <c r="FX19" s="3539"/>
      <c r="FY19" s="3539"/>
      <c r="FZ19" s="3539"/>
      <c r="GA19" s="3539"/>
      <c r="GB19" s="3539"/>
      <c r="GC19" s="3539"/>
      <c r="GD19" s="3539"/>
      <c r="GE19" s="3539"/>
      <c r="GF19" s="3539"/>
      <c r="GG19" s="3539"/>
      <c r="GH19" s="3539"/>
      <c r="GI19" s="3539"/>
      <c r="GJ19" s="3539"/>
      <c r="GK19" s="3539"/>
      <c r="GL19" s="3539"/>
      <c r="GM19" s="3539"/>
      <c r="GN19" s="3539"/>
      <c r="GO19" s="3539"/>
      <c r="GP19" s="3539"/>
      <c r="GQ19" s="3539"/>
      <c r="GR19" s="3539"/>
      <c r="GS19" s="3539"/>
      <c r="GT19" s="3539"/>
      <c r="GU19" s="3539"/>
      <c r="GV19" s="3539"/>
      <c r="GW19" s="3539"/>
      <c r="GX19" s="3539"/>
      <c r="GY19" s="3539"/>
      <c r="GZ19" s="3539"/>
      <c r="HA19" s="3539"/>
      <c r="HB19" s="3539"/>
      <c r="HC19" s="3539"/>
      <c r="HD19" s="3539"/>
      <c r="HE19" s="3539"/>
      <c r="HF19" s="3539"/>
      <c r="HG19" s="3539"/>
      <c r="HH19" s="3539"/>
      <c r="HI19" s="3539"/>
      <c r="HJ19" s="3539"/>
      <c r="HK19" s="3539"/>
      <c r="HL19" s="3539"/>
      <c r="HM19" s="3539"/>
      <c r="HN19" s="3539"/>
      <c r="HO19" s="3539"/>
      <c r="HP19" s="3539"/>
      <c r="HQ19" s="3539"/>
      <c r="HR19" s="3539"/>
      <c r="HS19" s="3539"/>
      <c r="HT19" s="3539"/>
      <c r="HU19" s="3539"/>
      <c r="HV19" s="3539"/>
      <c r="HW19" s="3539"/>
      <c r="HX19" s="3539"/>
      <c r="HY19" s="3539"/>
      <c r="HZ19" s="3539"/>
      <c r="IA19" s="3539"/>
      <c r="IB19" s="3539"/>
      <c r="IC19" s="3539"/>
    </row>
    <row r="20" spans="1:237" s="3540" customFormat="1">
      <c r="A20" s="3527" t="s">
        <v>3689</v>
      </c>
      <c r="B20" s="3527" t="s">
        <v>3690</v>
      </c>
      <c r="C20" s="3528" t="s">
        <v>3691</v>
      </c>
      <c r="D20" s="3527">
        <v>13264027347</v>
      </c>
      <c r="E20" s="3527" t="s">
        <v>2769</v>
      </c>
      <c r="F20" s="3527" t="s">
        <v>3692</v>
      </c>
      <c r="G20" s="3527"/>
      <c r="H20" s="3527" t="s">
        <v>3553</v>
      </c>
      <c r="I20" s="3527" t="s">
        <v>3662</v>
      </c>
      <c r="J20" s="3527" t="s">
        <v>3678</v>
      </c>
      <c r="K20" s="3527" t="s">
        <v>3693</v>
      </c>
      <c r="L20" s="3541">
        <v>90.88</v>
      </c>
      <c r="M20" s="3527">
        <v>6</v>
      </c>
      <c r="N20" s="3527" t="s">
        <v>3523</v>
      </c>
      <c r="O20" s="3527"/>
      <c r="P20" s="3527" t="s">
        <v>3524</v>
      </c>
      <c r="Q20" s="3527">
        <v>390000</v>
      </c>
      <c r="R20" s="3527">
        <v>4291</v>
      </c>
      <c r="S20" s="3529">
        <v>66.790000000000006</v>
      </c>
      <c r="T20" s="3530">
        <v>667900.00000000012</v>
      </c>
      <c r="U20" s="3527">
        <v>7350</v>
      </c>
      <c r="V20" s="3531">
        <v>0.2</v>
      </c>
      <c r="W20" s="3532">
        <v>53.43</v>
      </c>
      <c r="X20" s="3533">
        <v>534300</v>
      </c>
      <c r="Y20" s="3527">
        <v>2009</v>
      </c>
      <c r="Z20" s="3527">
        <v>11</v>
      </c>
      <c r="AA20" s="3527">
        <v>18</v>
      </c>
      <c r="AB20" s="3527">
        <v>1500</v>
      </c>
      <c r="AC20" s="3527" t="s">
        <v>3525</v>
      </c>
      <c r="AD20" s="3527">
        <v>91162009100222</v>
      </c>
      <c r="AE20" s="3527" t="s">
        <v>3502</v>
      </c>
      <c r="AF20" s="3527" t="s">
        <v>3503</v>
      </c>
      <c r="AG20" s="3527" t="s">
        <v>3504</v>
      </c>
      <c r="AH20" s="3527">
        <v>7592</v>
      </c>
      <c r="AI20" s="3527" t="s">
        <v>3694</v>
      </c>
      <c r="AJ20" s="3534"/>
      <c r="AK20" s="3527" t="s">
        <v>3680</v>
      </c>
      <c r="AL20" s="3527">
        <v>37</v>
      </c>
      <c r="AM20" s="3527"/>
      <c r="AN20" s="3534">
        <v>40115</v>
      </c>
      <c r="AO20" s="3527"/>
      <c r="AP20" s="3527" t="s">
        <v>3606</v>
      </c>
      <c r="AQ20" s="3534">
        <v>40115</v>
      </c>
      <c r="AR20" s="3536"/>
      <c r="AS20" s="3527" t="s">
        <v>3509</v>
      </c>
      <c r="AT20" s="3527" t="s">
        <v>3560</v>
      </c>
      <c r="AU20" s="3527"/>
      <c r="AV20" s="3527" t="s">
        <v>3512</v>
      </c>
      <c r="AW20" s="3527"/>
      <c r="AX20" s="3535" t="e">
        <v>#DIV/0!</v>
      </c>
      <c r="AY20" s="3535" t="e">
        <v>#DIV/0!</v>
      </c>
      <c r="AZ20" s="3537" t="s">
        <v>3608</v>
      </c>
      <c r="BA20" s="3537" t="s">
        <v>3514</v>
      </c>
      <c r="BB20" s="3538"/>
      <c r="BC20" s="3539"/>
      <c r="BD20" s="3539"/>
      <c r="BE20" s="3539"/>
      <c r="BF20" s="3539"/>
      <c r="BG20" s="3539"/>
      <c r="BH20" s="3539"/>
      <c r="BI20" s="3539"/>
      <c r="BJ20" s="3539"/>
      <c r="BK20" s="3539"/>
      <c r="BL20" s="3539"/>
      <c r="BM20" s="3539"/>
      <c r="BN20" s="3539"/>
      <c r="BO20" s="3539"/>
      <c r="BP20" s="3539"/>
      <c r="BQ20" s="3539"/>
      <c r="BR20" s="3539"/>
      <c r="BS20" s="3539"/>
      <c r="BT20" s="3539"/>
      <c r="BU20" s="3539"/>
      <c r="BV20" s="3539"/>
      <c r="BW20" s="3539"/>
      <c r="BX20" s="3539"/>
      <c r="BY20" s="3539"/>
      <c r="BZ20" s="3539"/>
      <c r="CA20" s="3539"/>
      <c r="CB20" s="3539"/>
      <c r="CC20" s="3539"/>
      <c r="CD20" s="3539"/>
      <c r="CE20" s="3539"/>
      <c r="CF20" s="3539"/>
      <c r="CG20" s="3539"/>
      <c r="CH20" s="3539"/>
      <c r="CI20" s="3539"/>
      <c r="CJ20" s="3539"/>
      <c r="CK20" s="3539"/>
      <c r="CL20" s="3539"/>
      <c r="CM20" s="3539"/>
      <c r="CN20" s="3539"/>
      <c r="CO20" s="3539"/>
      <c r="CP20" s="3539"/>
      <c r="CQ20" s="3539"/>
      <c r="CR20" s="3539"/>
      <c r="CS20" s="3539"/>
      <c r="CT20" s="3539"/>
      <c r="CU20" s="3539"/>
      <c r="CV20" s="3539"/>
      <c r="CW20" s="3539"/>
      <c r="CX20" s="3539"/>
      <c r="CY20" s="3539"/>
      <c r="CZ20" s="3539"/>
      <c r="DA20" s="3539"/>
      <c r="DB20" s="3539"/>
      <c r="DC20" s="3539"/>
      <c r="DD20" s="3539"/>
      <c r="DE20" s="3539"/>
      <c r="DF20" s="3539"/>
      <c r="DG20" s="3539"/>
      <c r="DH20" s="3539"/>
      <c r="DI20" s="3539"/>
      <c r="DJ20" s="3539"/>
      <c r="DK20" s="3539"/>
      <c r="DL20" s="3539"/>
      <c r="DM20" s="3539"/>
      <c r="DN20" s="3539"/>
      <c r="DO20" s="3539"/>
      <c r="DP20" s="3539"/>
      <c r="DQ20" s="3539"/>
      <c r="DR20" s="3539"/>
      <c r="DS20" s="3539"/>
      <c r="DT20" s="3539"/>
      <c r="DU20" s="3539"/>
      <c r="DV20" s="3539"/>
      <c r="DW20" s="3539"/>
      <c r="DX20" s="3539"/>
      <c r="DY20" s="3539"/>
      <c r="DZ20" s="3539"/>
      <c r="EA20" s="3539"/>
      <c r="EB20" s="3539"/>
      <c r="EC20" s="3539"/>
      <c r="ED20" s="3539"/>
      <c r="EE20" s="3539"/>
      <c r="EF20" s="3539"/>
      <c r="EG20" s="3539"/>
      <c r="EH20" s="3539"/>
      <c r="EI20" s="3539"/>
      <c r="EJ20" s="3539"/>
      <c r="EK20" s="3539"/>
      <c r="EL20" s="3539"/>
      <c r="EM20" s="3539"/>
      <c r="EN20" s="3539"/>
      <c r="EO20" s="3539"/>
      <c r="EP20" s="3539"/>
      <c r="EQ20" s="3539"/>
      <c r="ER20" s="3539"/>
      <c r="ES20" s="3539"/>
      <c r="ET20" s="3539"/>
      <c r="EU20" s="3539"/>
      <c r="EV20" s="3539"/>
      <c r="EW20" s="3539"/>
      <c r="EX20" s="3539"/>
      <c r="EY20" s="3539"/>
      <c r="EZ20" s="3539"/>
      <c r="FA20" s="3539"/>
      <c r="FB20" s="3539"/>
      <c r="FC20" s="3539"/>
      <c r="FD20" s="3539"/>
      <c r="FE20" s="3539"/>
      <c r="FF20" s="3539"/>
      <c r="FG20" s="3539"/>
      <c r="FH20" s="3539"/>
      <c r="FI20" s="3539"/>
      <c r="FJ20" s="3539"/>
      <c r="FK20" s="3539"/>
      <c r="FL20" s="3539"/>
      <c r="FM20" s="3539"/>
      <c r="FN20" s="3539"/>
      <c r="FO20" s="3539"/>
      <c r="FP20" s="3539"/>
      <c r="FQ20" s="3539"/>
      <c r="FR20" s="3539"/>
      <c r="FS20" s="3539"/>
      <c r="FT20" s="3539"/>
      <c r="FU20" s="3539"/>
      <c r="FV20" s="3539"/>
      <c r="FW20" s="3539"/>
      <c r="FX20" s="3539"/>
      <c r="FY20" s="3539"/>
      <c r="FZ20" s="3539"/>
      <c r="GA20" s="3539"/>
      <c r="GB20" s="3539"/>
      <c r="GC20" s="3539"/>
      <c r="GD20" s="3539"/>
      <c r="GE20" s="3539"/>
      <c r="GF20" s="3539"/>
      <c r="GG20" s="3539"/>
      <c r="GH20" s="3539"/>
      <c r="GI20" s="3539"/>
      <c r="GJ20" s="3539"/>
      <c r="GK20" s="3539"/>
      <c r="GL20" s="3539"/>
      <c r="GM20" s="3539"/>
      <c r="GN20" s="3539"/>
      <c r="GO20" s="3539"/>
      <c r="GP20" s="3539"/>
      <c r="GQ20" s="3539"/>
      <c r="GR20" s="3539"/>
      <c r="GS20" s="3539"/>
      <c r="GT20" s="3539"/>
      <c r="GU20" s="3539"/>
      <c r="GV20" s="3539"/>
      <c r="GW20" s="3539"/>
      <c r="GX20" s="3539"/>
      <c r="GY20" s="3539"/>
      <c r="GZ20" s="3539"/>
      <c r="HA20" s="3539"/>
      <c r="HB20" s="3539"/>
      <c r="HC20" s="3539"/>
      <c r="HD20" s="3539"/>
      <c r="HE20" s="3539"/>
      <c r="HF20" s="3539"/>
      <c r="HG20" s="3539"/>
      <c r="HH20" s="3539"/>
      <c r="HI20" s="3539"/>
      <c r="HJ20" s="3539"/>
      <c r="HK20" s="3539"/>
      <c r="HL20" s="3539"/>
      <c r="HM20" s="3539"/>
      <c r="HN20" s="3539"/>
      <c r="HO20" s="3539"/>
      <c r="HP20" s="3539"/>
      <c r="HQ20" s="3539"/>
      <c r="HR20" s="3539"/>
      <c r="HS20" s="3539"/>
      <c r="HT20" s="3539"/>
      <c r="HU20" s="3539"/>
      <c r="HV20" s="3539"/>
      <c r="HW20" s="3539"/>
      <c r="HX20" s="3539"/>
      <c r="HY20" s="3539"/>
      <c r="HZ20" s="3539"/>
      <c r="IA20" s="3539"/>
      <c r="IB20" s="3539"/>
      <c r="IC20" s="3539"/>
    </row>
    <row r="21" spans="1:237" s="3540" customFormat="1">
      <c r="A21" s="3527" t="s">
        <v>3695</v>
      </c>
      <c r="B21" s="3527" t="s">
        <v>3696</v>
      </c>
      <c r="C21" s="3528" t="s">
        <v>3697</v>
      </c>
      <c r="D21" s="3527">
        <v>13716361123</v>
      </c>
      <c r="E21" s="3527" t="s">
        <v>2769</v>
      </c>
      <c r="F21" s="3527" t="s">
        <v>3579</v>
      </c>
      <c r="G21" s="3527"/>
      <c r="H21" s="3527" t="s">
        <v>3553</v>
      </c>
      <c r="I21" s="3527" t="s">
        <v>3685</v>
      </c>
      <c r="J21" s="3527" t="s">
        <v>3672</v>
      </c>
      <c r="K21" s="3527" t="s">
        <v>3698</v>
      </c>
      <c r="L21" s="3541">
        <v>105.93</v>
      </c>
      <c r="M21" s="3527">
        <v>5</v>
      </c>
      <c r="N21" s="3527" t="s">
        <v>3557</v>
      </c>
      <c r="O21" s="3527"/>
      <c r="P21" s="3527" t="s">
        <v>3524</v>
      </c>
      <c r="Q21" s="3527">
        <v>420000</v>
      </c>
      <c r="R21" s="3527">
        <v>3965</v>
      </c>
      <c r="S21" s="3529">
        <v>81.03</v>
      </c>
      <c r="T21" s="3530">
        <v>810300</v>
      </c>
      <c r="U21" s="3527">
        <v>7650</v>
      </c>
      <c r="V21" s="3531">
        <v>0.2</v>
      </c>
      <c r="W21" s="3532">
        <v>64.819999999999993</v>
      </c>
      <c r="X21" s="3533">
        <v>648199.99999999988</v>
      </c>
      <c r="Y21" s="3527">
        <v>2009</v>
      </c>
      <c r="Z21" s="3527">
        <v>11</v>
      </c>
      <c r="AA21" s="3527">
        <v>24</v>
      </c>
      <c r="AB21" s="3527">
        <v>1500</v>
      </c>
      <c r="AC21" s="3527" t="s">
        <v>3525</v>
      </c>
      <c r="AD21" s="3527">
        <v>91162009110035</v>
      </c>
      <c r="AE21" s="3527" t="s">
        <v>3502</v>
      </c>
      <c r="AF21" s="3527" t="s">
        <v>3503</v>
      </c>
      <c r="AG21" s="3527" t="s">
        <v>3504</v>
      </c>
      <c r="AH21" s="3527">
        <v>7835</v>
      </c>
      <c r="AI21" s="3527" t="s">
        <v>3526</v>
      </c>
      <c r="AJ21" s="3534"/>
      <c r="AK21" s="3527" t="s">
        <v>3680</v>
      </c>
      <c r="AL21" s="3527">
        <v>40</v>
      </c>
      <c r="AM21" s="3527"/>
      <c r="AN21" s="3534">
        <v>40121</v>
      </c>
      <c r="AO21" s="3527"/>
      <c r="AP21" s="3527" t="s">
        <v>3606</v>
      </c>
      <c r="AQ21" s="3534">
        <v>40121</v>
      </c>
      <c r="AR21" s="3536"/>
      <c r="AS21" s="3527" t="s">
        <v>3509</v>
      </c>
      <c r="AT21" s="3527" t="s">
        <v>3560</v>
      </c>
      <c r="AU21" s="3527"/>
      <c r="AV21" s="3527" t="s">
        <v>3512</v>
      </c>
      <c r="AW21" s="3527"/>
      <c r="AX21" s="3535" t="e">
        <v>#DIV/0!</v>
      </c>
      <c r="AY21" s="3535" t="e">
        <v>#DIV/0!</v>
      </c>
      <c r="AZ21" s="3537" t="s">
        <v>3608</v>
      </c>
      <c r="BA21" s="3537" t="s">
        <v>3514</v>
      </c>
      <c r="BB21" s="3538"/>
      <c r="BC21" s="3539"/>
      <c r="BD21" s="3539"/>
      <c r="BE21" s="3539"/>
      <c r="BF21" s="3539"/>
      <c r="BG21" s="3539"/>
      <c r="BH21" s="3539"/>
      <c r="BI21" s="3539"/>
      <c r="BJ21" s="3539"/>
      <c r="BK21" s="3539"/>
      <c r="BL21" s="3539"/>
      <c r="BM21" s="3539"/>
      <c r="BN21" s="3539"/>
      <c r="BO21" s="3539"/>
      <c r="BP21" s="3539"/>
      <c r="BQ21" s="3539"/>
      <c r="BR21" s="3539"/>
      <c r="BS21" s="3539"/>
      <c r="BT21" s="3539"/>
      <c r="BU21" s="3539"/>
      <c r="BV21" s="3539"/>
      <c r="BW21" s="3539"/>
      <c r="BX21" s="3539"/>
      <c r="BY21" s="3539"/>
      <c r="BZ21" s="3539"/>
      <c r="CA21" s="3539"/>
      <c r="CB21" s="3539"/>
      <c r="CC21" s="3539"/>
      <c r="CD21" s="3539"/>
      <c r="CE21" s="3539"/>
      <c r="CF21" s="3539"/>
      <c r="CG21" s="3539"/>
      <c r="CH21" s="3539"/>
      <c r="CI21" s="3539"/>
      <c r="CJ21" s="3539"/>
      <c r="CK21" s="3539"/>
      <c r="CL21" s="3539"/>
      <c r="CM21" s="3539"/>
      <c r="CN21" s="3539"/>
      <c r="CO21" s="3539"/>
      <c r="CP21" s="3539"/>
      <c r="CQ21" s="3539"/>
      <c r="CR21" s="3539"/>
      <c r="CS21" s="3539"/>
      <c r="CT21" s="3539"/>
      <c r="CU21" s="3539"/>
      <c r="CV21" s="3539"/>
      <c r="CW21" s="3539"/>
      <c r="CX21" s="3539"/>
      <c r="CY21" s="3539"/>
      <c r="CZ21" s="3539"/>
      <c r="DA21" s="3539"/>
      <c r="DB21" s="3539"/>
      <c r="DC21" s="3539"/>
      <c r="DD21" s="3539"/>
      <c r="DE21" s="3539"/>
      <c r="DF21" s="3539"/>
      <c r="DG21" s="3539"/>
      <c r="DH21" s="3539"/>
      <c r="DI21" s="3539"/>
      <c r="DJ21" s="3539"/>
      <c r="DK21" s="3539"/>
      <c r="DL21" s="3539"/>
      <c r="DM21" s="3539"/>
      <c r="DN21" s="3539"/>
      <c r="DO21" s="3539"/>
      <c r="DP21" s="3539"/>
      <c r="DQ21" s="3539"/>
      <c r="DR21" s="3539"/>
      <c r="DS21" s="3539"/>
      <c r="DT21" s="3539"/>
      <c r="DU21" s="3539"/>
      <c r="DV21" s="3539"/>
      <c r="DW21" s="3539"/>
      <c r="DX21" s="3539"/>
      <c r="DY21" s="3539"/>
      <c r="DZ21" s="3539"/>
      <c r="EA21" s="3539"/>
      <c r="EB21" s="3539"/>
      <c r="EC21" s="3539"/>
      <c r="ED21" s="3539"/>
      <c r="EE21" s="3539"/>
      <c r="EF21" s="3539"/>
      <c r="EG21" s="3539"/>
      <c r="EH21" s="3539"/>
      <c r="EI21" s="3539"/>
      <c r="EJ21" s="3539"/>
      <c r="EK21" s="3539"/>
      <c r="EL21" s="3539"/>
      <c r="EM21" s="3539"/>
      <c r="EN21" s="3539"/>
      <c r="EO21" s="3539"/>
      <c r="EP21" s="3539"/>
      <c r="EQ21" s="3539"/>
      <c r="ER21" s="3539"/>
      <c r="ES21" s="3539"/>
      <c r="ET21" s="3539"/>
      <c r="EU21" s="3539"/>
      <c r="EV21" s="3539"/>
      <c r="EW21" s="3539"/>
      <c r="EX21" s="3539"/>
      <c r="EY21" s="3539"/>
      <c r="EZ21" s="3539"/>
      <c r="FA21" s="3539"/>
      <c r="FB21" s="3539"/>
      <c r="FC21" s="3539"/>
      <c r="FD21" s="3539"/>
      <c r="FE21" s="3539"/>
      <c r="FF21" s="3539"/>
      <c r="FG21" s="3539"/>
      <c r="FH21" s="3539"/>
      <c r="FI21" s="3539"/>
      <c r="FJ21" s="3539"/>
      <c r="FK21" s="3539"/>
      <c r="FL21" s="3539"/>
      <c r="FM21" s="3539"/>
      <c r="FN21" s="3539"/>
      <c r="FO21" s="3539"/>
      <c r="FP21" s="3539"/>
      <c r="FQ21" s="3539"/>
      <c r="FR21" s="3539"/>
      <c r="FS21" s="3539"/>
      <c r="FT21" s="3539"/>
      <c r="FU21" s="3539"/>
      <c r="FV21" s="3539"/>
      <c r="FW21" s="3539"/>
      <c r="FX21" s="3539"/>
      <c r="FY21" s="3539"/>
      <c r="FZ21" s="3539"/>
      <c r="GA21" s="3539"/>
      <c r="GB21" s="3539"/>
      <c r="GC21" s="3539"/>
      <c r="GD21" s="3539"/>
      <c r="GE21" s="3539"/>
      <c r="GF21" s="3539"/>
      <c r="GG21" s="3539"/>
      <c r="GH21" s="3539"/>
      <c r="GI21" s="3539"/>
      <c r="GJ21" s="3539"/>
      <c r="GK21" s="3539"/>
      <c r="GL21" s="3539"/>
      <c r="GM21" s="3539"/>
      <c r="GN21" s="3539"/>
      <c r="GO21" s="3539"/>
      <c r="GP21" s="3539"/>
      <c r="GQ21" s="3539"/>
      <c r="GR21" s="3539"/>
      <c r="GS21" s="3539"/>
      <c r="GT21" s="3539"/>
      <c r="GU21" s="3539"/>
      <c r="GV21" s="3539"/>
      <c r="GW21" s="3539"/>
      <c r="GX21" s="3539"/>
      <c r="GY21" s="3539"/>
      <c r="GZ21" s="3539"/>
      <c r="HA21" s="3539"/>
      <c r="HB21" s="3539"/>
      <c r="HC21" s="3539"/>
      <c r="HD21" s="3539"/>
      <c r="HE21" s="3539"/>
      <c r="HF21" s="3539"/>
      <c r="HG21" s="3539"/>
      <c r="HH21" s="3539"/>
      <c r="HI21" s="3539"/>
      <c r="HJ21" s="3539"/>
      <c r="HK21" s="3539"/>
      <c r="HL21" s="3539"/>
      <c r="HM21" s="3539"/>
      <c r="HN21" s="3539"/>
      <c r="HO21" s="3539"/>
      <c r="HP21" s="3539"/>
      <c r="HQ21" s="3539"/>
      <c r="HR21" s="3539"/>
      <c r="HS21" s="3539"/>
      <c r="HT21" s="3539"/>
      <c r="HU21" s="3539"/>
      <c r="HV21" s="3539"/>
      <c r="HW21" s="3539"/>
      <c r="HX21" s="3539"/>
      <c r="HY21" s="3539"/>
      <c r="HZ21" s="3539"/>
      <c r="IA21" s="3539"/>
      <c r="IB21" s="3539"/>
      <c r="IC21" s="3539"/>
    </row>
    <row r="22" spans="1:237" s="3540" customFormat="1">
      <c r="A22" s="3527" t="s">
        <v>3699</v>
      </c>
      <c r="B22" s="3527" t="s">
        <v>3700</v>
      </c>
      <c r="C22" s="3528" t="s">
        <v>3701</v>
      </c>
      <c r="D22" s="3527">
        <v>13520623131</v>
      </c>
      <c r="E22" s="3527" t="s">
        <v>2769</v>
      </c>
      <c r="F22" s="3527" t="s">
        <v>3494</v>
      </c>
      <c r="G22" s="3527"/>
      <c r="H22" s="3527" t="s">
        <v>3702</v>
      </c>
      <c r="I22" s="3527" t="s">
        <v>3703</v>
      </c>
      <c r="J22" s="3527" t="s">
        <v>3602</v>
      </c>
      <c r="K22" s="3527" t="s">
        <v>3700</v>
      </c>
      <c r="L22" s="3541">
        <v>81.19</v>
      </c>
      <c r="M22" s="3527">
        <v>6</v>
      </c>
      <c r="N22" s="3527" t="s">
        <v>3523</v>
      </c>
      <c r="O22" s="3527">
        <v>71.13</v>
      </c>
      <c r="P22" s="3527" t="s">
        <v>3524</v>
      </c>
      <c r="Q22" s="3527">
        <v>600000</v>
      </c>
      <c r="R22" s="3527">
        <v>7390</v>
      </c>
      <c r="S22" s="3529">
        <v>62.11</v>
      </c>
      <c r="T22" s="3530">
        <v>621100</v>
      </c>
      <c r="U22" s="3527">
        <v>7650</v>
      </c>
      <c r="V22" s="3531">
        <v>0.2</v>
      </c>
      <c r="W22" s="3532">
        <v>49.68</v>
      </c>
      <c r="X22" s="3533">
        <v>496800</v>
      </c>
      <c r="Y22" s="3527">
        <v>2009</v>
      </c>
      <c r="Z22" s="3527">
        <v>11</v>
      </c>
      <c r="AA22" s="3527">
        <v>23</v>
      </c>
      <c r="AB22" s="3527">
        <v>1500</v>
      </c>
      <c r="AC22" s="3527" t="s">
        <v>3514</v>
      </c>
      <c r="AD22" s="3528" t="s">
        <v>3704</v>
      </c>
      <c r="AE22" s="3527" t="s">
        <v>3502</v>
      </c>
      <c r="AF22" s="3527" t="s">
        <v>3503</v>
      </c>
      <c r="AG22" s="3527" t="s">
        <v>3504</v>
      </c>
      <c r="AH22" s="3527"/>
      <c r="AI22" s="3527" t="s">
        <v>3618</v>
      </c>
      <c r="AJ22" s="3527"/>
      <c r="AK22" s="3527" t="s">
        <v>3680</v>
      </c>
      <c r="AL22" s="3527">
        <v>45</v>
      </c>
      <c r="AM22" s="3527" t="s">
        <v>3705</v>
      </c>
      <c r="AN22" s="3534">
        <v>40121</v>
      </c>
      <c r="AO22" s="3527"/>
      <c r="AP22" s="3527" t="s">
        <v>3574</v>
      </c>
      <c r="AQ22" s="3536">
        <v>40121</v>
      </c>
      <c r="AR22" s="3536"/>
      <c r="AS22" s="3527" t="s">
        <v>3509</v>
      </c>
      <c r="AT22" s="3527" t="s">
        <v>3510</v>
      </c>
      <c r="AU22" s="3527" t="s">
        <v>3511</v>
      </c>
      <c r="AV22" s="3527" t="s">
        <v>3512</v>
      </c>
      <c r="AW22" s="3527"/>
      <c r="AX22" s="3535">
        <v>8732</v>
      </c>
      <c r="AY22" s="3535">
        <v>8435</v>
      </c>
      <c r="AZ22" s="3537" t="s">
        <v>3575</v>
      </c>
      <c r="BA22" s="3537" t="s">
        <v>3514</v>
      </c>
      <c r="BB22" s="3538"/>
      <c r="BC22" s="3539"/>
      <c r="BD22" s="3539"/>
      <c r="BE22" s="3539"/>
      <c r="BF22" s="3539"/>
      <c r="BG22" s="3539"/>
      <c r="BH22" s="3539"/>
      <c r="BI22" s="3539"/>
      <c r="BJ22" s="3539"/>
      <c r="BK22" s="3539"/>
      <c r="BL22" s="3539"/>
      <c r="BM22" s="3539"/>
      <c r="BN22" s="3539"/>
      <c r="BO22" s="3539"/>
      <c r="BP22" s="3539"/>
      <c r="BQ22" s="3539"/>
      <c r="BR22" s="3539"/>
      <c r="BS22" s="3539"/>
      <c r="BT22" s="3539"/>
      <c r="BU22" s="3539"/>
      <c r="BV22" s="3539"/>
      <c r="BW22" s="3539"/>
      <c r="BX22" s="3539"/>
      <c r="BY22" s="3539"/>
      <c r="BZ22" s="3539"/>
      <c r="CA22" s="3539"/>
      <c r="CB22" s="3539"/>
      <c r="CC22" s="3539"/>
      <c r="CD22" s="3539"/>
      <c r="CE22" s="3539"/>
      <c r="CF22" s="3539"/>
      <c r="CG22" s="3539"/>
      <c r="CH22" s="3539"/>
      <c r="CI22" s="3539"/>
      <c r="CJ22" s="3539"/>
      <c r="CK22" s="3539"/>
      <c r="CL22" s="3539"/>
      <c r="CM22" s="3539"/>
      <c r="CN22" s="3539"/>
      <c r="CO22" s="3539"/>
      <c r="CP22" s="3539"/>
      <c r="CQ22" s="3539"/>
      <c r="CR22" s="3539"/>
      <c r="CS22" s="3539"/>
      <c r="CT22" s="3539"/>
      <c r="CU22" s="3539"/>
      <c r="CV22" s="3539"/>
      <c r="CW22" s="3539"/>
      <c r="CX22" s="3539"/>
      <c r="CY22" s="3539"/>
      <c r="CZ22" s="3539"/>
      <c r="DA22" s="3539"/>
      <c r="DB22" s="3539"/>
      <c r="DC22" s="3539"/>
      <c r="DD22" s="3539"/>
      <c r="DE22" s="3539"/>
      <c r="DF22" s="3539"/>
      <c r="DG22" s="3539"/>
      <c r="DH22" s="3539"/>
      <c r="DI22" s="3539"/>
      <c r="DJ22" s="3539"/>
      <c r="DK22" s="3539"/>
      <c r="DL22" s="3539"/>
      <c r="DM22" s="3539"/>
      <c r="DN22" s="3539"/>
      <c r="DO22" s="3539"/>
      <c r="DP22" s="3539"/>
      <c r="DQ22" s="3539"/>
      <c r="DR22" s="3539"/>
      <c r="DS22" s="3539"/>
      <c r="DT22" s="3539"/>
      <c r="DU22" s="3539"/>
      <c r="DV22" s="3539"/>
      <c r="DW22" s="3539"/>
      <c r="DX22" s="3539"/>
      <c r="DY22" s="3539"/>
      <c r="DZ22" s="3539"/>
      <c r="EA22" s="3539"/>
      <c r="EB22" s="3539"/>
      <c r="EC22" s="3539"/>
      <c r="ED22" s="3539"/>
      <c r="EE22" s="3539"/>
      <c r="EF22" s="3539"/>
      <c r="EG22" s="3539"/>
      <c r="EH22" s="3539"/>
      <c r="EI22" s="3539"/>
      <c r="EJ22" s="3539"/>
      <c r="EK22" s="3539"/>
      <c r="EL22" s="3539"/>
      <c r="EM22" s="3539"/>
      <c r="EN22" s="3539"/>
      <c r="EO22" s="3539"/>
      <c r="EP22" s="3539"/>
      <c r="EQ22" s="3539"/>
      <c r="ER22" s="3539"/>
      <c r="ES22" s="3539"/>
      <c r="ET22" s="3539"/>
      <c r="EU22" s="3539"/>
      <c r="EV22" s="3539"/>
      <c r="EW22" s="3539"/>
      <c r="EX22" s="3539"/>
      <c r="EY22" s="3539"/>
      <c r="EZ22" s="3539"/>
      <c r="FA22" s="3539"/>
      <c r="FB22" s="3539"/>
      <c r="FC22" s="3539"/>
      <c r="FD22" s="3539"/>
      <c r="FE22" s="3539"/>
      <c r="FF22" s="3539"/>
      <c r="FG22" s="3539"/>
      <c r="FH22" s="3539"/>
      <c r="FI22" s="3539"/>
      <c r="FJ22" s="3539"/>
      <c r="FK22" s="3539"/>
      <c r="FL22" s="3539"/>
      <c r="FM22" s="3539"/>
      <c r="FN22" s="3539"/>
      <c r="FO22" s="3539"/>
      <c r="FP22" s="3539"/>
      <c r="FQ22" s="3539"/>
      <c r="FR22" s="3539"/>
      <c r="FS22" s="3539"/>
      <c r="FT22" s="3539"/>
      <c r="FU22" s="3539"/>
      <c r="FV22" s="3539"/>
      <c r="FW22" s="3539"/>
      <c r="FX22" s="3539"/>
      <c r="FY22" s="3539"/>
      <c r="FZ22" s="3539"/>
      <c r="GA22" s="3539"/>
      <c r="GB22" s="3539"/>
      <c r="GC22" s="3539"/>
      <c r="GD22" s="3539"/>
      <c r="GE22" s="3539"/>
      <c r="GF22" s="3539"/>
      <c r="GG22" s="3539"/>
      <c r="GH22" s="3539"/>
      <c r="GI22" s="3539"/>
      <c r="GJ22" s="3539"/>
      <c r="GK22" s="3539"/>
      <c r="GL22" s="3539"/>
      <c r="GM22" s="3539"/>
      <c r="GN22" s="3539"/>
      <c r="GO22" s="3539"/>
      <c r="GP22" s="3539"/>
      <c r="GQ22" s="3539"/>
      <c r="GR22" s="3539"/>
      <c r="GS22" s="3539"/>
      <c r="GT22" s="3539"/>
      <c r="GU22" s="3539"/>
      <c r="GV22" s="3539"/>
      <c r="GW22" s="3539"/>
      <c r="GX22" s="3539"/>
      <c r="GY22" s="3539"/>
      <c r="GZ22" s="3539"/>
      <c r="HA22" s="3539"/>
      <c r="HB22" s="3539"/>
      <c r="HC22" s="3539"/>
      <c r="HD22" s="3539"/>
      <c r="HE22" s="3539"/>
      <c r="HF22" s="3539"/>
      <c r="HG22" s="3539"/>
      <c r="HH22" s="3539"/>
      <c r="HI22" s="3539"/>
      <c r="HJ22" s="3539"/>
      <c r="HK22" s="3539"/>
      <c r="HL22" s="3539"/>
      <c r="HM22" s="3539"/>
      <c r="HN22" s="3539"/>
      <c r="HO22" s="3539"/>
      <c r="HP22" s="3539"/>
      <c r="HQ22" s="3539"/>
      <c r="HR22" s="3539"/>
      <c r="HS22" s="3539"/>
      <c r="HT22" s="3539"/>
      <c r="HU22" s="3539"/>
      <c r="HV22" s="3539"/>
      <c r="HW22" s="3539"/>
      <c r="HX22" s="3539"/>
      <c r="HY22" s="3539"/>
      <c r="HZ22" s="3539"/>
      <c r="IA22" s="3539"/>
      <c r="IB22" s="3539"/>
      <c r="IC22" s="3539"/>
    </row>
    <row r="23" spans="1:237" s="3540" customFormat="1">
      <c r="A23" s="3527" t="s">
        <v>3706</v>
      </c>
      <c r="B23" s="3527" t="s">
        <v>3707</v>
      </c>
      <c r="C23" s="3528" t="s">
        <v>3708</v>
      </c>
      <c r="D23" s="3527">
        <v>13911932909</v>
      </c>
      <c r="E23" s="3527" t="s">
        <v>2769</v>
      </c>
      <c r="F23" s="3527" t="s">
        <v>3631</v>
      </c>
      <c r="G23" s="3527"/>
      <c r="H23" s="3527" t="s">
        <v>3709</v>
      </c>
      <c r="I23" s="3527" t="s">
        <v>3671</v>
      </c>
      <c r="J23" s="3527" t="s">
        <v>3710</v>
      </c>
      <c r="K23" s="3527" t="s">
        <v>3707</v>
      </c>
      <c r="L23" s="3541">
        <v>129.63999999999999</v>
      </c>
      <c r="M23" s="3527">
        <v>5</v>
      </c>
      <c r="N23" s="3527" t="s">
        <v>3647</v>
      </c>
      <c r="O23" s="3527"/>
      <c r="P23" s="3527" t="s">
        <v>3524</v>
      </c>
      <c r="Q23" s="3527">
        <v>500000</v>
      </c>
      <c r="R23" s="3527">
        <v>3857</v>
      </c>
      <c r="S23" s="3529">
        <v>97.23</v>
      </c>
      <c r="T23" s="3530">
        <v>972300</v>
      </c>
      <c r="U23" s="3527">
        <v>7500</v>
      </c>
      <c r="V23" s="3531">
        <v>0.2</v>
      </c>
      <c r="W23" s="3532">
        <v>77.78</v>
      </c>
      <c r="X23" s="3533">
        <v>777800</v>
      </c>
      <c r="Y23" s="3527">
        <v>2009</v>
      </c>
      <c r="Z23" s="3527">
        <v>11</v>
      </c>
      <c r="AA23" s="3527">
        <v>24</v>
      </c>
      <c r="AB23" s="3527">
        <v>1500</v>
      </c>
      <c r="AC23" s="3527" t="s">
        <v>3514</v>
      </c>
      <c r="AD23" s="3528" t="s">
        <v>3711</v>
      </c>
      <c r="AE23" s="3527" t="s">
        <v>3502</v>
      </c>
      <c r="AF23" s="3527" t="s">
        <v>3503</v>
      </c>
      <c r="AG23" s="3527" t="s">
        <v>3504</v>
      </c>
      <c r="AH23" s="3527">
        <v>7829</v>
      </c>
      <c r="AI23" s="3527" t="s">
        <v>3618</v>
      </c>
      <c r="AJ23" s="3534"/>
      <c r="AK23" s="3527" t="s">
        <v>3680</v>
      </c>
      <c r="AL23" s="3527">
        <v>37</v>
      </c>
      <c r="AM23" s="3527" t="s">
        <v>3712</v>
      </c>
      <c r="AN23" s="3534">
        <v>40122</v>
      </c>
      <c r="AO23" s="3527"/>
      <c r="AP23" s="3527" t="s">
        <v>3574</v>
      </c>
      <c r="AQ23" s="3536">
        <v>40122</v>
      </c>
      <c r="AR23" s="3536"/>
      <c r="AS23" s="3527" t="s">
        <v>3509</v>
      </c>
      <c r="AT23" s="3527" t="s">
        <v>3560</v>
      </c>
      <c r="AU23" s="3527" t="s">
        <v>3511</v>
      </c>
      <c r="AV23" s="3527" t="s">
        <v>3512</v>
      </c>
      <c r="AW23" s="3527"/>
      <c r="AX23" s="3535" t="e">
        <v>#DIV/0!</v>
      </c>
      <c r="AY23" s="3535" t="e">
        <v>#DIV/0!</v>
      </c>
      <c r="AZ23" s="3537" t="s">
        <v>3575</v>
      </c>
      <c r="BA23" s="3537" t="s">
        <v>3514</v>
      </c>
      <c r="BB23" s="3538"/>
      <c r="BC23" s="3539"/>
      <c r="BD23" s="3539"/>
      <c r="BE23" s="3539"/>
      <c r="BF23" s="3539"/>
      <c r="BG23" s="3539"/>
      <c r="BH23" s="3539"/>
      <c r="BI23" s="3539"/>
      <c r="BJ23" s="3539"/>
      <c r="BK23" s="3539"/>
      <c r="BL23" s="3539"/>
      <c r="BM23" s="3539"/>
      <c r="BN23" s="3539"/>
      <c r="BO23" s="3539"/>
      <c r="BP23" s="3539"/>
      <c r="BQ23" s="3539"/>
      <c r="BR23" s="3539"/>
      <c r="BS23" s="3539"/>
      <c r="BT23" s="3539"/>
      <c r="BU23" s="3539"/>
      <c r="BV23" s="3539"/>
      <c r="BW23" s="3539"/>
      <c r="BX23" s="3539"/>
      <c r="BY23" s="3539"/>
      <c r="BZ23" s="3539"/>
      <c r="CA23" s="3539"/>
      <c r="CB23" s="3539"/>
      <c r="CC23" s="3539"/>
      <c r="CD23" s="3539"/>
      <c r="CE23" s="3539"/>
      <c r="CF23" s="3539"/>
      <c r="CG23" s="3539"/>
      <c r="CH23" s="3539"/>
      <c r="CI23" s="3539"/>
      <c r="CJ23" s="3539"/>
      <c r="CK23" s="3539"/>
      <c r="CL23" s="3539"/>
      <c r="CM23" s="3539"/>
      <c r="CN23" s="3539"/>
      <c r="CO23" s="3539"/>
      <c r="CP23" s="3539"/>
      <c r="CQ23" s="3539"/>
      <c r="CR23" s="3539"/>
      <c r="CS23" s="3539"/>
      <c r="CT23" s="3539"/>
      <c r="CU23" s="3539"/>
      <c r="CV23" s="3539"/>
      <c r="CW23" s="3539"/>
      <c r="CX23" s="3539"/>
      <c r="CY23" s="3539"/>
      <c r="CZ23" s="3539"/>
      <c r="DA23" s="3539"/>
      <c r="DB23" s="3539"/>
      <c r="DC23" s="3539"/>
      <c r="DD23" s="3539"/>
      <c r="DE23" s="3539"/>
      <c r="DF23" s="3539"/>
      <c r="DG23" s="3539"/>
      <c r="DH23" s="3539"/>
      <c r="DI23" s="3539"/>
      <c r="DJ23" s="3539"/>
      <c r="DK23" s="3539"/>
      <c r="DL23" s="3539"/>
      <c r="DM23" s="3539"/>
      <c r="DN23" s="3539"/>
      <c r="DO23" s="3539"/>
      <c r="DP23" s="3539"/>
      <c r="DQ23" s="3539"/>
      <c r="DR23" s="3539"/>
      <c r="DS23" s="3539"/>
      <c r="DT23" s="3539"/>
      <c r="DU23" s="3539"/>
      <c r="DV23" s="3539"/>
      <c r="DW23" s="3539"/>
      <c r="DX23" s="3539"/>
      <c r="DY23" s="3539"/>
      <c r="DZ23" s="3539"/>
      <c r="EA23" s="3539"/>
      <c r="EB23" s="3539"/>
      <c r="EC23" s="3539"/>
      <c r="ED23" s="3539"/>
      <c r="EE23" s="3539"/>
      <c r="EF23" s="3539"/>
      <c r="EG23" s="3539"/>
      <c r="EH23" s="3539"/>
      <c r="EI23" s="3539"/>
      <c r="EJ23" s="3539"/>
      <c r="EK23" s="3539"/>
      <c r="EL23" s="3539"/>
      <c r="EM23" s="3539"/>
      <c r="EN23" s="3539"/>
      <c r="EO23" s="3539"/>
      <c r="EP23" s="3539"/>
      <c r="EQ23" s="3539"/>
      <c r="ER23" s="3539"/>
      <c r="ES23" s="3539"/>
      <c r="ET23" s="3539"/>
      <c r="EU23" s="3539"/>
      <c r="EV23" s="3539"/>
      <c r="EW23" s="3539"/>
      <c r="EX23" s="3539"/>
      <c r="EY23" s="3539"/>
      <c r="EZ23" s="3539"/>
      <c r="FA23" s="3539"/>
      <c r="FB23" s="3539"/>
      <c r="FC23" s="3539"/>
      <c r="FD23" s="3539"/>
      <c r="FE23" s="3539"/>
      <c r="FF23" s="3539"/>
      <c r="FG23" s="3539"/>
      <c r="FH23" s="3539"/>
      <c r="FI23" s="3539"/>
      <c r="FJ23" s="3539"/>
      <c r="FK23" s="3539"/>
      <c r="FL23" s="3539"/>
      <c r="FM23" s="3539"/>
      <c r="FN23" s="3539"/>
      <c r="FO23" s="3539"/>
      <c r="FP23" s="3539"/>
      <c r="FQ23" s="3539"/>
      <c r="FR23" s="3539"/>
      <c r="FS23" s="3539"/>
      <c r="FT23" s="3539"/>
      <c r="FU23" s="3539"/>
      <c r="FV23" s="3539"/>
      <c r="FW23" s="3539"/>
      <c r="FX23" s="3539"/>
      <c r="FY23" s="3539"/>
      <c r="FZ23" s="3539"/>
      <c r="GA23" s="3539"/>
      <c r="GB23" s="3539"/>
      <c r="GC23" s="3539"/>
      <c r="GD23" s="3539"/>
      <c r="GE23" s="3539"/>
      <c r="GF23" s="3539"/>
      <c r="GG23" s="3539"/>
      <c r="GH23" s="3539"/>
      <c r="GI23" s="3539"/>
      <c r="GJ23" s="3539"/>
      <c r="GK23" s="3539"/>
      <c r="GL23" s="3539"/>
      <c r="GM23" s="3539"/>
      <c r="GN23" s="3539"/>
      <c r="GO23" s="3539"/>
      <c r="GP23" s="3539"/>
      <c r="GQ23" s="3539"/>
      <c r="GR23" s="3539"/>
      <c r="GS23" s="3539"/>
      <c r="GT23" s="3539"/>
      <c r="GU23" s="3539"/>
      <c r="GV23" s="3539"/>
      <c r="GW23" s="3539"/>
      <c r="GX23" s="3539"/>
      <c r="GY23" s="3539"/>
      <c r="GZ23" s="3539"/>
      <c r="HA23" s="3539"/>
      <c r="HB23" s="3539"/>
      <c r="HC23" s="3539"/>
      <c r="HD23" s="3539"/>
      <c r="HE23" s="3539"/>
      <c r="HF23" s="3539"/>
      <c r="HG23" s="3539"/>
      <c r="HH23" s="3539"/>
      <c r="HI23" s="3539"/>
      <c r="HJ23" s="3539"/>
      <c r="HK23" s="3539"/>
      <c r="HL23" s="3539"/>
      <c r="HM23" s="3539"/>
      <c r="HN23" s="3539"/>
      <c r="HO23" s="3539"/>
      <c r="HP23" s="3539"/>
      <c r="HQ23" s="3539"/>
      <c r="HR23" s="3539"/>
      <c r="HS23" s="3539"/>
      <c r="HT23" s="3539"/>
      <c r="HU23" s="3539"/>
      <c r="HV23" s="3539"/>
      <c r="HW23" s="3539"/>
      <c r="HX23" s="3539"/>
      <c r="HY23" s="3539"/>
      <c r="HZ23" s="3539"/>
      <c r="IA23" s="3539"/>
      <c r="IB23" s="3539"/>
      <c r="IC23" s="3539"/>
    </row>
    <row r="24" spans="1:237" s="3540" customFormat="1">
      <c r="A24" s="3527" t="s">
        <v>3713</v>
      </c>
      <c r="B24" s="3527" t="s">
        <v>3714</v>
      </c>
      <c r="C24" s="3528" t="s">
        <v>3715</v>
      </c>
      <c r="D24" s="3527">
        <v>13716080078</v>
      </c>
      <c r="E24" s="3527" t="s">
        <v>2769</v>
      </c>
      <c r="F24" s="3527" t="s">
        <v>3692</v>
      </c>
      <c r="G24" s="3527"/>
      <c r="H24" s="3527" t="s">
        <v>3553</v>
      </c>
      <c r="I24" s="3527" t="s">
        <v>3671</v>
      </c>
      <c r="J24" s="3527" t="s">
        <v>3568</v>
      </c>
      <c r="K24" s="3527" t="s">
        <v>3714</v>
      </c>
      <c r="L24" s="3541">
        <v>90.88</v>
      </c>
      <c r="M24" s="3527">
        <v>5</v>
      </c>
      <c r="N24" s="3527" t="s">
        <v>3557</v>
      </c>
      <c r="O24" s="3527"/>
      <c r="P24" s="3527" t="s">
        <v>3500</v>
      </c>
      <c r="Q24" s="3527">
        <v>550000</v>
      </c>
      <c r="R24" s="3527">
        <v>6052</v>
      </c>
      <c r="S24" s="3529">
        <v>69.52</v>
      </c>
      <c r="T24" s="3530">
        <v>695200</v>
      </c>
      <c r="U24" s="3527">
        <v>7650</v>
      </c>
      <c r="V24" s="3531">
        <v>0.2</v>
      </c>
      <c r="W24" s="3532">
        <v>55.61</v>
      </c>
      <c r="X24" s="3533">
        <v>556100</v>
      </c>
      <c r="Y24" s="3527">
        <v>2009</v>
      </c>
      <c r="Z24" s="3527">
        <v>11</v>
      </c>
      <c r="AA24" s="3527">
        <v>20</v>
      </c>
      <c r="AB24" s="3527">
        <v>1500</v>
      </c>
      <c r="AC24" s="3527" t="s">
        <v>3514</v>
      </c>
      <c r="AD24" s="3528" t="s">
        <v>3716</v>
      </c>
      <c r="AE24" s="3527" t="s">
        <v>3502</v>
      </c>
      <c r="AF24" s="3527" t="s">
        <v>3503</v>
      </c>
      <c r="AG24" s="3527" t="s">
        <v>3504</v>
      </c>
      <c r="AH24" s="3527">
        <v>7922</v>
      </c>
      <c r="AI24" s="3527" t="s">
        <v>3618</v>
      </c>
      <c r="AJ24" s="3527"/>
      <c r="AK24" s="3527" t="s">
        <v>3680</v>
      </c>
      <c r="AL24" s="3527">
        <v>41</v>
      </c>
      <c r="AM24" s="3527"/>
      <c r="AN24" s="3534">
        <v>40130</v>
      </c>
      <c r="AO24" s="3527"/>
      <c r="AP24" s="3527" t="s">
        <v>3574</v>
      </c>
      <c r="AQ24" s="3536">
        <v>40130</v>
      </c>
      <c r="AR24" s="3536"/>
      <c r="AS24" s="3527" t="s">
        <v>3509</v>
      </c>
      <c r="AT24" s="3527" t="s">
        <v>3560</v>
      </c>
      <c r="AU24" s="3527" t="s">
        <v>3531</v>
      </c>
      <c r="AV24" s="3527" t="s">
        <v>3512</v>
      </c>
      <c r="AW24" s="3527"/>
      <c r="AX24" s="3535" t="e">
        <v>#DIV/0!</v>
      </c>
      <c r="AY24" s="3535" t="e">
        <v>#DIV/0!</v>
      </c>
      <c r="AZ24" s="3537" t="s">
        <v>3575</v>
      </c>
      <c r="BA24" s="3537" t="s">
        <v>3514</v>
      </c>
      <c r="BB24" s="3538"/>
      <c r="BC24" s="3539"/>
      <c r="BD24" s="3539"/>
      <c r="BE24" s="3539"/>
      <c r="BF24" s="3539"/>
      <c r="BG24" s="3539"/>
      <c r="BH24" s="3539"/>
      <c r="BI24" s="3539"/>
      <c r="BJ24" s="3539"/>
      <c r="BK24" s="3539"/>
      <c r="BL24" s="3539"/>
      <c r="BM24" s="3539"/>
      <c r="BN24" s="3539"/>
      <c r="BO24" s="3539"/>
      <c r="BP24" s="3539"/>
      <c r="BQ24" s="3539"/>
      <c r="BR24" s="3539"/>
      <c r="BS24" s="3539"/>
      <c r="BT24" s="3539"/>
      <c r="BU24" s="3539"/>
      <c r="BV24" s="3539"/>
      <c r="BW24" s="3539"/>
      <c r="BX24" s="3539"/>
      <c r="BY24" s="3539"/>
      <c r="BZ24" s="3539"/>
      <c r="CA24" s="3539"/>
      <c r="CB24" s="3539"/>
      <c r="CC24" s="3539"/>
      <c r="CD24" s="3539"/>
      <c r="CE24" s="3539"/>
      <c r="CF24" s="3539"/>
      <c r="CG24" s="3539"/>
      <c r="CH24" s="3539"/>
      <c r="CI24" s="3539"/>
      <c r="CJ24" s="3539"/>
      <c r="CK24" s="3539"/>
      <c r="CL24" s="3539"/>
      <c r="CM24" s="3539"/>
      <c r="CN24" s="3539"/>
      <c r="CO24" s="3539"/>
      <c r="CP24" s="3539"/>
      <c r="CQ24" s="3539"/>
      <c r="CR24" s="3539"/>
      <c r="CS24" s="3539"/>
      <c r="CT24" s="3539"/>
      <c r="CU24" s="3539"/>
      <c r="CV24" s="3539"/>
      <c r="CW24" s="3539"/>
      <c r="CX24" s="3539"/>
      <c r="CY24" s="3539"/>
      <c r="CZ24" s="3539"/>
      <c r="DA24" s="3539"/>
      <c r="DB24" s="3539"/>
      <c r="DC24" s="3539"/>
      <c r="DD24" s="3539"/>
      <c r="DE24" s="3539"/>
      <c r="DF24" s="3539"/>
      <c r="DG24" s="3539"/>
      <c r="DH24" s="3539"/>
      <c r="DI24" s="3539"/>
      <c r="DJ24" s="3539"/>
      <c r="DK24" s="3539"/>
      <c r="DL24" s="3539"/>
      <c r="DM24" s="3539"/>
      <c r="DN24" s="3539"/>
      <c r="DO24" s="3539"/>
      <c r="DP24" s="3539"/>
      <c r="DQ24" s="3539"/>
      <c r="DR24" s="3539"/>
      <c r="DS24" s="3539"/>
      <c r="DT24" s="3539"/>
      <c r="DU24" s="3539"/>
      <c r="DV24" s="3539"/>
      <c r="DW24" s="3539"/>
      <c r="DX24" s="3539"/>
      <c r="DY24" s="3539"/>
      <c r="DZ24" s="3539"/>
      <c r="EA24" s="3539"/>
      <c r="EB24" s="3539"/>
      <c r="EC24" s="3539"/>
      <c r="ED24" s="3539"/>
      <c r="EE24" s="3539"/>
      <c r="EF24" s="3539"/>
      <c r="EG24" s="3539"/>
      <c r="EH24" s="3539"/>
      <c r="EI24" s="3539"/>
      <c r="EJ24" s="3539"/>
      <c r="EK24" s="3539"/>
      <c r="EL24" s="3539"/>
      <c r="EM24" s="3539"/>
      <c r="EN24" s="3539"/>
      <c r="EO24" s="3539"/>
      <c r="EP24" s="3539"/>
      <c r="EQ24" s="3539"/>
      <c r="ER24" s="3539"/>
      <c r="ES24" s="3539"/>
      <c r="ET24" s="3539"/>
      <c r="EU24" s="3539"/>
      <c r="EV24" s="3539"/>
      <c r="EW24" s="3539"/>
      <c r="EX24" s="3539"/>
      <c r="EY24" s="3539"/>
      <c r="EZ24" s="3539"/>
      <c r="FA24" s="3539"/>
      <c r="FB24" s="3539"/>
      <c r="FC24" s="3539"/>
      <c r="FD24" s="3539"/>
      <c r="FE24" s="3539"/>
      <c r="FF24" s="3539"/>
      <c r="FG24" s="3539"/>
      <c r="FH24" s="3539"/>
      <c r="FI24" s="3539"/>
      <c r="FJ24" s="3539"/>
      <c r="FK24" s="3539"/>
      <c r="FL24" s="3539"/>
      <c r="FM24" s="3539"/>
      <c r="FN24" s="3539"/>
      <c r="FO24" s="3539"/>
      <c r="FP24" s="3539"/>
      <c r="FQ24" s="3539"/>
      <c r="FR24" s="3539"/>
      <c r="FS24" s="3539"/>
      <c r="FT24" s="3539"/>
      <c r="FU24" s="3539"/>
      <c r="FV24" s="3539"/>
      <c r="FW24" s="3539"/>
      <c r="FX24" s="3539"/>
      <c r="FY24" s="3539"/>
      <c r="FZ24" s="3539"/>
      <c r="GA24" s="3539"/>
      <c r="GB24" s="3539"/>
      <c r="GC24" s="3539"/>
      <c r="GD24" s="3539"/>
      <c r="GE24" s="3539"/>
      <c r="GF24" s="3539"/>
      <c r="GG24" s="3539"/>
      <c r="GH24" s="3539"/>
      <c r="GI24" s="3539"/>
      <c r="GJ24" s="3539"/>
      <c r="GK24" s="3539"/>
      <c r="GL24" s="3539"/>
      <c r="GM24" s="3539"/>
      <c r="GN24" s="3539"/>
      <c r="GO24" s="3539"/>
      <c r="GP24" s="3539"/>
      <c r="GQ24" s="3539"/>
      <c r="GR24" s="3539"/>
      <c r="GS24" s="3539"/>
      <c r="GT24" s="3539"/>
      <c r="GU24" s="3539"/>
      <c r="GV24" s="3539"/>
      <c r="GW24" s="3539"/>
      <c r="GX24" s="3539"/>
      <c r="GY24" s="3539"/>
      <c r="GZ24" s="3539"/>
      <c r="HA24" s="3539"/>
      <c r="HB24" s="3539"/>
      <c r="HC24" s="3539"/>
      <c r="HD24" s="3539"/>
      <c r="HE24" s="3539"/>
      <c r="HF24" s="3539"/>
      <c r="HG24" s="3539"/>
      <c r="HH24" s="3539"/>
      <c r="HI24" s="3539"/>
      <c r="HJ24" s="3539"/>
      <c r="HK24" s="3539"/>
      <c r="HL24" s="3539"/>
      <c r="HM24" s="3539"/>
      <c r="HN24" s="3539"/>
      <c r="HO24" s="3539"/>
      <c r="HP24" s="3539"/>
      <c r="HQ24" s="3539"/>
      <c r="HR24" s="3539"/>
      <c r="HS24" s="3539"/>
      <c r="HT24" s="3539"/>
      <c r="HU24" s="3539"/>
      <c r="HV24" s="3539"/>
      <c r="HW24" s="3539"/>
      <c r="HX24" s="3539"/>
      <c r="HY24" s="3539"/>
      <c r="HZ24" s="3539"/>
      <c r="IA24" s="3539"/>
      <c r="IB24" s="3539"/>
      <c r="IC24" s="3539"/>
    </row>
    <row r="25" spans="1:237" s="3540" customFormat="1">
      <c r="A25" s="3527" t="s">
        <v>3717</v>
      </c>
      <c r="B25" s="3527" t="s">
        <v>3718</v>
      </c>
      <c r="C25" s="3528" t="s">
        <v>3719</v>
      </c>
      <c r="D25" s="3527">
        <v>13716681316</v>
      </c>
      <c r="E25" s="3527" t="s">
        <v>2769</v>
      </c>
      <c r="F25" s="3527" t="s">
        <v>3579</v>
      </c>
      <c r="G25" s="3527"/>
      <c r="H25" s="3527" t="s">
        <v>3720</v>
      </c>
      <c r="I25" s="3527" t="s">
        <v>3721</v>
      </c>
      <c r="J25" s="3527" t="s">
        <v>3722</v>
      </c>
      <c r="K25" s="3527" t="s">
        <v>3723</v>
      </c>
      <c r="L25" s="3541">
        <v>127.31</v>
      </c>
      <c r="M25" s="3527">
        <v>1</v>
      </c>
      <c r="N25" s="3527" t="s">
        <v>3636</v>
      </c>
      <c r="O25" s="3527"/>
      <c r="P25" s="3527" t="s">
        <v>3524</v>
      </c>
      <c r="Q25" s="3527">
        <v>980000</v>
      </c>
      <c r="R25" s="3527">
        <v>7698</v>
      </c>
      <c r="S25" s="3529">
        <v>94.2</v>
      </c>
      <c r="T25" s="3530">
        <v>942000</v>
      </c>
      <c r="U25" s="3527">
        <v>7400</v>
      </c>
      <c r="V25" s="3531">
        <v>0.2</v>
      </c>
      <c r="W25" s="3532">
        <v>75.36</v>
      </c>
      <c r="X25" s="3533">
        <v>753600</v>
      </c>
      <c r="Y25" s="3527">
        <v>2009</v>
      </c>
      <c r="Z25" s="3527">
        <v>11</v>
      </c>
      <c r="AA25" s="3527">
        <v>27</v>
      </c>
      <c r="AB25" s="3527">
        <v>1500</v>
      </c>
      <c r="AC25" s="3527" t="s">
        <v>3525</v>
      </c>
      <c r="AD25" s="3527">
        <v>91162009110157</v>
      </c>
      <c r="AE25" s="3527" t="s">
        <v>3502</v>
      </c>
      <c r="AF25" s="3527" t="s">
        <v>3503</v>
      </c>
      <c r="AG25" s="3527" t="s">
        <v>3504</v>
      </c>
      <c r="AH25" s="3527">
        <v>7697</v>
      </c>
      <c r="AI25" s="3527" t="s">
        <v>3526</v>
      </c>
      <c r="AJ25" s="3534"/>
      <c r="AK25" s="3527" t="s">
        <v>3680</v>
      </c>
      <c r="AL25" s="3527">
        <v>35</v>
      </c>
      <c r="AM25" s="3527"/>
      <c r="AN25" s="3534">
        <v>40134</v>
      </c>
      <c r="AO25" s="3527"/>
      <c r="AP25" s="3527" t="s">
        <v>3606</v>
      </c>
      <c r="AQ25" s="3534">
        <v>40134</v>
      </c>
      <c r="AR25" s="3536"/>
      <c r="AS25" s="3527" t="s">
        <v>3509</v>
      </c>
      <c r="AT25" s="3527" t="s">
        <v>3560</v>
      </c>
      <c r="AU25" s="3527"/>
      <c r="AV25" s="3527" t="s">
        <v>3512</v>
      </c>
      <c r="AW25" s="3527"/>
      <c r="AX25" s="3535" t="e">
        <v>#DIV/0!</v>
      </c>
      <c r="AY25" s="3535" t="e">
        <v>#DIV/0!</v>
      </c>
      <c r="AZ25" s="3537" t="s">
        <v>3608</v>
      </c>
      <c r="BA25" s="3537" t="s">
        <v>3514</v>
      </c>
      <c r="BB25" s="3538"/>
      <c r="BC25" s="3539"/>
      <c r="BD25" s="3539"/>
      <c r="BE25" s="3539"/>
      <c r="BF25" s="3539"/>
      <c r="BG25" s="3539"/>
      <c r="BH25" s="3539"/>
      <c r="BI25" s="3539"/>
      <c r="BJ25" s="3539"/>
      <c r="BK25" s="3539"/>
      <c r="BL25" s="3539"/>
      <c r="BM25" s="3539"/>
      <c r="BN25" s="3539"/>
      <c r="BO25" s="3539"/>
      <c r="BP25" s="3539"/>
      <c r="BQ25" s="3539"/>
      <c r="BR25" s="3539"/>
      <c r="BS25" s="3539"/>
      <c r="BT25" s="3539"/>
      <c r="BU25" s="3539"/>
      <c r="BV25" s="3539"/>
      <c r="BW25" s="3539"/>
      <c r="BX25" s="3539"/>
      <c r="BY25" s="3539"/>
      <c r="BZ25" s="3539"/>
      <c r="CA25" s="3539"/>
      <c r="CB25" s="3539"/>
      <c r="CC25" s="3539"/>
      <c r="CD25" s="3539"/>
      <c r="CE25" s="3539"/>
      <c r="CF25" s="3539"/>
      <c r="CG25" s="3539"/>
      <c r="CH25" s="3539"/>
      <c r="CI25" s="3539"/>
      <c r="CJ25" s="3539"/>
      <c r="CK25" s="3539"/>
      <c r="CL25" s="3539"/>
      <c r="CM25" s="3539"/>
      <c r="CN25" s="3539"/>
      <c r="CO25" s="3539"/>
      <c r="CP25" s="3539"/>
      <c r="CQ25" s="3539"/>
      <c r="CR25" s="3539"/>
      <c r="CS25" s="3539"/>
      <c r="CT25" s="3539"/>
      <c r="CU25" s="3539"/>
      <c r="CV25" s="3539"/>
      <c r="CW25" s="3539"/>
      <c r="CX25" s="3539"/>
      <c r="CY25" s="3539"/>
      <c r="CZ25" s="3539"/>
      <c r="DA25" s="3539"/>
      <c r="DB25" s="3539"/>
      <c r="DC25" s="3539"/>
      <c r="DD25" s="3539"/>
      <c r="DE25" s="3539"/>
      <c r="DF25" s="3539"/>
      <c r="DG25" s="3539"/>
      <c r="DH25" s="3539"/>
      <c r="DI25" s="3539"/>
      <c r="DJ25" s="3539"/>
      <c r="DK25" s="3539"/>
      <c r="DL25" s="3539"/>
      <c r="DM25" s="3539"/>
      <c r="DN25" s="3539"/>
      <c r="DO25" s="3539"/>
      <c r="DP25" s="3539"/>
      <c r="DQ25" s="3539"/>
      <c r="DR25" s="3539"/>
      <c r="DS25" s="3539"/>
      <c r="DT25" s="3539"/>
      <c r="DU25" s="3539"/>
      <c r="DV25" s="3539"/>
      <c r="DW25" s="3539"/>
      <c r="DX25" s="3539"/>
      <c r="DY25" s="3539"/>
      <c r="DZ25" s="3539"/>
      <c r="EA25" s="3539"/>
      <c r="EB25" s="3539"/>
      <c r="EC25" s="3539"/>
      <c r="ED25" s="3539"/>
      <c r="EE25" s="3539"/>
      <c r="EF25" s="3539"/>
      <c r="EG25" s="3539"/>
      <c r="EH25" s="3539"/>
      <c r="EI25" s="3539"/>
      <c r="EJ25" s="3539"/>
      <c r="EK25" s="3539"/>
      <c r="EL25" s="3539"/>
      <c r="EM25" s="3539"/>
      <c r="EN25" s="3539"/>
      <c r="EO25" s="3539"/>
      <c r="EP25" s="3539"/>
      <c r="EQ25" s="3539"/>
      <c r="ER25" s="3539"/>
      <c r="ES25" s="3539"/>
      <c r="ET25" s="3539"/>
      <c r="EU25" s="3539"/>
      <c r="EV25" s="3539"/>
      <c r="EW25" s="3539"/>
      <c r="EX25" s="3539"/>
      <c r="EY25" s="3539"/>
      <c r="EZ25" s="3539"/>
      <c r="FA25" s="3539"/>
      <c r="FB25" s="3539"/>
      <c r="FC25" s="3539"/>
      <c r="FD25" s="3539"/>
      <c r="FE25" s="3539"/>
      <c r="FF25" s="3539"/>
      <c r="FG25" s="3539"/>
      <c r="FH25" s="3539"/>
      <c r="FI25" s="3539"/>
      <c r="FJ25" s="3539"/>
      <c r="FK25" s="3539"/>
      <c r="FL25" s="3539"/>
      <c r="FM25" s="3539"/>
      <c r="FN25" s="3539"/>
      <c r="FO25" s="3539"/>
      <c r="FP25" s="3539"/>
      <c r="FQ25" s="3539"/>
      <c r="FR25" s="3539"/>
      <c r="FS25" s="3539"/>
      <c r="FT25" s="3539"/>
      <c r="FU25" s="3539"/>
      <c r="FV25" s="3539"/>
      <c r="FW25" s="3539"/>
      <c r="FX25" s="3539"/>
      <c r="FY25" s="3539"/>
      <c r="FZ25" s="3539"/>
      <c r="GA25" s="3539"/>
      <c r="GB25" s="3539"/>
      <c r="GC25" s="3539"/>
      <c r="GD25" s="3539"/>
      <c r="GE25" s="3539"/>
      <c r="GF25" s="3539"/>
      <c r="GG25" s="3539"/>
      <c r="GH25" s="3539"/>
      <c r="GI25" s="3539"/>
      <c r="GJ25" s="3539"/>
      <c r="GK25" s="3539"/>
      <c r="GL25" s="3539"/>
      <c r="GM25" s="3539"/>
      <c r="GN25" s="3539"/>
      <c r="GO25" s="3539"/>
      <c r="GP25" s="3539"/>
      <c r="GQ25" s="3539"/>
      <c r="GR25" s="3539"/>
      <c r="GS25" s="3539"/>
      <c r="GT25" s="3539"/>
      <c r="GU25" s="3539"/>
      <c r="GV25" s="3539"/>
      <c r="GW25" s="3539"/>
      <c r="GX25" s="3539"/>
      <c r="GY25" s="3539"/>
      <c r="GZ25" s="3539"/>
      <c r="HA25" s="3539"/>
      <c r="HB25" s="3539"/>
      <c r="HC25" s="3539"/>
      <c r="HD25" s="3539"/>
      <c r="HE25" s="3539"/>
      <c r="HF25" s="3539"/>
      <c r="HG25" s="3539"/>
      <c r="HH25" s="3539"/>
      <c r="HI25" s="3539"/>
      <c r="HJ25" s="3539"/>
      <c r="HK25" s="3539"/>
      <c r="HL25" s="3539"/>
      <c r="HM25" s="3539"/>
      <c r="HN25" s="3539"/>
      <c r="HO25" s="3539"/>
      <c r="HP25" s="3539"/>
      <c r="HQ25" s="3539"/>
      <c r="HR25" s="3539"/>
      <c r="HS25" s="3539"/>
      <c r="HT25" s="3539"/>
      <c r="HU25" s="3539"/>
      <c r="HV25" s="3539"/>
      <c r="HW25" s="3539"/>
      <c r="HX25" s="3539"/>
      <c r="HY25" s="3539"/>
      <c r="HZ25" s="3539"/>
      <c r="IA25" s="3539"/>
      <c r="IB25" s="3539"/>
      <c r="IC25" s="3539"/>
    </row>
    <row r="26" spans="1:237" s="3540" customFormat="1">
      <c r="A26" s="3527" t="s">
        <v>3724</v>
      </c>
      <c r="B26" s="3527" t="s">
        <v>3725</v>
      </c>
      <c r="C26" s="3528" t="s">
        <v>3726</v>
      </c>
      <c r="D26" s="3527">
        <v>13581927519</v>
      </c>
      <c r="E26" s="3527" t="s">
        <v>2769</v>
      </c>
      <c r="F26" s="3527" t="s">
        <v>3579</v>
      </c>
      <c r="G26" s="3527"/>
      <c r="H26" s="3527" t="s">
        <v>3520</v>
      </c>
      <c r="I26" s="3527" t="s">
        <v>3727</v>
      </c>
      <c r="J26" s="3527" t="s">
        <v>3728</v>
      </c>
      <c r="K26" s="3527" t="s">
        <v>3725</v>
      </c>
      <c r="L26" s="3527">
        <v>84.57</v>
      </c>
      <c r="M26" s="3527">
        <v>4</v>
      </c>
      <c r="N26" s="3527" t="s">
        <v>3729</v>
      </c>
      <c r="O26" s="3527"/>
      <c r="P26" s="3527" t="s">
        <v>3524</v>
      </c>
      <c r="Q26" s="3527">
        <v>250000</v>
      </c>
      <c r="R26" s="3527">
        <v>2956</v>
      </c>
      <c r="S26" s="3529">
        <v>61.31</v>
      </c>
      <c r="T26" s="3530">
        <v>613100</v>
      </c>
      <c r="U26" s="3527">
        <v>7250</v>
      </c>
      <c r="V26" s="3531">
        <v>0.2</v>
      </c>
      <c r="W26" s="3532">
        <v>49.04</v>
      </c>
      <c r="X26" s="3533">
        <v>490400</v>
      </c>
      <c r="Y26" s="3535">
        <v>2009</v>
      </c>
      <c r="Z26" s="3527">
        <v>12</v>
      </c>
      <c r="AA26" s="3527">
        <v>14</v>
      </c>
      <c r="AB26" s="3527">
        <v>1500</v>
      </c>
      <c r="AC26" s="3527" t="s">
        <v>3525</v>
      </c>
      <c r="AD26" s="3527">
        <v>91162009110299</v>
      </c>
      <c r="AE26" s="3527" t="s">
        <v>3502</v>
      </c>
      <c r="AF26" s="3527" t="s">
        <v>3503</v>
      </c>
      <c r="AG26" s="3527" t="s">
        <v>3504</v>
      </c>
      <c r="AH26" s="3527"/>
      <c r="AI26" s="3527" t="s">
        <v>3526</v>
      </c>
      <c r="AJ26" s="3527"/>
      <c r="AK26" s="3527" t="s">
        <v>3730</v>
      </c>
      <c r="AL26" s="3527">
        <v>36</v>
      </c>
      <c r="AM26" s="3527" t="s">
        <v>3731</v>
      </c>
      <c r="AN26" s="3534">
        <v>40143</v>
      </c>
      <c r="AO26" s="3527"/>
      <c r="AP26" s="3527" t="s">
        <v>3508</v>
      </c>
      <c r="AQ26" s="3536">
        <v>40143</v>
      </c>
      <c r="AR26" s="3536"/>
      <c r="AS26" s="3527" t="s">
        <v>3509</v>
      </c>
      <c r="AT26" s="3527" t="s">
        <v>3510</v>
      </c>
      <c r="AU26" s="3527" t="s">
        <v>3531</v>
      </c>
      <c r="AV26" s="3527" t="s">
        <v>3620</v>
      </c>
      <c r="AW26" s="3527"/>
      <c r="AX26" s="3535" t="e">
        <v>#DIV/0!</v>
      </c>
      <c r="AY26" s="3535" t="e">
        <v>#DIV/0!</v>
      </c>
      <c r="AZ26" s="3537" t="s">
        <v>3513</v>
      </c>
      <c r="BA26" s="3537" t="s">
        <v>3514</v>
      </c>
      <c r="BB26" s="3538"/>
      <c r="BC26" s="3539"/>
      <c r="BD26" s="3539"/>
      <c r="BE26" s="3539"/>
      <c r="BF26" s="3539"/>
      <c r="BG26" s="3539"/>
      <c r="BH26" s="3539"/>
      <c r="BI26" s="3539"/>
      <c r="BJ26" s="3539"/>
      <c r="BK26" s="3539"/>
      <c r="BL26" s="3539"/>
      <c r="BM26" s="3539"/>
      <c r="BN26" s="3539"/>
      <c r="BO26" s="3539"/>
      <c r="BP26" s="3539"/>
      <c r="BQ26" s="3539"/>
      <c r="BR26" s="3539"/>
      <c r="BS26" s="3539"/>
      <c r="BT26" s="3539"/>
      <c r="BU26" s="3539"/>
      <c r="BV26" s="3539"/>
      <c r="BW26" s="3539"/>
      <c r="BX26" s="3539"/>
      <c r="BY26" s="3539"/>
      <c r="BZ26" s="3539"/>
      <c r="CA26" s="3539"/>
      <c r="CB26" s="3539"/>
      <c r="CC26" s="3539"/>
      <c r="CD26" s="3539"/>
      <c r="CE26" s="3539"/>
      <c r="CF26" s="3539"/>
      <c r="CG26" s="3539"/>
      <c r="CH26" s="3539"/>
      <c r="CI26" s="3539"/>
      <c r="CJ26" s="3539"/>
      <c r="CK26" s="3539"/>
      <c r="CL26" s="3539"/>
      <c r="CM26" s="3539"/>
      <c r="CN26" s="3539"/>
      <c r="CO26" s="3539"/>
      <c r="CP26" s="3539"/>
      <c r="CQ26" s="3539"/>
      <c r="CR26" s="3539"/>
      <c r="CS26" s="3539"/>
      <c r="CT26" s="3539"/>
      <c r="CU26" s="3539"/>
      <c r="CV26" s="3539"/>
      <c r="CW26" s="3539"/>
      <c r="CX26" s="3539"/>
      <c r="CY26" s="3539"/>
      <c r="CZ26" s="3539"/>
      <c r="DA26" s="3539"/>
      <c r="DB26" s="3539"/>
      <c r="DC26" s="3539"/>
      <c r="DD26" s="3539"/>
      <c r="DE26" s="3539"/>
      <c r="DF26" s="3539"/>
      <c r="DG26" s="3539"/>
      <c r="DH26" s="3539"/>
      <c r="DI26" s="3539"/>
      <c r="DJ26" s="3539"/>
      <c r="DK26" s="3539"/>
      <c r="DL26" s="3539"/>
      <c r="DM26" s="3539"/>
      <c r="DN26" s="3539"/>
      <c r="DO26" s="3539"/>
      <c r="DP26" s="3539"/>
      <c r="DQ26" s="3539"/>
      <c r="DR26" s="3539"/>
      <c r="DS26" s="3539"/>
      <c r="DT26" s="3539"/>
      <c r="DU26" s="3539"/>
      <c r="DV26" s="3539"/>
      <c r="DW26" s="3539"/>
      <c r="DX26" s="3539"/>
      <c r="DY26" s="3539"/>
      <c r="DZ26" s="3539"/>
      <c r="EA26" s="3539"/>
      <c r="EB26" s="3539"/>
      <c r="EC26" s="3539"/>
      <c r="ED26" s="3539"/>
      <c r="EE26" s="3539"/>
      <c r="EF26" s="3539"/>
      <c r="EG26" s="3539"/>
      <c r="EH26" s="3539"/>
      <c r="EI26" s="3539"/>
      <c r="EJ26" s="3539"/>
      <c r="EK26" s="3539"/>
      <c r="EL26" s="3539"/>
      <c r="EM26" s="3539"/>
      <c r="EN26" s="3539"/>
      <c r="EO26" s="3539"/>
      <c r="EP26" s="3539"/>
      <c r="EQ26" s="3539"/>
      <c r="ER26" s="3539"/>
      <c r="ES26" s="3539"/>
      <c r="ET26" s="3539"/>
      <c r="EU26" s="3539"/>
      <c r="EV26" s="3539"/>
      <c r="EW26" s="3539"/>
      <c r="EX26" s="3539"/>
      <c r="EY26" s="3539"/>
      <c r="EZ26" s="3539"/>
      <c r="FA26" s="3539"/>
      <c r="FB26" s="3539"/>
      <c r="FC26" s="3539"/>
      <c r="FD26" s="3539"/>
      <c r="FE26" s="3539"/>
      <c r="FF26" s="3539"/>
      <c r="FG26" s="3539"/>
      <c r="FH26" s="3539"/>
      <c r="FI26" s="3539"/>
      <c r="FJ26" s="3539"/>
      <c r="FK26" s="3539"/>
      <c r="FL26" s="3539"/>
      <c r="FM26" s="3539"/>
      <c r="FN26" s="3539"/>
      <c r="FO26" s="3539"/>
      <c r="FP26" s="3539"/>
      <c r="FQ26" s="3539"/>
      <c r="FR26" s="3539"/>
      <c r="FS26" s="3539"/>
      <c r="FT26" s="3539"/>
      <c r="FU26" s="3539"/>
      <c r="FV26" s="3539"/>
      <c r="FW26" s="3539"/>
      <c r="FX26" s="3539"/>
      <c r="FY26" s="3539"/>
      <c r="FZ26" s="3539"/>
      <c r="GA26" s="3539"/>
      <c r="GB26" s="3539"/>
      <c r="GC26" s="3539"/>
      <c r="GD26" s="3539"/>
      <c r="GE26" s="3539"/>
      <c r="GF26" s="3539"/>
      <c r="GG26" s="3539"/>
      <c r="GH26" s="3539"/>
      <c r="GI26" s="3539"/>
      <c r="GJ26" s="3539"/>
      <c r="GK26" s="3539"/>
      <c r="GL26" s="3539"/>
      <c r="GM26" s="3539"/>
      <c r="GN26" s="3539"/>
      <c r="GO26" s="3539"/>
      <c r="GP26" s="3539"/>
      <c r="GQ26" s="3539"/>
      <c r="GR26" s="3539"/>
      <c r="GS26" s="3539"/>
      <c r="GT26" s="3539"/>
      <c r="GU26" s="3539"/>
      <c r="GV26" s="3539"/>
      <c r="GW26" s="3539"/>
      <c r="GX26" s="3539"/>
      <c r="GY26" s="3539"/>
      <c r="GZ26" s="3539"/>
      <c r="HA26" s="3539"/>
      <c r="HB26" s="3539"/>
      <c r="HC26" s="3539"/>
      <c r="HD26" s="3539"/>
      <c r="HE26" s="3539"/>
      <c r="HF26" s="3539"/>
      <c r="HG26" s="3539"/>
      <c r="HH26" s="3539"/>
      <c r="HI26" s="3539"/>
      <c r="HJ26" s="3539"/>
      <c r="HK26" s="3539"/>
      <c r="HL26" s="3539"/>
      <c r="HM26" s="3539"/>
      <c r="HN26" s="3539"/>
      <c r="HO26" s="3539"/>
      <c r="HP26" s="3539"/>
      <c r="HQ26" s="3539"/>
      <c r="HR26" s="3539"/>
      <c r="HS26" s="3539"/>
      <c r="HT26" s="3539"/>
      <c r="HU26" s="3539"/>
      <c r="HV26" s="3539"/>
      <c r="HW26" s="3539"/>
      <c r="HX26" s="3539"/>
      <c r="HY26" s="3539"/>
      <c r="HZ26" s="3539"/>
      <c r="IA26" s="3539"/>
      <c r="IB26" s="3539"/>
      <c r="IC26" s="3539"/>
    </row>
    <row r="27" spans="1:237" s="3540" customFormat="1">
      <c r="A27" s="3527" t="s">
        <v>3732</v>
      </c>
      <c r="B27" s="3527" t="s">
        <v>3733</v>
      </c>
      <c r="C27" s="3528" t="s">
        <v>3734</v>
      </c>
      <c r="D27" s="3527">
        <v>13522904598</v>
      </c>
      <c r="E27" s="3527" t="s">
        <v>2769</v>
      </c>
      <c r="F27" s="3527" t="s">
        <v>3494</v>
      </c>
      <c r="G27" s="3527"/>
      <c r="H27" s="3527" t="s">
        <v>3702</v>
      </c>
      <c r="I27" s="3527" t="s">
        <v>3662</v>
      </c>
      <c r="J27" s="3527" t="s">
        <v>3582</v>
      </c>
      <c r="K27" s="3527" t="s">
        <v>3735</v>
      </c>
      <c r="L27" s="3527">
        <v>81.19</v>
      </c>
      <c r="M27" s="3527">
        <v>6</v>
      </c>
      <c r="N27" s="3527" t="s">
        <v>3523</v>
      </c>
      <c r="O27" s="3527">
        <v>71.13</v>
      </c>
      <c r="P27" s="3527" t="s">
        <v>3524</v>
      </c>
      <c r="Q27" s="3527">
        <v>720000</v>
      </c>
      <c r="R27" s="3527">
        <v>8868</v>
      </c>
      <c r="S27" s="3529">
        <v>61.37</v>
      </c>
      <c r="T27" s="3530">
        <v>613700</v>
      </c>
      <c r="U27" s="3527">
        <v>7560</v>
      </c>
      <c r="V27" s="3531">
        <v>0.2</v>
      </c>
      <c r="W27" s="3532">
        <v>49.09</v>
      </c>
      <c r="X27" s="3533">
        <v>490900.00000000006</v>
      </c>
      <c r="Y27" s="3527">
        <v>2009</v>
      </c>
      <c r="Z27" s="3527">
        <v>12</v>
      </c>
      <c r="AA27" s="3527">
        <v>11</v>
      </c>
      <c r="AB27" s="3527">
        <v>1500</v>
      </c>
      <c r="AC27" s="3527" t="s">
        <v>3525</v>
      </c>
      <c r="AD27" s="3528" t="s">
        <v>3736</v>
      </c>
      <c r="AE27" s="3527" t="s">
        <v>3502</v>
      </c>
      <c r="AF27" s="3527" t="s">
        <v>3503</v>
      </c>
      <c r="AG27" s="3527" t="s">
        <v>3504</v>
      </c>
      <c r="AH27" s="3527"/>
      <c r="AI27" s="3527" t="s">
        <v>3526</v>
      </c>
      <c r="AJ27" s="3527"/>
      <c r="AK27" s="3527" t="s">
        <v>3730</v>
      </c>
      <c r="AL27" s="3527">
        <v>45</v>
      </c>
      <c r="AM27" s="3527" t="s">
        <v>3737</v>
      </c>
      <c r="AN27" s="3534">
        <v>40142</v>
      </c>
      <c r="AO27" s="3527"/>
      <c r="AP27" s="3527" t="s">
        <v>3574</v>
      </c>
      <c r="AQ27" s="3536">
        <v>40143</v>
      </c>
      <c r="AR27" s="3536"/>
      <c r="AS27" s="3527" t="s">
        <v>3509</v>
      </c>
      <c r="AT27" s="3527" t="s">
        <v>3560</v>
      </c>
      <c r="AU27" s="3527" t="s">
        <v>3511</v>
      </c>
      <c r="AV27" s="3527" t="s">
        <v>3512</v>
      </c>
      <c r="AW27" s="3527"/>
      <c r="AX27" s="3535">
        <v>8628</v>
      </c>
      <c r="AY27" s="3535">
        <v>10122</v>
      </c>
      <c r="AZ27" s="3537" t="s">
        <v>3575</v>
      </c>
      <c r="BA27" s="3537" t="s">
        <v>3514</v>
      </c>
      <c r="BB27" s="3538"/>
      <c r="BC27" s="3539"/>
      <c r="BD27" s="3539"/>
      <c r="BE27" s="3539"/>
      <c r="BF27" s="3539"/>
      <c r="BG27" s="3539"/>
      <c r="BH27" s="3539"/>
      <c r="BI27" s="3539"/>
      <c r="BJ27" s="3539"/>
      <c r="BK27" s="3539"/>
      <c r="BL27" s="3539"/>
      <c r="BM27" s="3539"/>
      <c r="BN27" s="3539"/>
      <c r="BO27" s="3539"/>
      <c r="BP27" s="3539"/>
      <c r="BQ27" s="3539"/>
      <c r="BR27" s="3539"/>
      <c r="BS27" s="3539"/>
      <c r="BT27" s="3539"/>
      <c r="BU27" s="3539"/>
      <c r="BV27" s="3539"/>
      <c r="BW27" s="3539"/>
      <c r="BX27" s="3539"/>
      <c r="BY27" s="3539"/>
      <c r="BZ27" s="3539"/>
      <c r="CA27" s="3539"/>
      <c r="CB27" s="3539"/>
      <c r="CC27" s="3539"/>
      <c r="CD27" s="3539"/>
      <c r="CE27" s="3539"/>
      <c r="CF27" s="3539"/>
      <c r="CG27" s="3539"/>
      <c r="CH27" s="3539"/>
      <c r="CI27" s="3539"/>
      <c r="CJ27" s="3539"/>
      <c r="CK27" s="3539"/>
      <c r="CL27" s="3539"/>
      <c r="CM27" s="3539"/>
      <c r="CN27" s="3539"/>
      <c r="CO27" s="3539"/>
      <c r="CP27" s="3539"/>
      <c r="CQ27" s="3539"/>
      <c r="CR27" s="3539"/>
      <c r="CS27" s="3539"/>
      <c r="CT27" s="3539"/>
      <c r="CU27" s="3539"/>
      <c r="CV27" s="3539"/>
      <c r="CW27" s="3539"/>
      <c r="CX27" s="3539"/>
      <c r="CY27" s="3539"/>
      <c r="CZ27" s="3539"/>
      <c r="DA27" s="3539"/>
      <c r="DB27" s="3539"/>
      <c r="DC27" s="3539"/>
      <c r="DD27" s="3539"/>
      <c r="DE27" s="3539"/>
      <c r="DF27" s="3539"/>
      <c r="DG27" s="3539"/>
      <c r="DH27" s="3539"/>
      <c r="DI27" s="3539"/>
      <c r="DJ27" s="3539"/>
      <c r="DK27" s="3539"/>
      <c r="DL27" s="3539"/>
      <c r="DM27" s="3539"/>
      <c r="DN27" s="3539"/>
      <c r="DO27" s="3539"/>
      <c r="DP27" s="3539"/>
      <c r="DQ27" s="3539"/>
      <c r="DR27" s="3539"/>
      <c r="DS27" s="3539"/>
      <c r="DT27" s="3539"/>
      <c r="DU27" s="3539"/>
      <c r="DV27" s="3539"/>
      <c r="DW27" s="3539"/>
      <c r="DX27" s="3539"/>
      <c r="DY27" s="3539"/>
      <c r="DZ27" s="3539"/>
      <c r="EA27" s="3539"/>
      <c r="EB27" s="3539"/>
      <c r="EC27" s="3539"/>
      <c r="ED27" s="3539"/>
      <c r="EE27" s="3539"/>
      <c r="EF27" s="3539"/>
      <c r="EG27" s="3539"/>
      <c r="EH27" s="3539"/>
      <c r="EI27" s="3539"/>
      <c r="EJ27" s="3539"/>
      <c r="EK27" s="3539"/>
      <c r="EL27" s="3539"/>
      <c r="EM27" s="3539"/>
      <c r="EN27" s="3539"/>
      <c r="EO27" s="3539"/>
      <c r="EP27" s="3539"/>
      <c r="EQ27" s="3539"/>
      <c r="ER27" s="3539"/>
      <c r="ES27" s="3539"/>
      <c r="ET27" s="3539"/>
      <c r="EU27" s="3539"/>
      <c r="EV27" s="3539"/>
      <c r="EW27" s="3539"/>
      <c r="EX27" s="3539"/>
      <c r="EY27" s="3539"/>
      <c r="EZ27" s="3539"/>
      <c r="FA27" s="3539"/>
      <c r="FB27" s="3539"/>
      <c r="FC27" s="3539"/>
      <c r="FD27" s="3539"/>
      <c r="FE27" s="3539"/>
      <c r="FF27" s="3539"/>
      <c r="FG27" s="3539"/>
      <c r="FH27" s="3539"/>
      <c r="FI27" s="3539"/>
      <c r="FJ27" s="3539"/>
      <c r="FK27" s="3539"/>
      <c r="FL27" s="3539"/>
      <c r="FM27" s="3539"/>
      <c r="FN27" s="3539"/>
      <c r="FO27" s="3539"/>
      <c r="FP27" s="3539"/>
      <c r="FQ27" s="3539"/>
      <c r="FR27" s="3539"/>
      <c r="FS27" s="3539"/>
      <c r="FT27" s="3539"/>
      <c r="FU27" s="3539"/>
      <c r="FV27" s="3539"/>
      <c r="FW27" s="3539"/>
      <c r="FX27" s="3539"/>
      <c r="FY27" s="3539"/>
      <c r="FZ27" s="3539"/>
      <c r="GA27" s="3539"/>
      <c r="GB27" s="3539"/>
      <c r="GC27" s="3539"/>
      <c r="GD27" s="3539"/>
      <c r="GE27" s="3539"/>
      <c r="GF27" s="3539"/>
      <c r="GG27" s="3539"/>
      <c r="GH27" s="3539"/>
      <c r="GI27" s="3539"/>
      <c r="GJ27" s="3539"/>
      <c r="GK27" s="3539"/>
      <c r="GL27" s="3539"/>
      <c r="GM27" s="3539"/>
      <c r="GN27" s="3539"/>
      <c r="GO27" s="3539"/>
      <c r="GP27" s="3539"/>
      <c r="GQ27" s="3539"/>
      <c r="GR27" s="3539"/>
      <c r="GS27" s="3539"/>
      <c r="GT27" s="3539"/>
      <c r="GU27" s="3539"/>
      <c r="GV27" s="3539"/>
      <c r="GW27" s="3539"/>
      <c r="GX27" s="3539"/>
      <c r="GY27" s="3539"/>
      <c r="GZ27" s="3539"/>
      <c r="HA27" s="3539"/>
      <c r="HB27" s="3539"/>
      <c r="HC27" s="3539"/>
      <c r="HD27" s="3539"/>
      <c r="HE27" s="3539"/>
      <c r="HF27" s="3539"/>
      <c r="HG27" s="3539"/>
      <c r="HH27" s="3539"/>
      <c r="HI27" s="3539"/>
      <c r="HJ27" s="3539"/>
      <c r="HK27" s="3539"/>
      <c r="HL27" s="3539"/>
      <c r="HM27" s="3539"/>
      <c r="HN27" s="3539"/>
      <c r="HO27" s="3539"/>
      <c r="HP27" s="3539"/>
      <c r="HQ27" s="3539"/>
      <c r="HR27" s="3539"/>
      <c r="HS27" s="3539"/>
      <c r="HT27" s="3539"/>
      <c r="HU27" s="3539"/>
      <c r="HV27" s="3539"/>
      <c r="HW27" s="3539"/>
      <c r="HX27" s="3539"/>
      <c r="HY27" s="3539"/>
      <c r="HZ27" s="3539"/>
      <c r="IA27" s="3539"/>
      <c r="IB27" s="3539"/>
      <c r="IC27" s="3539"/>
    </row>
    <row r="28" spans="1:237" s="3540" customFormat="1">
      <c r="A28" s="3543" t="s">
        <v>3738</v>
      </c>
      <c r="B28" s="3527" t="s">
        <v>3739</v>
      </c>
      <c r="C28" s="3528" t="s">
        <v>3740</v>
      </c>
      <c r="D28" s="3527">
        <v>15910566690</v>
      </c>
      <c r="E28" s="3527" t="s">
        <v>2769</v>
      </c>
      <c r="F28" s="3527" t="s">
        <v>3692</v>
      </c>
      <c r="G28" s="3527"/>
      <c r="H28" s="3527" t="s">
        <v>3553</v>
      </c>
      <c r="I28" s="3527" t="s">
        <v>3633</v>
      </c>
      <c r="J28" s="3527" t="s">
        <v>3615</v>
      </c>
      <c r="K28" s="3527" t="s">
        <v>3739</v>
      </c>
      <c r="L28" s="3527">
        <v>90.88</v>
      </c>
      <c r="M28" s="3528" t="s">
        <v>3741</v>
      </c>
      <c r="N28" s="3527" t="s">
        <v>3557</v>
      </c>
      <c r="O28" s="3527"/>
      <c r="P28" s="3542" t="s">
        <v>3524</v>
      </c>
      <c r="Q28" s="3527">
        <v>630000</v>
      </c>
      <c r="R28" s="3527">
        <v>6932</v>
      </c>
      <c r="S28" s="3529">
        <v>77.790000000000006</v>
      </c>
      <c r="T28" s="3530">
        <v>777900.00000000012</v>
      </c>
      <c r="U28" s="3527">
        <v>8560</v>
      </c>
      <c r="V28" s="3531">
        <v>0.2</v>
      </c>
      <c r="W28" s="3532">
        <v>62.23</v>
      </c>
      <c r="X28" s="3533">
        <v>622300</v>
      </c>
      <c r="Y28" s="3527">
        <v>2009</v>
      </c>
      <c r="Z28" s="3527">
        <v>12</v>
      </c>
      <c r="AA28" s="3527">
        <v>18</v>
      </c>
      <c r="AB28" s="3527">
        <v>1500</v>
      </c>
      <c r="AC28" s="3527" t="s">
        <v>3525</v>
      </c>
      <c r="AD28" s="3528" t="s">
        <v>3742</v>
      </c>
      <c r="AE28" s="3527" t="s">
        <v>3502</v>
      </c>
      <c r="AF28" s="3527" t="s">
        <v>3503</v>
      </c>
      <c r="AG28" s="3542" t="s">
        <v>3504</v>
      </c>
      <c r="AH28" s="3527">
        <v>10453</v>
      </c>
      <c r="AI28" s="3542" t="s">
        <v>3526</v>
      </c>
      <c r="AJ28" s="3527"/>
      <c r="AK28" s="3527" t="s">
        <v>3730</v>
      </c>
      <c r="AL28" s="3527">
        <v>41</v>
      </c>
      <c r="AM28" s="3527" t="s">
        <v>3743</v>
      </c>
      <c r="AN28" s="3534">
        <v>40149</v>
      </c>
      <c r="AO28" s="3527"/>
      <c r="AP28" s="3542" t="s">
        <v>3574</v>
      </c>
      <c r="AQ28" s="3536">
        <v>40149</v>
      </c>
      <c r="AR28" s="3536"/>
      <c r="AS28" s="3527" t="s">
        <v>3509</v>
      </c>
      <c r="AT28" s="3527" t="s">
        <v>3560</v>
      </c>
      <c r="AU28" s="3527" t="s">
        <v>3511</v>
      </c>
      <c r="AV28" s="3542" t="s">
        <v>3512</v>
      </c>
      <c r="AW28" s="3527"/>
      <c r="AX28" s="3535" t="e">
        <v>#DIV/0!</v>
      </c>
      <c r="AY28" s="3535" t="e">
        <v>#DIV/0!</v>
      </c>
      <c r="AZ28" s="3537" t="s">
        <v>3575</v>
      </c>
      <c r="BA28" s="3537" t="s">
        <v>3514</v>
      </c>
      <c r="BB28" s="3538"/>
      <c r="BC28" s="3539"/>
      <c r="BD28" s="3539"/>
      <c r="BE28" s="3539"/>
      <c r="BF28" s="3539"/>
      <c r="BG28" s="3539"/>
      <c r="BH28" s="3539"/>
      <c r="BI28" s="3539"/>
      <c r="BJ28" s="3539"/>
      <c r="BK28" s="3539"/>
      <c r="BL28" s="3539"/>
      <c r="BM28" s="3539"/>
      <c r="BN28" s="3539"/>
      <c r="BO28" s="3539"/>
      <c r="BP28" s="3539"/>
      <c r="BQ28" s="3539"/>
      <c r="BR28" s="3539"/>
      <c r="BS28" s="3539"/>
      <c r="BT28" s="3539"/>
      <c r="BU28" s="3539"/>
      <c r="BV28" s="3539"/>
      <c r="BW28" s="3539"/>
      <c r="BX28" s="3539"/>
      <c r="BY28" s="3539"/>
      <c r="BZ28" s="3539"/>
      <c r="CA28" s="3539"/>
      <c r="CB28" s="3539"/>
      <c r="CC28" s="3539"/>
      <c r="CD28" s="3539"/>
      <c r="CE28" s="3539"/>
      <c r="CF28" s="3539"/>
      <c r="CG28" s="3539"/>
      <c r="CH28" s="3539"/>
      <c r="CI28" s="3539"/>
      <c r="CJ28" s="3539"/>
      <c r="CK28" s="3539"/>
      <c r="CL28" s="3539"/>
      <c r="CM28" s="3539"/>
      <c r="CN28" s="3539"/>
      <c r="CO28" s="3539"/>
      <c r="CP28" s="3539"/>
      <c r="CQ28" s="3539"/>
      <c r="CR28" s="3539"/>
      <c r="CS28" s="3539"/>
      <c r="CT28" s="3539"/>
      <c r="CU28" s="3539"/>
      <c r="CV28" s="3539"/>
      <c r="CW28" s="3539"/>
      <c r="CX28" s="3539"/>
      <c r="CY28" s="3539"/>
      <c r="CZ28" s="3539"/>
      <c r="DA28" s="3539"/>
      <c r="DB28" s="3539"/>
      <c r="DC28" s="3539"/>
      <c r="DD28" s="3539"/>
      <c r="DE28" s="3539"/>
      <c r="DF28" s="3539"/>
      <c r="DG28" s="3539"/>
      <c r="DH28" s="3539"/>
      <c r="DI28" s="3539"/>
      <c r="DJ28" s="3539"/>
      <c r="DK28" s="3539"/>
      <c r="DL28" s="3539"/>
      <c r="DM28" s="3539"/>
      <c r="DN28" s="3539"/>
      <c r="DO28" s="3539"/>
      <c r="DP28" s="3539"/>
      <c r="DQ28" s="3539"/>
      <c r="DR28" s="3539"/>
      <c r="DS28" s="3539"/>
      <c r="DT28" s="3539"/>
      <c r="DU28" s="3539"/>
      <c r="DV28" s="3539"/>
      <c r="DW28" s="3539"/>
      <c r="DX28" s="3539"/>
      <c r="DY28" s="3539"/>
      <c r="DZ28" s="3539"/>
      <c r="EA28" s="3539"/>
      <c r="EB28" s="3539"/>
      <c r="EC28" s="3539"/>
      <c r="ED28" s="3539"/>
      <c r="EE28" s="3539"/>
      <c r="EF28" s="3539"/>
      <c r="EG28" s="3539"/>
      <c r="EH28" s="3539"/>
      <c r="EI28" s="3539"/>
      <c r="EJ28" s="3539"/>
      <c r="EK28" s="3539"/>
      <c r="EL28" s="3539"/>
      <c r="EM28" s="3539"/>
      <c r="EN28" s="3539"/>
      <c r="EO28" s="3539"/>
      <c r="EP28" s="3539"/>
      <c r="EQ28" s="3539"/>
      <c r="ER28" s="3539"/>
      <c r="ES28" s="3539"/>
      <c r="ET28" s="3539"/>
      <c r="EU28" s="3539"/>
      <c r="EV28" s="3539"/>
      <c r="EW28" s="3539"/>
      <c r="EX28" s="3539"/>
      <c r="EY28" s="3539"/>
      <c r="EZ28" s="3539"/>
      <c r="FA28" s="3539"/>
      <c r="FB28" s="3539"/>
      <c r="FC28" s="3539"/>
      <c r="FD28" s="3539"/>
      <c r="FE28" s="3539"/>
      <c r="FF28" s="3539"/>
      <c r="FG28" s="3539"/>
      <c r="FH28" s="3539"/>
      <c r="FI28" s="3539"/>
      <c r="FJ28" s="3539"/>
      <c r="FK28" s="3539"/>
      <c r="FL28" s="3539"/>
      <c r="FM28" s="3539"/>
      <c r="FN28" s="3539"/>
      <c r="FO28" s="3539"/>
      <c r="FP28" s="3539"/>
      <c r="FQ28" s="3539"/>
      <c r="FR28" s="3539"/>
      <c r="FS28" s="3539"/>
      <c r="FT28" s="3539"/>
      <c r="FU28" s="3539"/>
      <c r="FV28" s="3539"/>
      <c r="FW28" s="3539"/>
      <c r="FX28" s="3539"/>
      <c r="FY28" s="3539"/>
      <c r="FZ28" s="3539"/>
      <c r="GA28" s="3539"/>
      <c r="GB28" s="3539"/>
      <c r="GC28" s="3539"/>
      <c r="GD28" s="3539"/>
      <c r="GE28" s="3539"/>
      <c r="GF28" s="3539"/>
      <c r="GG28" s="3539"/>
      <c r="GH28" s="3539"/>
      <c r="GI28" s="3539"/>
      <c r="GJ28" s="3539"/>
      <c r="GK28" s="3539"/>
      <c r="GL28" s="3539"/>
      <c r="GM28" s="3539"/>
      <c r="GN28" s="3539"/>
      <c r="GO28" s="3539"/>
      <c r="GP28" s="3539"/>
      <c r="GQ28" s="3539"/>
      <c r="GR28" s="3539"/>
      <c r="GS28" s="3539"/>
      <c r="GT28" s="3539"/>
      <c r="GU28" s="3539"/>
      <c r="GV28" s="3539"/>
      <c r="GW28" s="3539"/>
      <c r="GX28" s="3539"/>
      <c r="GY28" s="3539"/>
      <c r="GZ28" s="3539"/>
      <c r="HA28" s="3539"/>
      <c r="HB28" s="3539"/>
      <c r="HC28" s="3539"/>
      <c r="HD28" s="3539"/>
      <c r="HE28" s="3539"/>
      <c r="HF28" s="3539"/>
      <c r="HG28" s="3539"/>
      <c r="HH28" s="3539"/>
      <c r="HI28" s="3539"/>
      <c r="HJ28" s="3539"/>
      <c r="HK28" s="3539"/>
      <c r="HL28" s="3539"/>
      <c r="HM28" s="3539"/>
      <c r="HN28" s="3539"/>
      <c r="HO28" s="3539"/>
      <c r="HP28" s="3539"/>
      <c r="HQ28" s="3539"/>
      <c r="HR28" s="3539"/>
      <c r="HS28" s="3539"/>
      <c r="HT28" s="3539"/>
      <c r="HU28" s="3539"/>
      <c r="HV28" s="3539"/>
      <c r="HW28" s="3539"/>
      <c r="HX28" s="3539"/>
      <c r="HY28" s="3539"/>
      <c r="HZ28" s="3539"/>
      <c r="IA28" s="3539"/>
      <c r="IB28" s="3539"/>
      <c r="IC28" s="3539"/>
    </row>
    <row r="29" spans="1:237" s="3540" customFormat="1">
      <c r="A29" s="3526" t="s">
        <v>3744</v>
      </c>
      <c r="B29" s="3527" t="s">
        <v>3745</v>
      </c>
      <c r="C29" s="3528" t="s">
        <v>3746</v>
      </c>
      <c r="D29" s="3528" t="s">
        <v>3747</v>
      </c>
      <c r="E29" s="3527" t="s">
        <v>2769</v>
      </c>
      <c r="F29" s="3527" t="s">
        <v>3494</v>
      </c>
      <c r="G29" s="3527"/>
      <c r="H29" s="3527" t="s">
        <v>3652</v>
      </c>
      <c r="I29" s="3527" t="s">
        <v>3748</v>
      </c>
      <c r="J29" s="3528" t="s">
        <v>3672</v>
      </c>
      <c r="K29" s="3527" t="s">
        <v>3745</v>
      </c>
      <c r="L29" s="3527">
        <v>105.64</v>
      </c>
      <c r="M29" s="3527">
        <v>5</v>
      </c>
      <c r="N29" s="3527" t="s">
        <v>3749</v>
      </c>
      <c r="O29" s="3527">
        <v>95.4</v>
      </c>
      <c r="P29" s="3527" t="s">
        <v>3524</v>
      </c>
      <c r="Q29" s="3544">
        <v>1000000</v>
      </c>
      <c r="R29" s="3527">
        <v>9466</v>
      </c>
      <c r="S29" s="3529">
        <v>90.32</v>
      </c>
      <c r="T29" s="3530">
        <v>903199.99999999988</v>
      </c>
      <c r="U29" s="3527">
        <v>8550</v>
      </c>
      <c r="V29" s="3531">
        <v>0.2</v>
      </c>
      <c r="W29" s="3532">
        <v>72.25</v>
      </c>
      <c r="X29" s="3533">
        <v>722500</v>
      </c>
      <c r="Y29" s="3527">
        <v>2009</v>
      </c>
      <c r="Z29" s="3527">
        <v>12</v>
      </c>
      <c r="AA29" s="3535">
        <v>25</v>
      </c>
      <c r="AB29" s="3527">
        <v>1500</v>
      </c>
      <c r="AC29" s="3527" t="s">
        <v>3750</v>
      </c>
      <c r="AD29" s="3545"/>
      <c r="AE29" s="3535" t="s">
        <v>3502</v>
      </c>
      <c r="AF29" s="3527" t="s">
        <v>3503</v>
      </c>
      <c r="AG29" s="3527" t="s">
        <v>3504</v>
      </c>
      <c r="AH29" s="3526"/>
      <c r="AI29" s="3527" t="s">
        <v>3526</v>
      </c>
      <c r="AJ29" s="3546"/>
      <c r="AK29" s="3527" t="s">
        <v>3730</v>
      </c>
      <c r="AL29" s="3535">
        <v>56</v>
      </c>
      <c r="AM29" s="3535" t="s">
        <v>3751</v>
      </c>
      <c r="AN29" s="3547">
        <v>40155</v>
      </c>
      <c r="AO29" s="3535"/>
      <c r="AP29" s="3527" t="s">
        <v>3574</v>
      </c>
      <c r="AQ29" s="3548"/>
      <c r="AR29" s="3548"/>
      <c r="AS29" s="3527" t="s">
        <v>3509</v>
      </c>
      <c r="AT29" s="3535" t="s">
        <v>3560</v>
      </c>
      <c r="AU29" s="3527" t="s">
        <v>3511</v>
      </c>
      <c r="AV29" s="3527" t="s">
        <v>3512</v>
      </c>
      <c r="AW29" s="3535"/>
      <c r="AX29" s="3535">
        <v>9468</v>
      </c>
      <c r="AY29" s="3535">
        <v>10482</v>
      </c>
      <c r="AZ29" s="3537" t="s">
        <v>3575</v>
      </c>
      <c r="BA29" s="3537" t="s">
        <v>3750</v>
      </c>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c r="CA29" s="3538"/>
      <c r="CB29" s="3538"/>
      <c r="CC29" s="3538"/>
      <c r="CD29" s="3538"/>
      <c r="CE29" s="3538"/>
      <c r="CF29" s="3538"/>
      <c r="CG29" s="3538"/>
      <c r="CH29" s="3538"/>
      <c r="CI29" s="3538"/>
      <c r="CJ29" s="3538"/>
      <c r="CK29" s="3538"/>
      <c r="CL29" s="3538"/>
      <c r="CM29" s="3538"/>
      <c r="CN29" s="3538"/>
      <c r="CO29" s="3538"/>
      <c r="CP29" s="3538"/>
      <c r="CQ29" s="3538"/>
      <c r="CR29" s="3538"/>
      <c r="CS29" s="3538"/>
      <c r="CT29" s="3538"/>
      <c r="CU29" s="3538"/>
      <c r="CV29" s="3538"/>
      <c r="CW29" s="3538"/>
      <c r="CX29" s="3538"/>
      <c r="CY29" s="3538"/>
      <c r="CZ29" s="3538"/>
      <c r="DA29" s="3538"/>
      <c r="DB29" s="3538"/>
      <c r="DC29" s="3538"/>
      <c r="DD29" s="3538"/>
      <c r="DE29" s="3538"/>
      <c r="DF29" s="3538"/>
      <c r="DG29" s="3538"/>
      <c r="DH29" s="3538"/>
      <c r="DI29" s="3538"/>
      <c r="DJ29" s="3538"/>
      <c r="DK29" s="3538"/>
      <c r="DL29" s="3538"/>
      <c r="DM29" s="3538"/>
      <c r="DN29" s="3538"/>
      <c r="DO29" s="3538"/>
      <c r="DP29" s="3538"/>
      <c r="DQ29" s="3538"/>
      <c r="DR29" s="3538"/>
      <c r="DS29" s="3538"/>
      <c r="DT29" s="3538"/>
      <c r="DU29" s="3538"/>
      <c r="DV29" s="3538"/>
      <c r="DW29" s="3538"/>
      <c r="DX29" s="3538"/>
      <c r="DY29" s="3538"/>
      <c r="DZ29" s="3538"/>
      <c r="EA29" s="3538"/>
      <c r="EB29" s="3538"/>
      <c r="EC29" s="3538"/>
      <c r="ED29" s="3538"/>
      <c r="EE29" s="3538"/>
      <c r="EF29" s="3538"/>
      <c r="EG29" s="3538"/>
      <c r="EH29" s="3538"/>
      <c r="EI29" s="3538"/>
      <c r="EJ29" s="3538"/>
      <c r="EK29" s="3538"/>
      <c r="EL29" s="3538"/>
      <c r="EM29" s="3538"/>
      <c r="EN29" s="3538"/>
      <c r="EO29" s="3538"/>
      <c r="EP29" s="3538"/>
      <c r="EQ29" s="3538"/>
      <c r="ER29" s="3538"/>
      <c r="ES29" s="3538"/>
      <c r="ET29" s="3538"/>
      <c r="EU29" s="3538"/>
      <c r="EV29" s="3538"/>
      <c r="EW29" s="3538"/>
      <c r="EX29" s="3538"/>
      <c r="EY29" s="3538"/>
      <c r="EZ29" s="3538"/>
      <c r="FA29" s="3538"/>
      <c r="FB29" s="3538"/>
      <c r="FC29" s="3538"/>
      <c r="FD29" s="3538"/>
      <c r="FE29" s="3538"/>
      <c r="FF29" s="3538"/>
      <c r="FG29" s="3538"/>
      <c r="FH29" s="3538"/>
      <c r="FI29" s="3538"/>
      <c r="FJ29" s="3538"/>
      <c r="FK29" s="3538"/>
      <c r="FL29" s="3538"/>
      <c r="FM29" s="3538"/>
      <c r="FN29" s="3538"/>
      <c r="FO29" s="3538"/>
      <c r="FP29" s="3538"/>
      <c r="FQ29" s="3538"/>
      <c r="FR29" s="3538"/>
      <c r="FS29" s="3538"/>
      <c r="FT29" s="3538"/>
      <c r="FU29" s="3538"/>
      <c r="FV29" s="3538"/>
      <c r="FW29" s="3538"/>
      <c r="FX29" s="3538"/>
      <c r="FY29" s="3538"/>
      <c r="FZ29" s="3538"/>
      <c r="GA29" s="3538"/>
      <c r="GB29" s="3538"/>
      <c r="GC29" s="3538"/>
      <c r="GD29" s="3538"/>
      <c r="GE29" s="3538"/>
      <c r="GF29" s="3538"/>
      <c r="GG29" s="3538"/>
      <c r="GH29" s="3538"/>
      <c r="GI29" s="3538"/>
      <c r="GJ29" s="3538"/>
      <c r="GK29" s="3538"/>
      <c r="GL29" s="3538"/>
      <c r="GM29" s="3538"/>
      <c r="GN29" s="3538"/>
      <c r="GO29" s="3538"/>
      <c r="GP29" s="3538"/>
      <c r="GQ29" s="3538"/>
      <c r="GR29" s="3538"/>
      <c r="GS29" s="3538"/>
      <c r="GT29" s="3538"/>
      <c r="GU29" s="3538"/>
      <c r="GV29" s="3538"/>
      <c r="GW29" s="3538"/>
      <c r="GX29" s="3538"/>
      <c r="GY29" s="3538"/>
      <c r="GZ29" s="3538"/>
      <c r="HA29" s="3538"/>
      <c r="HB29" s="3538"/>
      <c r="HC29" s="3538"/>
      <c r="HD29" s="3538"/>
      <c r="HE29" s="3538"/>
      <c r="HF29" s="3538"/>
      <c r="HG29" s="3538"/>
      <c r="HH29" s="3538"/>
      <c r="HI29" s="3538"/>
      <c r="HJ29" s="3538"/>
      <c r="HK29" s="3538"/>
      <c r="HL29" s="3538"/>
      <c r="HM29" s="3538"/>
      <c r="HN29" s="3538"/>
      <c r="HO29" s="3538"/>
      <c r="HP29" s="3538"/>
      <c r="HQ29" s="3538"/>
      <c r="HR29" s="3538"/>
      <c r="HS29" s="3538"/>
      <c r="HT29" s="3538"/>
      <c r="HU29" s="3538"/>
      <c r="HV29" s="3538"/>
      <c r="HW29" s="3538"/>
      <c r="HX29" s="3538"/>
      <c r="HY29" s="3538"/>
      <c r="HZ29" s="3538"/>
      <c r="IA29" s="3538"/>
      <c r="IB29" s="3538"/>
      <c r="IC29" s="3538"/>
    </row>
    <row r="30" spans="1:237" s="3540" customFormat="1">
      <c r="A30" s="3527" t="s">
        <v>3752</v>
      </c>
      <c r="B30" s="3527" t="s">
        <v>3753</v>
      </c>
      <c r="C30" s="3528" t="s">
        <v>3754</v>
      </c>
      <c r="D30" s="3528" t="s">
        <v>3755</v>
      </c>
      <c r="E30" s="3527" t="s">
        <v>2769</v>
      </c>
      <c r="F30" s="3527" t="s">
        <v>3631</v>
      </c>
      <c r="G30" s="3527"/>
      <c r="H30" s="3527" t="s">
        <v>3652</v>
      </c>
      <c r="I30" s="3527" t="s">
        <v>3756</v>
      </c>
      <c r="J30" s="3528" t="s">
        <v>3757</v>
      </c>
      <c r="K30" s="3527" t="s">
        <v>3753</v>
      </c>
      <c r="L30" s="3527">
        <v>127.62</v>
      </c>
      <c r="M30" s="3527">
        <v>2</v>
      </c>
      <c r="N30" s="3527" t="s">
        <v>3758</v>
      </c>
      <c r="O30" s="3527"/>
      <c r="P30" s="3527" t="s">
        <v>3524</v>
      </c>
      <c r="Q30" s="3544">
        <v>1000000</v>
      </c>
      <c r="R30" s="3527">
        <v>7836</v>
      </c>
      <c r="S30" s="3529">
        <v>102.09</v>
      </c>
      <c r="T30" s="3530">
        <v>1020900</v>
      </c>
      <c r="U30" s="3527">
        <v>8000</v>
      </c>
      <c r="V30" s="3531">
        <v>0.2</v>
      </c>
      <c r="W30" s="3532">
        <v>81.67</v>
      </c>
      <c r="X30" s="3533">
        <v>816700</v>
      </c>
      <c r="Y30" s="3535">
        <v>2009</v>
      </c>
      <c r="Z30" s="3535">
        <v>12</v>
      </c>
      <c r="AA30" s="3535">
        <v>29</v>
      </c>
      <c r="AB30" s="3527">
        <v>1500</v>
      </c>
      <c r="AC30" s="3527" t="s">
        <v>3525</v>
      </c>
      <c r="AD30" s="3545" t="s">
        <v>3759</v>
      </c>
      <c r="AE30" s="3535" t="s">
        <v>3502</v>
      </c>
      <c r="AF30" s="3527" t="s">
        <v>3503</v>
      </c>
      <c r="AG30" s="3527" t="s">
        <v>3504</v>
      </c>
      <c r="AH30" s="3526"/>
      <c r="AI30" s="3527" t="s">
        <v>3618</v>
      </c>
      <c r="AJ30" s="3546"/>
      <c r="AK30" s="3527" t="s">
        <v>3730</v>
      </c>
      <c r="AL30" s="3535">
        <v>37</v>
      </c>
      <c r="AM30" s="3535" t="s">
        <v>3760</v>
      </c>
      <c r="AN30" s="3547">
        <v>40165</v>
      </c>
      <c r="AO30" s="3535"/>
      <c r="AP30" s="3527" t="s">
        <v>3574</v>
      </c>
      <c r="AQ30" s="3548">
        <v>40169</v>
      </c>
      <c r="AR30" s="3548"/>
      <c r="AS30" s="3527" t="s">
        <v>3509</v>
      </c>
      <c r="AT30" s="3535" t="s">
        <v>3510</v>
      </c>
      <c r="AU30" s="3527" t="s">
        <v>3511</v>
      </c>
      <c r="AV30" s="3527" t="s">
        <v>3512</v>
      </c>
      <c r="AW30" s="3535"/>
      <c r="AX30" s="3535" t="e">
        <v>#DIV/0!</v>
      </c>
      <c r="AY30" s="3535" t="e">
        <v>#DIV/0!</v>
      </c>
      <c r="AZ30" s="3537" t="s">
        <v>3575</v>
      </c>
      <c r="BA30" s="3537" t="s">
        <v>3514</v>
      </c>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c r="CA30" s="3538"/>
      <c r="CB30" s="3538"/>
      <c r="CC30" s="3538"/>
      <c r="CD30" s="3538"/>
      <c r="CE30" s="3538"/>
      <c r="CF30" s="3538"/>
      <c r="CG30" s="3538"/>
      <c r="CH30" s="3538"/>
      <c r="CI30" s="3538"/>
      <c r="CJ30" s="3538"/>
      <c r="CK30" s="3538"/>
      <c r="CL30" s="3538"/>
      <c r="CM30" s="3538"/>
      <c r="CN30" s="3538"/>
      <c r="CO30" s="3538"/>
      <c r="CP30" s="3538"/>
      <c r="CQ30" s="3538"/>
      <c r="CR30" s="3538"/>
      <c r="CS30" s="3538"/>
      <c r="CT30" s="3538"/>
      <c r="CU30" s="3538"/>
      <c r="CV30" s="3538"/>
      <c r="CW30" s="3538"/>
      <c r="CX30" s="3538"/>
      <c r="CY30" s="3538"/>
      <c r="CZ30" s="3538"/>
      <c r="DA30" s="3538"/>
      <c r="DB30" s="3538"/>
      <c r="DC30" s="3538"/>
      <c r="DD30" s="3538"/>
      <c r="DE30" s="3538"/>
      <c r="DF30" s="3538"/>
      <c r="DG30" s="3538"/>
      <c r="DH30" s="3538"/>
      <c r="DI30" s="3538"/>
      <c r="DJ30" s="3538"/>
      <c r="DK30" s="3538"/>
      <c r="DL30" s="3538"/>
      <c r="DM30" s="3538"/>
      <c r="DN30" s="3538"/>
      <c r="DO30" s="3538"/>
      <c r="DP30" s="3538"/>
      <c r="DQ30" s="3538"/>
      <c r="DR30" s="3538"/>
      <c r="DS30" s="3538"/>
      <c r="DT30" s="3538"/>
      <c r="DU30" s="3538"/>
      <c r="DV30" s="3538"/>
      <c r="DW30" s="3538"/>
      <c r="DX30" s="3538"/>
      <c r="DY30" s="3538"/>
      <c r="DZ30" s="3538"/>
      <c r="EA30" s="3538"/>
      <c r="EB30" s="3538"/>
      <c r="EC30" s="3538"/>
      <c r="ED30" s="3538"/>
      <c r="EE30" s="3538"/>
      <c r="EF30" s="3538"/>
      <c r="EG30" s="3538"/>
      <c r="EH30" s="3538"/>
      <c r="EI30" s="3538"/>
      <c r="EJ30" s="3538"/>
      <c r="EK30" s="3538"/>
      <c r="EL30" s="3538"/>
      <c r="EM30" s="3538"/>
      <c r="EN30" s="3538"/>
      <c r="EO30" s="3538"/>
      <c r="EP30" s="3538"/>
      <c r="EQ30" s="3538"/>
      <c r="ER30" s="3538"/>
      <c r="ES30" s="3538"/>
      <c r="ET30" s="3538"/>
      <c r="EU30" s="3538"/>
      <c r="EV30" s="3538"/>
      <c r="EW30" s="3538"/>
      <c r="EX30" s="3538"/>
      <c r="EY30" s="3538"/>
      <c r="EZ30" s="3538"/>
      <c r="FA30" s="3538"/>
      <c r="FB30" s="3538"/>
      <c r="FC30" s="3538"/>
      <c r="FD30" s="3538"/>
      <c r="FE30" s="3538"/>
      <c r="FF30" s="3538"/>
      <c r="FG30" s="3538"/>
      <c r="FH30" s="3538"/>
      <c r="FI30" s="3538"/>
      <c r="FJ30" s="3538"/>
      <c r="FK30" s="3538"/>
      <c r="FL30" s="3538"/>
      <c r="FM30" s="3538"/>
      <c r="FN30" s="3538"/>
      <c r="FO30" s="3538"/>
      <c r="FP30" s="3538"/>
      <c r="FQ30" s="3538"/>
      <c r="FR30" s="3538"/>
      <c r="FS30" s="3538"/>
      <c r="FT30" s="3538"/>
      <c r="FU30" s="3538"/>
      <c r="FV30" s="3538"/>
      <c r="FW30" s="3538"/>
      <c r="FX30" s="3538"/>
      <c r="FY30" s="3538"/>
      <c r="FZ30" s="3538"/>
      <c r="GA30" s="3538"/>
      <c r="GB30" s="3538"/>
      <c r="GC30" s="3538"/>
      <c r="GD30" s="3538"/>
      <c r="GE30" s="3538"/>
      <c r="GF30" s="3538"/>
      <c r="GG30" s="3538"/>
      <c r="GH30" s="3538"/>
      <c r="GI30" s="3538"/>
      <c r="GJ30" s="3538"/>
      <c r="GK30" s="3538"/>
      <c r="GL30" s="3538"/>
      <c r="GM30" s="3538"/>
      <c r="GN30" s="3538"/>
      <c r="GO30" s="3538"/>
      <c r="GP30" s="3538"/>
      <c r="GQ30" s="3538"/>
      <c r="GR30" s="3538"/>
      <c r="GS30" s="3538"/>
      <c r="GT30" s="3538"/>
      <c r="GU30" s="3538"/>
      <c r="GV30" s="3538"/>
      <c r="GW30" s="3538"/>
      <c r="GX30" s="3538"/>
      <c r="GY30" s="3538"/>
      <c r="GZ30" s="3538"/>
      <c r="HA30" s="3538"/>
      <c r="HB30" s="3538"/>
      <c r="HC30" s="3538"/>
      <c r="HD30" s="3538"/>
      <c r="HE30" s="3538"/>
      <c r="HF30" s="3538"/>
      <c r="HG30" s="3538"/>
      <c r="HH30" s="3538"/>
      <c r="HI30" s="3538"/>
      <c r="HJ30" s="3538"/>
      <c r="HK30" s="3538"/>
      <c r="HL30" s="3538"/>
      <c r="HM30" s="3538"/>
      <c r="HN30" s="3538"/>
      <c r="HO30" s="3538"/>
      <c r="HP30" s="3538"/>
      <c r="HQ30" s="3538"/>
      <c r="HR30" s="3538"/>
      <c r="HS30" s="3538"/>
      <c r="HT30" s="3538"/>
      <c r="HU30" s="3538"/>
      <c r="HV30" s="3538"/>
      <c r="HW30" s="3538"/>
      <c r="HX30" s="3538"/>
      <c r="HY30" s="3538"/>
      <c r="HZ30" s="3538"/>
      <c r="IA30" s="3538"/>
      <c r="IB30" s="3538"/>
      <c r="IC30" s="3538"/>
    </row>
  </sheetData>
  <phoneticPr fontId="134" type="noConversion"/>
  <dataValidations count="4">
    <dataValidation allowBlank="1" showInputMessage="1" sqref="O9 O22"/>
    <dataValidation type="list" allowBlank="1" showInputMessage="1" showErrorMessage="1" sqref="AF24">
      <formula1>"期房,----,现房"</formula1>
    </dataValidation>
    <dataValidation type="list" allowBlank="1" showInputMessage="1" showErrorMessage="1" sqref="AG24">
      <formula1>"可抵押商品住宅,------,可抵押经济适用住宅,------,可抵押商品房"</formula1>
    </dataValidation>
    <dataValidation type="list" allowBlank="1" showInputMessage="1" showErrorMessage="1" sqref="P24">
      <formula1>"复式√、平层、跃层、错层,------,复式、平层√、跃层、错层,------,复式、平层、跃层√、错层,------,复式、平层、跃层、错层√"</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117.77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816"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816"/>
      <c r="AC5" s="3798"/>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816"/>
      <c r="AC6" s="3799"/>
    </row>
    <row r="7" spans="1:29" s="108" customFormat="1" ht="15" thickBot="1">
      <c r="A7" s="362" t="s">
        <v>1679</v>
      </c>
      <c r="B7" s="363"/>
      <c r="C7" s="364">
        <f>'数据-取费表'!B2</f>
        <v>40078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96"/>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96"/>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96"/>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96"/>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94" t="s">
        <v>1691</v>
      </c>
      <c r="Q15" s="1352" t="str">
        <f t="shared" si="6"/>
        <v>商业繁华度</v>
      </c>
      <c r="R15" s="705" t="s">
        <v>14</v>
      </c>
      <c r="S15" s="706">
        <f t="shared" si="0"/>
        <v>100</v>
      </c>
      <c r="T15" s="705" t="s">
        <v>14</v>
      </c>
      <c r="U15" s="706">
        <f t="shared" si="1"/>
        <v>100</v>
      </c>
      <c r="V15" s="705" t="s">
        <v>14</v>
      </c>
      <c r="W15" s="706">
        <f t="shared" si="2"/>
        <v>100</v>
      </c>
      <c r="X15" s="1355"/>
      <c r="Y15" s="37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95"/>
      <c r="Q16" s="1352"/>
      <c r="R16" s="705"/>
      <c r="S16" s="706"/>
      <c r="T16" s="705"/>
      <c r="U16" s="706"/>
      <c r="V16" s="705"/>
      <c r="W16" s="706"/>
      <c r="X16" s="1355"/>
      <c r="Y16" s="378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95"/>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95"/>
      <c r="Q18" s="1352"/>
      <c r="R18" s="705"/>
      <c r="S18" s="706"/>
      <c r="T18" s="705"/>
      <c r="U18" s="706"/>
      <c r="V18" s="705"/>
      <c r="W18" s="706"/>
      <c r="X18" s="1355"/>
      <c r="Y18" s="378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95"/>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95"/>
      <c r="Q20" s="1352"/>
      <c r="R20" s="705"/>
      <c r="S20" s="706"/>
      <c r="T20" s="705"/>
      <c r="U20" s="706"/>
      <c r="V20" s="705"/>
      <c r="W20" s="706"/>
      <c r="X20" s="1355"/>
      <c r="Y20" s="378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95"/>
      <c r="Q22" s="1352"/>
      <c r="R22" s="705"/>
      <c r="S22" s="706"/>
      <c r="T22" s="705"/>
      <c r="U22" s="706"/>
      <c r="V22" s="705"/>
      <c r="W22" s="706"/>
      <c r="X22" s="1355"/>
      <c r="Y22" s="378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95"/>
      <c r="Q23" s="1352" t="str">
        <f>B23</f>
        <v>自然及人文环境</v>
      </c>
      <c r="R23" s="705" t="s">
        <v>14</v>
      </c>
      <c r="S23" s="706">
        <f>F23</f>
        <v>100</v>
      </c>
      <c r="T23" s="705" t="s">
        <v>14</v>
      </c>
      <c r="U23" s="706">
        <f>H23</f>
        <v>100</v>
      </c>
      <c r="V23" s="705" t="s">
        <v>14</v>
      </c>
      <c r="W23" s="706">
        <f>J23</f>
        <v>100</v>
      </c>
      <c r="X23" s="1355"/>
      <c r="Y23" s="37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95"/>
      <c r="Q24" s="1352"/>
      <c r="R24" s="705"/>
      <c r="S24" s="706"/>
      <c r="T24" s="705"/>
      <c r="U24" s="706"/>
      <c r="V24" s="705"/>
      <c r="W24" s="706"/>
      <c r="X24" s="1355"/>
      <c r="Y24" s="378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95"/>
      <c r="Q25" s="1352" t="str">
        <f t="shared" ref="Q25:Q46" si="11">B25</f>
        <v>临街状况</v>
      </c>
      <c r="R25" s="705" t="s">
        <v>14</v>
      </c>
      <c r="S25" s="706">
        <f>F25</f>
        <v>100</v>
      </c>
      <c r="T25" s="705" t="s">
        <v>14</v>
      </c>
      <c r="U25" s="706">
        <f>H25</f>
        <v>100</v>
      </c>
      <c r="V25" s="705" t="s">
        <v>14</v>
      </c>
      <c r="W25" s="706">
        <f>J25</f>
        <v>100</v>
      </c>
      <c r="X25" s="1355"/>
      <c r="Y25" s="378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95"/>
      <c r="Q26" s="1352" t="str">
        <f t="shared" si="11"/>
        <v>平面位置/可视性</v>
      </c>
      <c r="R26" s="705" t="s">
        <v>14</v>
      </c>
      <c r="S26" s="706">
        <f>F26</f>
        <v>100</v>
      </c>
      <c r="T26" s="705" t="s">
        <v>14</v>
      </c>
      <c r="U26" s="706">
        <f>H26</f>
        <v>100</v>
      </c>
      <c r="V26" s="705" t="s">
        <v>14</v>
      </c>
      <c r="W26" s="706">
        <f>J26</f>
        <v>100</v>
      </c>
      <c r="X26" s="1355"/>
      <c r="Y26" s="378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95"/>
      <c r="Q27" s="1343" t="str">
        <f t="shared" si="11"/>
        <v>人流量</v>
      </c>
      <c r="R27" s="701" t="s">
        <v>14</v>
      </c>
      <c r="S27" s="702">
        <f>F27</f>
        <v>100</v>
      </c>
      <c r="T27" s="701" t="s">
        <v>14</v>
      </c>
      <c r="U27" s="702">
        <f>H27</f>
        <v>100</v>
      </c>
      <c r="V27" s="701" t="s">
        <v>14</v>
      </c>
      <c r="W27" s="702">
        <f>J27</f>
        <v>100</v>
      </c>
      <c r="X27" s="703"/>
      <c r="Y27" s="378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95"/>
      <c r="Q29" s="1352">
        <f t="shared" si="11"/>
        <v>111</v>
      </c>
      <c r="R29" s="705" t="s">
        <v>14</v>
      </c>
      <c r="S29" s="706">
        <f t="shared" si="12"/>
        <v>100</v>
      </c>
      <c r="T29" s="705" t="s">
        <v>14</v>
      </c>
      <c r="U29" s="706">
        <f t="shared" si="13"/>
        <v>100</v>
      </c>
      <c r="V29" s="705" t="s">
        <v>14</v>
      </c>
      <c r="W29" s="706">
        <f t="shared" si="14"/>
        <v>100</v>
      </c>
      <c r="X29" s="1355"/>
      <c r="Y29" s="37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95"/>
      <c r="Q30" s="1352">
        <f t="shared" si="11"/>
        <v>111</v>
      </c>
      <c r="R30" s="705" t="s">
        <v>14</v>
      </c>
      <c r="S30" s="706">
        <f t="shared" si="12"/>
        <v>100</v>
      </c>
      <c r="T30" s="705" t="s">
        <v>14</v>
      </c>
      <c r="U30" s="706">
        <f t="shared" si="13"/>
        <v>100</v>
      </c>
      <c r="V30" s="705" t="s">
        <v>14</v>
      </c>
      <c r="W30" s="706">
        <f t="shared" si="14"/>
        <v>100</v>
      </c>
      <c r="X30" s="1355"/>
      <c r="Y30" s="378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95"/>
      <c r="Q31" s="1352">
        <f t="shared" si="11"/>
        <v>111</v>
      </c>
      <c r="R31" s="705" t="s">
        <v>14</v>
      </c>
      <c r="S31" s="706">
        <f t="shared" si="12"/>
        <v>100</v>
      </c>
      <c r="T31" s="705" t="s">
        <v>14</v>
      </c>
      <c r="U31" s="706">
        <f t="shared" si="13"/>
        <v>100</v>
      </c>
      <c r="V31" s="705" t="s">
        <v>14</v>
      </c>
      <c r="W31" s="706">
        <f t="shared" si="14"/>
        <v>100</v>
      </c>
      <c r="X31" s="1355"/>
      <c r="Y31" s="378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9" t="s">
        <v>1695</v>
      </c>
      <c r="Q32" s="1352" t="str">
        <f t="shared" si="11"/>
        <v>商业类型</v>
      </c>
      <c r="R32" s="705" t="s">
        <v>14</v>
      </c>
      <c r="S32" s="706">
        <f t="shared" si="12"/>
        <v>100</v>
      </c>
      <c r="T32" s="705" t="s">
        <v>14</v>
      </c>
      <c r="U32" s="706">
        <f t="shared" si="13"/>
        <v>100</v>
      </c>
      <c r="V32" s="705" t="s">
        <v>14</v>
      </c>
      <c r="W32" s="706">
        <f t="shared" si="14"/>
        <v>100</v>
      </c>
      <c r="X32" s="1355"/>
      <c r="Y32" s="379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90"/>
      <c r="Q33" s="707" t="str">
        <f t="shared" si="11"/>
        <v>项目建筑规模</v>
      </c>
      <c r="R33" s="708" t="s">
        <v>14</v>
      </c>
      <c r="S33" s="709" t="e">
        <f t="shared" si="12"/>
        <v>#N/A</v>
      </c>
      <c r="T33" s="708" t="s">
        <v>14</v>
      </c>
      <c r="U33" s="709" t="e">
        <f t="shared" si="13"/>
        <v>#N/A</v>
      </c>
      <c r="V33" s="708" t="s">
        <v>14</v>
      </c>
      <c r="W33" s="709" t="e">
        <f t="shared" si="14"/>
        <v>#N/A</v>
      </c>
      <c r="X33" s="710"/>
      <c r="Y33" s="379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90"/>
      <c r="Q34" s="1352" t="str">
        <f t="shared" si="11"/>
        <v>建筑结构</v>
      </c>
      <c r="R34" s="705" t="s">
        <v>14</v>
      </c>
      <c r="S34" s="706">
        <f t="shared" si="12"/>
        <v>100</v>
      </c>
      <c r="T34" s="705" t="s">
        <v>14</v>
      </c>
      <c r="U34" s="706">
        <f t="shared" si="13"/>
        <v>100</v>
      </c>
      <c r="V34" s="705" t="s">
        <v>14</v>
      </c>
      <c r="W34" s="706">
        <f t="shared" si="14"/>
        <v>100</v>
      </c>
      <c r="X34" s="1355"/>
      <c r="Y34" s="379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90"/>
      <c r="Q35" s="1352" t="str">
        <f t="shared" si="11"/>
        <v>公共部分装修</v>
      </c>
      <c r="R35" s="705" t="s">
        <v>14</v>
      </c>
      <c r="S35" s="706">
        <f t="shared" si="12"/>
        <v>100</v>
      </c>
      <c r="T35" s="705" t="s">
        <v>14</v>
      </c>
      <c r="U35" s="706">
        <f t="shared" si="13"/>
        <v>100</v>
      </c>
      <c r="V35" s="705" t="s">
        <v>14</v>
      </c>
      <c r="W35" s="706">
        <f t="shared" si="14"/>
        <v>100</v>
      </c>
      <c r="X35" s="1355"/>
      <c r="Y35" s="379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90"/>
      <c r="Q36" s="1352" t="str">
        <f t="shared" si="11"/>
        <v>成新度</v>
      </c>
      <c r="R36" s="705" t="s">
        <v>14</v>
      </c>
      <c r="S36" s="706" t="e">
        <f t="shared" si="12"/>
        <v>#N/A</v>
      </c>
      <c r="T36" s="705" t="s">
        <v>14</v>
      </c>
      <c r="U36" s="706" t="e">
        <f t="shared" si="13"/>
        <v>#N/A</v>
      </c>
      <c r="V36" s="705" t="s">
        <v>14</v>
      </c>
      <c r="W36" s="706" t="e">
        <f t="shared" si="14"/>
        <v>#N/A</v>
      </c>
      <c r="X36" s="1355"/>
      <c r="Y36" s="379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90"/>
      <c r="Q37" s="1343" t="str">
        <f t="shared" si="11"/>
        <v>市政基础设施</v>
      </c>
      <c r="R37" s="701" t="s">
        <v>14</v>
      </c>
      <c r="S37" s="702">
        <f t="shared" si="12"/>
        <v>100</v>
      </c>
      <c r="T37" s="701" t="s">
        <v>14</v>
      </c>
      <c r="U37" s="702">
        <f t="shared" si="13"/>
        <v>100</v>
      </c>
      <c r="V37" s="701" t="s">
        <v>14</v>
      </c>
      <c r="W37" s="702">
        <f t="shared" si="14"/>
        <v>100</v>
      </c>
      <c r="X37" s="703"/>
      <c r="Y37" s="379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90" t="s">
        <v>1695</v>
      </c>
      <c r="Q38" s="1352" t="str">
        <f t="shared" si="11"/>
        <v>业态</v>
      </c>
      <c r="R38" s="705" t="s">
        <v>14</v>
      </c>
      <c r="S38" s="706">
        <f t="shared" si="12"/>
        <v>100</v>
      </c>
      <c r="T38" s="705" t="s">
        <v>14</v>
      </c>
      <c r="U38" s="706">
        <f t="shared" si="13"/>
        <v>100</v>
      </c>
      <c r="V38" s="705" t="s">
        <v>14</v>
      </c>
      <c r="W38" s="706">
        <f t="shared" si="14"/>
        <v>100</v>
      </c>
      <c r="X38" s="1355"/>
      <c r="Y38" s="379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90"/>
      <c r="Q39" s="1352" t="str">
        <f t="shared" si="11"/>
        <v>层高</v>
      </c>
      <c r="R39" s="705" t="s">
        <v>14</v>
      </c>
      <c r="S39" s="706">
        <f t="shared" si="12"/>
        <v>100</v>
      </c>
      <c r="T39" s="705" t="s">
        <v>14</v>
      </c>
      <c r="U39" s="706">
        <f t="shared" si="13"/>
        <v>100</v>
      </c>
      <c r="V39" s="705" t="s">
        <v>14</v>
      </c>
      <c r="W39" s="706">
        <f t="shared" si="14"/>
        <v>100</v>
      </c>
      <c r="X39" s="1355"/>
      <c r="Y39" s="379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90"/>
      <c r="Q40" s="1352" t="str">
        <f t="shared" si="11"/>
        <v>单套建筑面积</v>
      </c>
      <c r="R40" s="705" t="s">
        <v>14</v>
      </c>
      <c r="S40" s="706">
        <f t="shared" si="12"/>
        <v>100</v>
      </c>
      <c r="T40" s="705" t="s">
        <v>14</v>
      </c>
      <c r="U40" s="706">
        <f t="shared" si="13"/>
        <v>100</v>
      </c>
      <c r="V40" s="705" t="s">
        <v>14</v>
      </c>
      <c r="W40" s="706">
        <f t="shared" si="14"/>
        <v>100</v>
      </c>
      <c r="X40" s="1355"/>
      <c r="Y40" s="379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90"/>
      <c r="Q41" s="707" t="str">
        <f t="shared" si="11"/>
        <v>进深比</v>
      </c>
      <c r="R41" s="708" t="s">
        <v>14</v>
      </c>
      <c r="S41" s="709">
        <f t="shared" si="12"/>
        <v>100</v>
      </c>
      <c r="T41" s="708" t="s">
        <v>14</v>
      </c>
      <c r="U41" s="709">
        <f t="shared" si="13"/>
        <v>100</v>
      </c>
      <c r="V41" s="708" t="s">
        <v>14</v>
      </c>
      <c r="W41" s="709">
        <f t="shared" si="14"/>
        <v>100</v>
      </c>
      <c r="X41" s="710"/>
      <c r="Y41" s="379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90"/>
      <c r="Q42" s="1352" t="str">
        <f t="shared" si="11"/>
        <v>内部装修</v>
      </c>
      <c r="R42" s="705" t="s">
        <v>14</v>
      </c>
      <c r="S42" s="706">
        <f t="shared" si="12"/>
        <v>100</v>
      </c>
      <c r="T42" s="705" t="s">
        <v>14</v>
      </c>
      <c r="U42" s="706">
        <f t="shared" si="13"/>
        <v>100</v>
      </c>
      <c r="V42" s="705" t="s">
        <v>14</v>
      </c>
      <c r="W42" s="706">
        <f t="shared" si="14"/>
        <v>100</v>
      </c>
      <c r="X42" s="1355"/>
      <c r="Y42" s="379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90"/>
      <c r="Q43" s="1352" t="str">
        <f t="shared" si="11"/>
        <v>内部装修维护情况</v>
      </c>
      <c r="R43" s="705" t="s">
        <v>14</v>
      </c>
      <c r="S43" s="706">
        <f t="shared" si="12"/>
        <v>100</v>
      </c>
      <c r="T43" s="705" t="s">
        <v>14</v>
      </c>
      <c r="U43" s="706">
        <f t="shared" si="13"/>
        <v>100</v>
      </c>
      <c r="V43" s="705" t="s">
        <v>14</v>
      </c>
      <c r="W43" s="706">
        <f t="shared" si="14"/>
        <v>100</v>
      </c>
      <c r="X43" s="1355"/>
      <c r="Y43" s="37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90"/>
      <c r="Q44" s="1343">
        <f t="shared" si="11"/>
        <v>111</v>
      </c>
      <c r="R44" s="701" t="s">
        <v>14</v>
      </c>
      <c r="S44" s="702">
        <f t="shared" si="12"/>
        <v>100</v>
      </c>
      <c r="T44" s="701" t="s">
        <v>14</v>
      </c>
      <c r="U44" s="702">
        <f t="shared" si="13"/>
        <v>100</v>
      </c>
      <c r="V44" s="701" t="s">
        <v>14</v>
      </c>
      <c r="W44" s="702">
        <f t="shared" si="14"/>
        <v>100</v>
      </c>
      <c r="X44" s="703"/>
      <c r="Y44" s="37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90"/>
      <c r="Q45" s="1352">
        <f t="shared" si="11"/>
        <v>111</v>
      </c>
      <c r="R45" s="705" t="s">
        <v>14</v>
      </c>
      <c r="S45" s="706">
        <f t="shared" si="12"/>
        <v>100</v>
      </c>
      <c r="T45" s="705" t="s">
        <v>14</v>
      </c>
      <c r="U45" s="706">
        <f t="shared" si="13"/>
        <v>100</v>
      </c>
      <c r="V45" s="705" t="s">
        <v>14</v>
      </c>
      <c r="W45" s="706">
        <f t="shared" si="14"/>
        <v>100</v>
      </c>
      <c r="X45" s="1355"/>
      <c r="Y45" s="379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91"/>
      <c r="Q46" s="1352">
        <f t="shared" si="11"/>
        <v>111</v>
      </c>
      <c r="R46" s="705" t="s">
        <v>14</v>
      </c>
      <c r="S46" s="706">
        <f t="shared" si="12"/>
        <v>100</v>
      </c>
      <c r="T46" s="705" t="s">
        <v>14</v>
      </c>
      <c r="U46" s="706">
        <f t="shared" si="13"/>
        <v>100</v>
      </c>
      <c r="V46" s="705" t="s">
        <v>14</v>
      </c>
      <c r="W46" s="706">
        <f t="shared" si="14"/>
        <v>100</v>
      </c>
      <c r="X46" s="1355"/>
      <c r="Y46" s="379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85" t="str">
        <f>A47</f>
        <v>成交单价（元/平方米）</v>
      </c>
      <c r="Q47" s="3785"/>
      <c r="R47" s="3816">
        <f>E47</f>
        <v>0</v>
      </c>
      <c r="S47" s="3816"/>
      <c r="T47" s="3816">
        <f>G47</f>
        <v>0</v>
      </c>
      <c r="U47" s="3816"/>
      <c r="V47" s="3816">
        <f>I47</f>
        <v>0</v>
      </c>
      <c r="W47" s="381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85" t="str">
        <f>A48</f>
        <v>比较价值（元/平方米）</v>
      </c>
      <c r="Q48" s="3785"/>
      <c r="R48" s="3786" t="e">
        <f>IF(F1="售价",ROUND(PRODUCT(R47,AA7:AA46),0),ROUND(PRODUCT(R47,AA7:AA46),1))</f>
        <v>#DIV/0!</v>
      </c>
      <c r="S48" s="3786"/>
      <c r="T48" s="3786" t="e">
        <f>IF(F1="售价",ROUND(PRODUCT(T47,AB7:AB46),0),ROUND(PRODUCT(T47,AB7:AB46),1))</f>
        <v>#DIV/0!</v>
      </c>
      <c r="U48" s="3786"/>
      <c r="V48" s="3786" t="e">
        <f>IF(F1="售价",ROUND(PRODUCT(V47,AC7:AC46),0),ROUND(PRODUCT(V47,AC7:AC46),1))</f>
        <v>#DIV/0!</v>
      </c>
      <c r="W48" s="378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82" t="str">
        <f>A49</f>
        <v>估价对象XX用房的比较价值（楼面单价，元/平方米）</v>
      </c>
      <c r="Q49" s="3783"/>
      <c r="R49" s="3784" t="e">
        <f>IF(F1="售价",ROUND(IF(D48="简单平均",AVERAGE(R48:V48),R48*F48+T48*H48+V48*J48),0),ROUND(IF(D48="简单平均",AVERAGE(R48:V48),R48*F48+T48*H48+V48*J48),1))</f>
        <v>#DIV/0!</v>
      </c>
      <c r="S49" s="3784"/>
      <c r="T49" s="3784"/>
      <c r="U49" s="3784"/>
      <c r="V49" s="3784"/>
      <c r="W49" s="37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2009-9</v>
      </c>
      <c r="D58" s="1185">
        <f>EDATE(C58,-1)</f>
        <v>40026</v>
      </c>
      <c r="E58" s="1185">
        <f t="shared" ref="E58:N58" si="16">EDATE(D58,-1)</f>
        <v>39995</v>
      </c>
      <c r="F58" s="1185">
        <f t="shared" si="16"/>
        <v>39965</v>
      </c>
      <c r="G58" s="1185">
        <f t="shared" si="16"/>
        <v>39934</v>
      </c>
      <c r="H58" s="1185">
        <f t="shared" si="16"/>
        <v>39904</v>
      </c>
      <c r="I58" s="1185">
        <f t="shared" si="16"/>
        <v>39873</v>
      </c>
      <c r="J58" s="1185">
        <f t="shared" si="16"/>
        <v>39845</v>
      </c>
      <c r="K58" s="1185">
        <f t="shared" si="16"/>
        <v>39814</v>
      </c>
      <c r="L58" s="1185">
        <f t="shared" si="16"/>
        <v>39783</v>
      </c>
      <c r="M58" s="1185">
        <f t="shared" si="16"/>
        <v>39753</v>
      </c>
      <c r="N58" s="1185">
        <f t="shared" si="16"/>
        <v>39722</v>
      </c>
      <c r="O58" s="1185">
        <f>EDATE(N58,-1)</f>
        <v>39692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117.77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41" t="s">
        <v>1774</v>
      </c>
      <c r="Q4" s="3842"/>
      <c r="R4" s="3845" t="s">
        <v>1770</v>
      </c>
      <c r="S4" s="3846"/>
      <c r="T4" s="3845" t="s">
        <v>1771</v>
      </c>
      <c r="U4" s="3846"/>
      <c r="V4" s="3847" t="s">
        <v>1772</v>
      </c>
      <c r="W4" s="3847"/>
      <c r="X4" s="1958"/>
      <c r="Y4" s="3845" t="s">
        <v>1774</v>
      </c>
      <c r="Z4" s="3846"/>
      <c r="AA4" s="3849" t="s">
        <v>1770</v>
      </c>
      <c r="AB4" s="3849" t="s">
        <v>1771</v>
      </c>
      <c r="AC4" s="3838" t="s">
        <v>1772</v>
      </c>
    </row>
    <row r="5" spans="1:29">
      <c r="A5" s="358"/>
      <c r="B5" s="359"/>
      <c r="C5" s="3831" t="s">
        <v>1673</v>
      </c>
      <c r="D5" s="3825"/>
      <c r="E5" s="3833" t="s">
        <v>1674</v>
      </c>
      <c r="F5" s="3834"/>
      <c r="G5" s="3831" t="s">
        <v>1675</v>
      </c>
      <c r="H5" s="3825"/>
      <c r="I5" s="3831" t="s">
        <v>1676</v>
      </c>
      <c r="J5" s="3825"/>
      <c r="K5" s="559"/>
      <c r="L5" s="2715"/>
      <c r="M5" s="2716"/>
      <c r="N5" s="2716"/>
      <c r="O5" s="2716"/>
      <c r="P5" s="3843"/>
      <c r="Q5" s="3807"/>
      <c r="R5" s="3812"/>
      <c r="S5" s="3813"/>
      <c r="T5" s="3812"/>
      <c r="U5" s="3813"/>
      <c r="V5" s="3816"/>
      <c r="W5" s="3816"/>
      <c r="X5" s="1355"/>
      <c r="Y5" s="3812"/>
      <c r="Z5" s="3813"/>
      <c r="AA5" s="3798"/>
      <c r="AB5" s="3798"/>
      <c r="AC5" s="3839"/>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44"/>
      <c r="Q6" s="3809"/>
      <c r="R6" s="3812"/>
      <c r="S6" s="3813"/>
      <c r="T6" s="3814"/>
      <c r="U6" s="3815"/>
      <c r="V6" s="3816"/>
      <c r="W6" s="3816"/>
      <c r="X6" s="1355"/>
      <c r="Y6" s="3814"/>
      <c r="Z6" s="3815"/>
      <c r="AA6" s="3799"/>
      <c r="AB6" s="3799"/>
      <c r="AC6" s="3840"/>
    </row>
    <row r="7" spans="1:29" s="108" customFormat="1" ht="15" thickBot="1">
      <c r="A7" s="362" t="s">
        <v>1679</v>
      </c>
      <c r="B7" s="363"/>
      <c r="C7" s="364">
        <f>'数据-取费表'!B2</f>
        <v>40078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48"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48" t="s">
        <v>1683</v>
      </c>
      <c r="Q8" s="3822"/>
      <c r="R8" s="701" t="s">
        <v>14</v>
      </c>
      <c r="S8" s="702">
        <f t="shared" si="0"/>
        <v>100</v>
      </c>
      <c r="T8" s="701" t="s">
        <v>14</v>
      </c>
      <c r="U8" s="702">
        <f t="shared" si="1"/>
        <v>100</v>
      </c>
      <c r="V8" s="701" t="s">
        <v>14</v>
      </c>
      <c r="W8" s="702">
        <f t="shared" si="2"/>
        <v>100</v>
      </c>
      <c r="X8" s="703"/>
      <c r="Y8" s="3821" t="s">
        <v>1683</v>
      </c>
      <c r="Z8" s="382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96"/>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96"/>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96"/>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96"/>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94" t="s">
        <v>1691</v>
      </c>
      <c r="Q15" s="1352" t="str">
        <f t="shared" si="6"/>
        <v>办公集聚程度</v>
      </c>
      <c r="R15" s="705" t="s">
        <v>14</v>
      </c>
      <c r="S15" s="706">
        <f t="shared" si="0"/>
        <v>100</v>
      </c>
      <c r="T15" s="705" t="s">
        <v>14</v>
      </c>
      <c r="U15" s="706">
        <f t="shared" si="1"/>
        <v>100</v>
      </c>
      <c r="V15" s="705" t="s">
        <v>14</v>
      </c>
      <c r="W15" s="706">
        <f t="shared" si="2"/>
        <v>100</v>
      </c>
      <c r="X15" s="1355"/>
      <c r="Y15" s="37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95"/>
      <c r="Q16" s="1352"/>
      <c r="R16" s="705"/>
      <c r="S16" s="706"/>
      <c r="T16" s="705"/>
      <c r="U16" s="706"/>
      <c r="V16" s="705"/>
      <c r="W16" s="706"/>
      <c r="X16" s="1355"/>
      <c r="Y16" s="378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95"/>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95"/>
      <c r="Q18" s="1352"/>
      <c r="R18" s="705"/>
      <c r="S18" s="706"/>
      <c r="T18" s="705"/>
      <c r="U18" s="706"/>
      <c r="V18" s="705"/>
      <c r="W18" s="706"/>
      <c r="X18" s="1355"/>
      <c r="Y18" s="378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95"/>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95"/>
      <c r="Q20" s="1352"/>
      <c r="R20" s="705"/>
      <c r="S20" s="706"/>
      <c r="T20" s="705"/>
      <c r="U20" s="706"/>
      <c r="V20" s="705"/>
      <c r="W20" s="706"/>
      <c r="X20" s="1355"/>
      <c r="Y20" s="378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95"/>
      <c r="Q22" s="1352"/>
      <c r="R22" s="705"/>
      <c r="S22" s="706"/>
      <c r="T22" s="705"/>
      <c r="U22" s="706"/>
      <c r="V22" s="705"/>
      <c r="W22" s="706"/>
      <c r="X22" s="1355"/>
      <c r="Y22" s="378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95"/>
      <c r="Q23" s="1352" t="str">
        <f>B23</f>
        <v>环境质量</v>
      </c>
      <c r="R23" s="705" t="s">
        <v>14</v>
      </c>
      <c r="S23" s="706">
        <f>F23</f>
        <v>100</v>
      </c>
      <c r="T23" s="705" t="s">
        <v>14</v>
      </c>
      <c r="U23" s="706">
        <f>H23</f>
        <v>100</v>
      </c>
      <c r="V23" s="705" t="s">
        <v>14</v>
      </c>
      <c r="W23" s="706">
        <f>J23</f>
        <v>100</v>
      </c>
      <c r="X23" s="1355"/>
      <c r="Y23" s="37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95"/>
      <c r="Q24" s="1352"/>
      <c r="R24" s="705"/>
      <c r="S24" s="706"/>
      <c r="T24" s="705"/>
      <c r="U24" s="706"/>
      <c r="V24" s="705"/>
      <c r="W24" s="706"/>
      <c r="X24" s="1355"/>
      <c r="Y24" s="378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95"/>
      <c r="Q25" s="1352" t="str">
        <f>B25</f>
        <v>毗邻道路的类型与等级</v>
      </c>
      <c r="R25" s="705" t="s">
        <v>14</v>
      </c>
      <c r="S25" s="706">
        <f>F25</f>
        <v>100</v>
      </c>
      <c r="T25" s="705" t="s">
        <v>14</v>
      </c>
      <c r="U25" s="706">
        <f>H25</f>
        <v>100</v>
      </c>
      <c r="V25" s="705" t="s">
        <v>14</v>
      </c>
      <c r="W25" s="706">
        <f>J25</f>
        <v>100</v>
      </c>
      <c r="X25" s="1355"/>
      <c r="Y25" s="37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95"/>
      <c r="Q26" s="1352"/>
      <c r="R26" s="705"/>
      <c r="S26" s="706"/>
      <c r="T26" s="705"/>
      <c r="U26" s="706"/>
      <c r="V26" s="705"/>
      <c r="W26" s="706"/>
      <c r="X26" s="1355"/>
      <c r="Y26" s="378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95"/>
      <c r="Q27" s="1352" t="str">
        <f t="shared" ref="Q27:Q47" si="11">B27</f>
        <v>楼层</v>
      </c>
      <c r="R27" s="705" t="s">
        <v>14</v>
      </c>
      <c r="S27" s="706">
        <f>F27</f>
        <v>100</v>
      </c>
      <c r="T27" s="705" t="s">
        <v>14</v>
      </c>
      <c r="U27" s="706">
        <f>H27</f>
        <v>100</v>
      </c>
      <c r="V27" s="705" t="s">
        <v>14</v>
      </c>
      <c r="W27" s="706">
        <f>J27</f>
        <v>100</v>
      </c>
      <c r="X27" s="1355"/>
      <c r="Y27" s="378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95"/>
      <c r="Q28" s="1343" t="str">
        <f t="shared" si="11"/>
        <v>朝向</v>
      </c>
      <c r="R28" s="701" t="s">
        <v>14</v>
      </c>
      <c r="S28" s="702">
        <f>F28</f>
        <v>100</v>
      </c>
      <c r="T28" s="701" t="s">
        <v>14</v>
      </c>
      <c r="U28" s="702">
        <f>H28</f>
        <v>100</v>
      </c>
      <c r="V28" s="701" t="s">
        <v>14</v>
      </c>
      <c r="W28" s="702">
        <f>J28</f>
        <v>100</v>
      </c>
      <c r="X28" s="703"/>
      <c r="Y28" s="37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95"/>
      <c r="Q29" s="1352">
        <f t="shared" si="11"/>
        <v>111</v>
      </c>
      <c r="R29" s="705" t="s">
        <v>14</v>
      </c>
      <c r="S29" s="706">
        <f t="shared" ref="S29:S47" si="12">F29</f>
        <v>100</v>
      </c>
      <c r="T29" s="705" t="s">
        <v>14</v>
      </c>
      <c r="U29" s="706">
        <f t="shared" ref="U29:U47" si="13">H29</f>
        <v>100</v>
      </c>
      <c r="V29" s="705" t="s">
        <v>14</v>
      </c>
      <c r="W29" s="706">
        <f t="shared" ref="W29:W47" si="14">J29</f>
        <v>100</v>
      </c>
      <c r="X29" s="1355"/>
      <c r="Y29" s="37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95"/>
      <c r="Q30" s="1352">
        <f t="shared" si="11"/>
        <v>111</v>
      </c>
      <c r="R30" s="705" t="s">
        <v>14</v>
      </c>
      <c r="S30" s="706">
        <f t="shared" si="12"/>
        <v>100</v>
      </c>
      <c r="T30" s="705" t="s">
        <v>14</v>
      </c>
      <c r="U30" s="706">
        <f t="shared" si="13"/>
        <v>100</v>
      </c>
      <c r="V30" s="705" t="s">
        <v>14</v>
      </c>
      <c r="W30" s="706">
        <f t="shared" si="14"/>
        <v>100</v>
      </c>
      <c r="X30" s="1355"/>
      <c r="Y30" s="37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95"/>
      <c r="Q31" s="1352">
        <f t="shared" si="11"/>
        <v>111</v>
      </c>
      <c r="R31" s="705" t="s">
        <v>14</v>
      </c>
      <c r="S31" s="706">
        <f t="shared" si="12"/>
        <v>100</v>
      </c>
      <c r="T31" s="705" t="s">
        <v>14</v>
      </c>
      <c r="U31" s="706">
        <f t="shared" si="13"/>
        <v>100</v>
      </c>
      <c r="V31" s="705" t="s">
        <v>14</v>
      </c>
      <c r="W31" s="706">
        <f t="shared" si="14"/>
        <v>100</v>
      </c>
      <c r="X31" s="1355"/>
      <c r="Y31" s="378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95"/>
      <c r="Q32" s="1352">
        <f t="shared" si="11"/>
        <v>111</v>
      </c>
      <c r="R32" s="705" t="s">
        <v>14</v>
      </c>
      <c r="S32" s="706">
        <f t="shared" si="12"/>
        <v>100</v>
      </c>
      <c r="T32" s="705" t="s">
        <v>14</v>
      </c>
      <c r="U32" s="706">
        <f t="shared" si="13"/>
        <v>100</v>
      </c>
      <c r="V32" s="705" t="s">
        <v>14</v>
      </c>
      <c r="W32" s="706">
        <f t="shared" si="14"/>
        <v>100</v>
      </c>
      <c r="X32" s="1355"/>
      <c r="Y32" s="378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9" t="s">
        <v>1695</v>
      </c>
      <c r="Q33" s="1352" t="str">
        <f t="shared" si="11"/>
        <v>建筑类型</v>
      </c>
      <c r="R33" s="705" t="s">
        <v>14</v>
      </c>
      <c r="S33" s="706">
        <f t="shared" si="12"/>
        <v>100</v>
      </c>
      <c r="T33" s="705" t="s">
        <v>14</v>
      </c>
      <c r="U33" s="706">
        <f t="shared" si="13"/>
        <v>100</v>
      </c>
      <c r="V33" s="705" t="s">
        <v>14</v>
      </c>
      <c r="W33" s="706">
        <f t="shared" si="14"/>
        <v>100</v>
      </c>
      <c r="X33" s="1355"/>
      <c r="Y33" s="379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90"/>
      <c r="Q34" s="707" t="str">
        <f t="shared" si="11"/>
        <v>项目建筑规模</v>
      </c>
      <c r="R34" s="708" t="s">
        <v>14</v>
      </c>
      <c r="S34" s="709" t="e">
        <f t="shared" si="12"/>
        <v>#N/A</v>
      </c>
      <c r="T34" s="708" t="s">
        <v>14</v>
      </c>
      <c r="U34" s="709" t="e">
        <f t="shared" si="13"/>
        <v>#N/A</v>
      </c>
      <c r="V34" s="708" t="s">
        <v>14</v>
      </c>
      <c r="W34" s="709" t="e">
        <f t="shared" si="14"/>
        <v>#N/A</v>
      </c>
      <c r="X34" s="710"/>
      <c r="Y34" s="379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90"/>
      <c r="Q35" s="1352" t="str">
        <f t="shared" si="11"/>
        <v>建筑结构</v>
      </c>
      <c r="R35" s="705" t="s">
        <v>14</v>
      </c>
      <c r="S35" s="706">
        <f t="shared" si="12"/>
        <v>100</v>
      </c>
      <c r="T35" s="705" t="s">
        <v>14</v>
      </c>
      <c r="U35" s="706">
        <f t="shared" si="13"/>
        <v>100</v>
      </c>
      <c r="V35" s="705" t="s">
        <v>14</v>
      </c>
      <c r="W35" s="706">
        <f t="shared" si="14"/>
        <v>100</v>
      </c>
      <c r="X35" s="1355"/>
      <c r="Y35" s="379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90"/>
      <c r="Q36" s="1352" t="str">
        <f t="shared" si="11"/>
        <v>公共部分装修</v>
      </c>
      <c r="R36" s="705" t="s">
        <v>14</v>
      </c>
      <c r="S36" s="706">
        <f t="shared" si="12"/>
        <v>100</v>
      </c>
      <c r="T36" s="705" t="s">
        <v>14</v>
      </c>
      <c r="U36" s="706">
        <f t="shared" si="13"/>
        <v>100</v>
      </c>
      <c r="V36" s="705" t="s">
        <v>14</v>
      </c>
      <c r="W36" s="706">
        <f t="shared" si="14"/>
        <v>100</v>
      </c>
      <c r="X36" s="1355"/>
      <c r="Y36" s="379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90"/>
      <c r="Q37" s="1352" t="str">
        <f t="shared" si="11"/>
        <v>成新度</v>
      </c>
      <c r="R37" s="705" t="s">
        <v>14</v>
      </c>
      <c r="S37" s="706" t="e">
        <f t="shared" si="12"/>
        <v>#N/A</v>
      </c>
      <c r="T37" s="705" t="s">
        <v>14</v>
      </c>
      <c r="U37" s="706" t="e">
        <f t="shared" si="13"/>
        <v>#N/A</v>
      </c>
      <c r="V37" s="705" t="s">
        <v>14</v>
      </c>
      <c r="W37" s="706" t="e">
        <f t="shared" si="14"/>
        <v>#N/A</v>
      </c>
      <c r="X37" s="1355"/>
      <c r="Y37" s="379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90"/>
      <c r="Q38" s="1343" t="str">
        <f t="shared" si="11"/>
        <v>写字楼等级</v>
      </c>
      <c r="R38" s="701" t="s">
        <v>14</v>
      </c>
      <c r="S38" s="702">
        <f t="shared" si="12"/>
        <v>100</v>
      </c>
      <c r="T38" s="701" t="s">
        <v>14</v>
      </c>
      <c r="U38" s="702">
        <f t="shared" si="13"/>
        <v>100</v>
      </c>
      <c r="V38" s="701" t="s">
        <v>14</v>
      </c>
      <c r="W38" s="702">
        <f t="shared" si="14"/>
        <v>100</v>
      </c>
      <c r="X38" s="703"/>
      <c r="Y38" s="379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90" t="s">
        <v>1695</v>
      </c>
      <c r="Q39" s="1352" t="str">
        <f t="shared" si="11"/>
        <v>物业管理</v>
      </c>
      <c r="R39" s="705" t="s">
        <v>14</v>
      </c>
      <c r="S39" s="706">
        <f t="shared" si="12"/>
        <v>100</v>
      </c>
      <c r="T39" s="705" t="s">
        <v>14</v>
      </c>
      <c r="U39" s="706">
        <f t="shared" si="13"/>
        <v>100</v>
      </c>
      <c r="V39" s="705" t="s">
        <v>14</v>
      </c>
      <c r="W39" s="706">
        <f t="shared" si="14"/>
        <v>100</v>
      </c>
      <c r="X39" s="1355"/>
      <c r="Y39" s="379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90"/>
      <c r="Q40" s="1352" t="str">
        <f t="shared" si="11"/>
        <v>市政基础设施</v>
      </c>
      <c r="R40" s="705" t="s">
        <v>14</v>
      </c>
      <c r="S40" s="706">
        <f t="shared" si="12"/>
        <v>100</v>
      </c>
      <c r="T40" s="705" t="s">
        <v>14</v>
      </c>
      <c r="U40" s="706">
        <f t="shared" si="13"/>
        <v>100</v>
      </c>
      <c r="V40" s="705" t="s">
        <v>14</v>
      </c>
      <c r="W40" s="706">
        <f t="shared" si="14"/>
        <v>100</v>
      </c>
      <c r="X40" s="1355"/>
      <c r="Y40" s="379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90"/>
      <c r="Q41" s="1352" t="str">
        <f t="shared" si="11"/>
        <v>层高</v>
      </c>
      <c r="R41" s="705" t="s">
        <v>14</v>
      </c>
      <c r="S41" s="706">
        <f t="shared" si="12"/>
        <v>100</v>
      </c>
      <c r="T41" s="705" t="s">
        <v>14</v>
      </c>
      <c r="U41" s="706">
        <f t="shared" si="13"/>
        <v>100</v>
      </c>
      <c r="V41" s="705" t="s">
        <v>14</v>
      </c>
      <c r="W41" s="706">
        <f t="shared" si="14"/>
        <v>100</v>
      </c>
      <c r="X41" s="1355"/>
      <c r="Y41" s="379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90"/>
      <c r="Q42" s="707" t="str">
        <f t="shared" si="11"/>
        <v>单套建筑面积</v>
      </c>
      <c r="R42" s="708" t="s">
        <v>14</v>
      </c>
      <c r="S42" s="709">
        <f t="shared" si="12"/>
        <v>100</v>
      </c>
      <c r="T42" s="708" t="s">
        <v>14</v>
      </c>
      <c r="U42" s="709">
        <f t="shared" si="13"/>
        <v>100</v>
      </c>
      <c r="V42" s="708" t="s">
        <v>14</v>
      </c>
      <c r="W42" s="709">
        <f t="shared" si="14"/>
        <v>100</v>
      </c>
      <c r="X42" s="710"/>
      <c r="Y42" s="379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90"/>
      <c r="Q43" s="1352" t="str">
        <f t="shared" si="11"/>
        <v>内部装修</v>
      </c>
      <c r="R43" s="705" t="s">
        <v>14</v>
      </c>
      <c r="S43" s="706">
        <f t="shared" si="12"/>
        <v>100</v>
      </c>
      <c r="T43" s="705" t="s">
        <v>14</v>
      </c>
      <c r="U43" s="706">
        <f t="shared" si="13"/>
        <v>100</v>
      </c>
      <c r="V43" s="705" t="s">
        <v>14</v>
      </c>
      <c r="W43" s="706">
        <f t="shared" si="14"/>
        <v>100</v>
      </c>
      <c r="X43" s="1355"/>
      <c r="Y43" s="379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90"/>
      <c r="Q44" s="1352" t="str">
        <f t="shared" si="11"/>
        <v>内部装修维护情况</v>
      </c>
      <c r="R44" s="705" t="s">
        <v>14</v>
      </c>
      <c r="S44" s="706">
        <f t="shared" si="12"/>
        <v>100</v>
      </c>
      <c r="T44" s="705" t="s">
        <v>14</v>
      </c>
      <c r="U44" s="706">
        <f t="shared" si="13"/>
        <v>100</v>
      </c>
      <c r="V44" s="705" t="s">
        <v>14</v>
      </c>
      <c r="W44" s="706">
        <f t="shared" si="14"/>
        <v>100</v>
      </c>
      <c r="X44" s="1355"/>
      <c r="Y44" s="37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90"/>
      <c r="Q45" s="1343">
        <f t="shared" si="11"/>
        <v>111</v>
      </c>
      <c r="R45" s="701" t="s">
        <v>14</v>
      </c>
      <c r="S45" s="702">
        <f t="shared" si="12"/>
        <v>100</v>
      </c>
      <c r="T45" s="701" t="s">
        <v>14</v>
      </c>
      <c r="U45" s="702">
        <f t="shared" si="13"/>
        <v>100</v>
      </c>
      <c r="V45" s="701" t="s">
        <v>14</v>
      </c>
      <c r="W45" s="702">
        <f t="shared" si="14"/>
        <v>100</v>
      </c>
      <c r="X45" s="703"/>
      <c r="Y45" s="37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90"/>
      <c r="Q46" s="1352">
        <f t="shared" si="11"/>
        <v>111</v>
      </c>
      <c r="R46" s="705" t="s">
        <v>14</v>
      </c>
      <c r="S46" s="706">
        <f t="shared" si="12"/>
        <v>100</v>
      </c>
      <c r="T46" s="705" t="s">
        <v>14</v>
      </c>
      <c r="U46" s="706">
        <f t="shared" si="13"/>
        <v>100</v>
      </c>
      <c r="V46" s="705" t="s">
        <v>14</v>
      </c>
      <c r="W46" s="706">
        <f t="shared" si="14"/>
        <v>100</v>
      </c>
      <c r="X46" s="1355"/>
      <c r="Y46" s="379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91"/>
      <c r="Q47" s="1352">
        <f t="shared" si="11"/>
        <v>111</v>
      </c>
      <c r="R47" s="705" t="s">
        <v>14</v>
      </c>
      <c r="S47" s="706">
        <f t="shared" si="12"/>
        <v>100</v>
      </c>
      <c r="T47" s="705" t="s">
        <v>14</v>
      </c>
      <c r="U47" s="706">
        <f t="shared" si="13"/>
        <v>100</v>
      </c>
      <c r="V47" s="705" t="s">
        <v>14</v>
      </c>
      <c r="W47" s="706">
        <f t="shared" si="14"/>
        <v>100</v>
      </c>
      <c r="X47" s="1355"/>
      <c r="Y47" s="379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96" t="str">
        <f>A48</f>
        <v>成交单价（元/平方米）</v>
      </c>
      <c r="Q48" s="3785"/>
      <c r="R48" s="3786">
        <f>E48</f>
        <v>0</v>
      </c>
      <c r="S48" s="3786"/>
      <c r="T48" s="3786">
        <f>G48</f>
        <v>0</v>
      </c>
      <c r="U48" s="3786"/>
      <c r="V48" s="3786">
        <f>I48</f>
        <v>0</v>
      </c>
      <c r="W48" s="378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96" t="str">
        <f>A49</f>
        <v>比较价值（元/平方米）</v>
      </c>
      <c r="Q49" s="3785"/>
      <c r="R49" s="3786" t="e">
        <f>IF(F1="售价",ROUND(PRODUCT(R48,AA7:AA47),0),ROUND(PRODUCT(R48,AA7:AA47),1))</f>
        <v>#DIV/0!</v>
      </c>
      <c r="S49" s="3786"/>
      <c r="T49" s="3786" t="e">
        <f>IF(F1="售价",ROUND(PRODUCT(T48,AB7:AB47),0),ROUND(PRODUCT(T48,AB7:AB47),1))</f>
        <v>#DIV/0!</v>
      </c>
      <c r="U49" s="3786"/>
      <c r="V49" s="3786" t="e">
        <f>IF(F1="售价",ROUND(PRODUCT(V48,AC7:AC47),0),ROUND(PRODUCT(V48,AC7:AC47),1))</f>
        <v>#DIV/0!</v>
      </c>
      <c r="W49" s="378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35" t="str">
        <f>A50</f>
        <v>估价对象XX用房的比较价值（楼面单价，元/平方米）</v>
      </c>
      <c r="Q50" s="3836"/>
      <c r="R50" s="3837" t="e">
        <f>IF(F1="售价",ROUND(IF(D49="简单平均",AVERAGE(R49:V49),R49*F49+T49*H49+V49*J49),0),ROUND(IF(D49="简单平均",AVERAGE(R49:V49),R49*F49+T49*H49+V49*J49),1))</f>
        <v>#DIV/0!</v>
      </c>
      <c r="S50" s="3837"/>
      <c r="T50" s="3837"/>
      <c r="U50" s="3837"/>
      <c r="V50" s="3837"/>
      <c r="W50" s="38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2009-9</v>
      </c>
      <c r="D59" s="1185">
        <f>EDATE(C59,-1)</f>
        <v>40026</v>
      </c>
      <c r="E59" s="1185">
        <f>EDATE(D59,-1)</f>
        <v>39995</v>
      </c>
      <c r="F59" s="1185">
        <f t="shared" ref="F59:O59" si="16">EDATE(E59,-1)</f>
        <v>39965</v>
      </c>
      <c r="G59" s="1185">
        <f t="shared" si="16"/>
        <v>39934</v>
      </c>
      <c r="H59" s="1185">
        <f t="shared" si="16"/>
        <v>39904</v>
      </c>
      <c r="I59" s="1185">
        <f t="shared" si="16"/>
        <v>39873</v>
      </c>
      <c r="J59" s="1185">
        <f t="shared" si="16"/>
        <v>39845</v>
      </c>
      <c r="K59" s="1185">
        <f t="shared" si="16"/>
        <v>39814</v>
      </c>
      <c r="L59" s="1185">
        <f t="shared" si="16"/>
        <v>39783</v>
      </c>
      <c r="M59" s="1185">
        <f t="shared" si="16"/>
        <v>39753</v>
      </c>
      <c r="N59" s="1185">
        <f t="shared" si="16"/>
        <v>39722</v>
      </c>
      <c r="O59" s="1185">
        <f t="shared" si="16"/>
        <v>39692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2009年9月22日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117.77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913"/>
      <c r="M4" s="914"/>
      <c r="N4" s="914"/>
      <c r="O4" s="914"/>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913"/>
      <c r="M5" s="914"/>
      <c r="N5" s="914"/>
      <c r="O5" s="914"/>
      <c r="P5" s="3806"/>
      <c r="Q5" s="3807"/>
      <c r="R5" s="3812"/>
      <c r="S5" s="3813"/>
      <c r="T5" s="3812"/>
      <c r="U5" s="3813"/>
      <c r="V5" s="3816"/>
      <c r="W5" s="3816"/>
      <c r="X5" s="1355"/>
      <c r="Y5" s="3812"/>
      <c r="Z5" s="3813"/>
      <c r="AA5" s="3798"/>
      <c r="AB5" s="3798"/>
      <c r="AC5" s="3798"/>
    </row>
    <row r="6" spans="1:29" ht="15" thickBot="1">
      <c r="A6" s="360"/>
      <c r="B6" s="361"/>
      <c r="C6" s="3830" t="s">
        <v>1677</v>
      </c>
      <c r="D6" s="3818"/>
      <c r="E6" s="3832" t="s">
        <v>1677</v>
      </c>
      <c r="F6" s="3827"/>
      <c r="G6" s="3830" t="s">
        <v>1677</v>
      </c>
      <c r="H6" s="3818"/>
      <c r="I6" s="3830" t="s">
        <v>1677</v>
      </c>
      <c r="J6" s="3818"/>
      <c r="K6" s="559" t="s">
        <v>1678</v>
      </c>
      <c r="L6" s="913"/>
      <c r="M6" s="914"/>
      <c r="N6" s="914"/>
      <c r="O6" s="914"/>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SUMIF(52:52,YEAR(E7)&amp;"-"&amp;MONTH(E7),53:53)</f>
        <v>0</v>
      </c>
      <c r="G7" s="366"/>
      <c r="H7" s="365">
        <f>SUMIF(52:52,YEAR(G7)&amp;"-"&amp;MONTH(G7),53:53)</f>
        <v>0</v>
      </c>
      <c r="I7" s="366"/>
      <c r="J7" s="365">
        <f>SUMIF(52:52,YEAR(I7)&amp;"-"&amp;MONTH(I7),53:53)</f>
        <v>0</v>
      </c>
      <c r="K7" s="560"/>
      <c r="L7" s="915"/>
      <c r="M7" s="916"/>
      <c r="N7" s="916"/>
      <c r="O7" s="916"/>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1" t="s">
        <v>1683</v>
      </c>
      <c r="Q8" s="3822"/>
      <c r="R8" s="701" t="s">
        <v>14</v>
      </c>
      <c r="S8" s="702">
        <f t="shared" si="0"/>
        <v>100</v>
      </c>
      <c r="T8" s="701" t="s">
        <v>14</v>
      </c>
      <c r="U8" s="702">
        <f t="shared" si="1"/>
        <v>100</v>
      </c>
      <c r="V8" s="701" t="s">
        <v>14</v>
      </c>
      <c r="W8" s="702">
        <f t="shared" si="2"/>
        <v>100</v>
      </c>
      <c r="X8" s="703"/>
      <c r="Y8" s="3821" t="s">
        <v>1683</v>
      </c>
      <c r="Z8" s="382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8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5"/>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85"/>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7" t="s">
        <v>1691</v>
      </c>
      <c r="Q15" s="1352" t="str">
        <f t="shared" si="6"/>
        <v>产业集聚程度</v>
      </c>
      <c r="R15" s="705" t="s">
        <v>14</v>
      </c>
      <c r="S15" s="706">
        <f t="shared" si="0"/>
        <v>100</v>
      </c>
      <c r="T15" s="705" t="s">
        <v>14</v>
      </c>
      <c r="U15" s="706">
        <f t="shared" si="1"/>
        <v>100</v>
      </c>
      <c r="V15" s="705" t="s">
        <v>14</v>
      </c>
      <c r="W15" s="706">
        <f t="shared" si="2"/>
        <v>100</v>
      </c>
      <c r="X15" s="1355"/>
      <c r="Y15" s="37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8"/>
      <c r="Q16" s="1352"/>
      <c r="R16" s="705"/>
      <c r="S16" s="706"/>
      <c r="T16" s="705"/>
      <c r="U16" s="706"/>
      <c r="V16" s="705"/>
      <c r="W16" s="706"/>
      <c r="X16" s="1355"/>
      <c r="Y16" s="378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8"/>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8"/>
      <c r="Q18" s="1352"/>
      <c r="R18" s="705"/>
      <c r="S18" s="706"/>
      <c r="T18" s="705"/>
      <c r="U18" s="706"/>
      <c r="V18" s="705"/>
      <c r="W18" s="706"/>
      <c r="X18" s="1355"/>
      <c r="Y18" s="378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8"/>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8"/>
      <c r="Q20" s="1352"/>
      <c r="R20" s="705"/>
      <c r="S20" s="706"/>
      <c r="T20" s="705"/>
      <c r="U20" s="706"/>
      <c r="V20" s="705"/>
      <c r="W20" s="706"/>
      <c r="X20" s="1355"/>
      <c r="Y20" s="378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8"/>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8"/>
      <c r="Q22" s="1352"/>
      <c r="R22" s="705"/>
      <c r="S22" s="706"/>
      <c r="T22" s="705"/>
      <c r="U22" s="706"/>
      <c r="V22" s="705"/>
      <c r="W22" s="706"/>
      <c r="X22" s="1355"/>
      <c r="Y22" s="378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8"/>
      <c r="Q23" s="1352" t="str">
        <f>B23</f>
        <v>环境质量</v>
      </c>
      <c r="R23" s="705" t="s">
        <v>14</v>
      </c>
      <c r="S23" s="706">
        <f>F23</f>
        <v>100</v>
      </c>
      <c r="T23" s="705" t="s">
        <v>14</v>
      </c>
      <c r="U23" s="706">
        <f>H23</f>
        <v>100</v>
      </c>
      <c r="V23" s="705" t="s">
        <v>14</v>
      </c>
      <c r="W23" s="706">
        <f>J23</f>
        <v>100</v>
      </c>
      <c r="X23" s="1355"/>
      <c r="Y23" s="37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8"/>
      <c r="Q24" s="1352"/>
      <c r="R24" s="705"/>
      <c r="S24" s="706"/>
      <c r="T24" s="705"/>
      <c r="U24" s="706"/>
      <c r="V24" s="705"/>
      <c r="W24" s="706"/>
      <c r="X24" s="1355"/>
      <c r="Y24" s="37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8"/>
      <c r="Q25" s="1352">
        <f>B25</f>
        <v>111</v>
      </c>
      <c r="R25" s="705" t="s">
        <v>14</v>
      </c>
      <c r="S25" s="706">
        <f>F25</f>
        <v>100</v>
      </c>
      <c r="T25" s="705" t="s">
        <v>14</v>
      </c>
      <c r="U25" s="706">
        <f>H25</f>
        <v>100</v>
      </c>
      <c r="V25" s="705" t="s">
        <v>14</v>
      </c>
      <c r="W25" s="706">
        <f>J25</f>
        <v>100</v>
      </c>
      <c r="X25" s="1355"/>
      <c r="Y25" s="37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8"/>
      <c r="Q26" s="1352">
        <f t="shared" ref="Q26:Q40" si="11">B26</f>
        <v>111</v>
      </c>
      <c r="R26" s="705" t="s">
        <v>14</v>
      </c>
      <c r="S26" s="706">
        <f>F26</f>
        <v>100</v>
      </c>
      <c r="T26" s="705" t="s">
        <v>14</v>
      </c>
      <c r="U26" s="706">
        <f>H26</f>
        <v>100</v>
      </c>
      <c r="V26" s="705" t="s">
        <v>14</v>
      </c>
      <c r="W26" s="706">
        <f>J26</f>
        <v>100</v>
      </c>
      <c r="X26" s="1355"/>
      <c r="Y26" s="37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8"/>
      <c r="Q27" s="1343">
        <f t="shared" si="11"/>
        <v>111</v>
      </c>
      <c r="R27" s="701" t="s">
        <v>14</v>
      </c>
      <c r="S27" s="702">
        <f>F27</f>
        <v>100</v>
      </c>
      <c r="T27" s="701" t="s">
        <v>14</v>
      </c>
      <c r="U27" s="702">
        <f>H27</f>
        <v>100</v>
      </c>
      <c r="V27" s="701" t="s">
        <v>14</v>
      </c>
      <c r="W27" s="702">
        <f>J27</f>
        <v>100</v>
      </c>
      <c r="X27" s="703"/>
      <c r="Y27" s="378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8"/>
      <c r="Q28" s="1352">
        <f t="shared" si="11"/>
        <v>111</v>
      </c>
      <c r="R28" s="705" t="s">
        <v>14</v>
      </c>
      <c r="S28" s="706">
        <f t="shared" ref="S28:S40" si="12">F28</f>
        <v>100</v>
      </c>
      <c r="T28" s="705" t="s">
        <v>14</v>
      </c>
      <c r="U28" s="706">
        <f t="shared" ref="U28:U40" si="13">H28</f>
        <v>100</v>
      </c>
      <c r="V28" s="705" t="s">
        <v>14</v>
      </c>
      <c r="W28" s="706">
        <f t="shared" ref="W28:W40" si="14">J28</f>
        <v>100</v>
      </c>
      <c r="X28" s="1355"/>
      <c r="Y28" s="378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50" t="s">
        <v>1695</v>
      </c>
      <c r="Q29" s="1352" t="str">
        <f t="shared" si="11"/>
        <v>建筑类型</v>
      </c>
      <c r="R29" s="705" t="s">
        <v>14</v>
      </c>
      <c r="S29" s="706">
        <f t="shared" si="12"/>
        <v>100</v>
      </c>
      <c r="T29" s="705" t="s">
        <v>14</v>
      </c>
      <c r="U29" s="706">
        <f t="shared" si="13"/>
        <v>100</v>
      </c>
      <c r="V29" s="705" t="s">
        <v>14</v>
      </c>
      <c r="W29" s="706">
        <f t="shared" si="14"/>
        <v>100</v>
      </c>
      <c r="X29" s="1355"/>
      <c r="Y29" s="379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2"/>
      <c r="Q30" s="707" t="str">
        <f t="shared" si="11"/>
        <v>项目建筑规模</v>
      </c>
      <c r="R30" s="708" t="s">
        <v>14</v>
      </c>
      <c r="S30" s="709" t="e">
        <f t="shared" si="12"/>
        <v>#N/A</v>
      </c>
      <c r="T30" s="708" t="s">
        <v>14</v>
      </c>
      <c r="U30" s="709" t="e">
        <f t="shared" si="13"/>
        <v>#N/A</v>
      </c>
      <c r="V30" s="708" t="s">
        <v>14</v>
      </c>
      <c r="W30" s="709" t="e">
        <f t="shared" si="14"/>
        <v>#N/A</v>
      </c>
      <c r="X30" s="710"/>
      <c r="Y30" s="379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2"/>
      <c r="Q31" s="1352" t="str">
        <f t="shared" si="11"/>
        <v>建筑结构</v>
      </c>
      <c r="R31" s="705" t="s">
        <v>14</v>
      </c>
      <c r="S31" s="706">
        <f t="shared" si="12"/>
        <v>100</v>
      </c>
      <c r="T31" s="705" t="s">
        <v>14</v>
      </c>
      <c r="U31" s="706">
        <f t="shared" si="13"/>
        <v>100</v>
      </c>
      <c r="V31" s="705" t="s">
        <v>14</v>
      </c>
      <c r="W31" s="706">
        <f t="shared" si="14"/>
        <v>100</v>
      </c>
      <c r="X31" s="1355"/>
      <c r="Y31" s="379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2"/>
      <c r="Q32" s="1352" t="str">
        <f t="shared" si="11"/>
        <v>公共部分装修</v>
      </c>
      <c r="R32" s="705" t="s">
        <v>14</v>
      </c>
      <c r="S32" s="706">
        <f t="shared" si="12"/>
        <v>100</v>
      </c>
      <c r="T32" s="705" t="s">
        <v>14</v>
      </c>
      <c r="U32" s="706">
        <f t="shared" si="13"/>
        <v>100</v>
      </c>
      <c r="V32" s="705" t="s">
        <v>14</v>
      </c>
      <c r="W32" s="706">
        <f t="shared" si="14"/>
        <v>100</v>
      </c>
      <c r="X32" s="1355"/>
      <c r="Y32" s="379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2"/>
      <c r="Q33" s="1352" t="str">
        <f t="shared" si="11"/>
        <v>成新度</v>
      </c>
      <c r="R33" s="705" t="s">
        <v>14</v>
      </c>
      <c r="S33" s="706" t="e">
        <f t="shared" si="12"/>
        <v>#N/A</v>
      </c>
      <c r="T33" s="705" t="s">
        <v>14</v>
      </c>
      <c r="U33" s="706" t="e">
        <f t="shared" si="13"/>
        <v>#N/A</v>
      </c>
      <c r="V33" s="705" t="s">
        <v>14</v>
      </c>
      <c r="W33" s="706" t="e">
        <f t="shared" si="14"/>
        <v>#N/A</v>
      </c>
      <c r="X33" s="1355"/>
      <c r="Y33" s="379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2"/>
      <c r="Q34" s="1343" t="str">
        <f t="shared" si="11"/>
        <v>物业管理</v>
      </c>
      <c r="R34" s="701" t="s">
        <v>14</v>
      </c>
      <c r="S34" s="702">
        <f t="shared" si="12"/>
        <v>100</v>
      </c>
      <c r="T34" s="701" t="s">
        <v>14</v>
      </c>
      <c r="U34" s="702">
        <f t="shared" si="13"/>
        <v>100</v>
      </c>
      <c r="V34" s="701" t="s">
        <v>14</v>
      </c>
      <c r="W34" s="702">
        <f t="shared" si="14"/>
        <v>100</v>
      </c>
      <c r="X34" s="703"/>
      <c r="Y34" s="379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2" t="s">
        <v>1695</v>
      </c>
      <c r="Q35" s="1352" t="str">
        <f t="shared" si="11"/>
        <v>市政基础设施</v>
      </c>
      <c r="R35" s="705" t="s">
        <v>14</v>
      </c>
      <c r="S35" s="706">
        <f t="shared" si="12"/>
        <v>100</v>
      </c>
      <c r="T35" s="705" t="s">
        <v>14</v>
      </c>
      <c r="U35" s="706">
        <f t="shared" si="13"/>
        <v>100</v>
      </c>
      <c r="V35" s="705" t="s">
        <v>14</v>
      </c>
      <c r="W35" s="706">
        <f t="shared" si="14"/>
        <v>100</v>
      </c>
      <c r="X35" s="1355"/>
      <c r="Y35" s="379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2"/>
      <c r="Q36" s="1352" t="str">
        <f t="shared" si="11"/>
        <v>内部装修</v>
      </c>
      <c r="R36" s="705" t="s">
        <v>14</v>
      </c>
      <c r="S36" s="706">
        <f t="shared" si="12"/>
        <v>100</v>
      </c>
      <c r="T36" s="705" t="s">
        <v>14</v>
      </c>
      <c r="U36" s="706">
        <f t="shared" si="13"/>
        <v>100</v>
      </c>
      <c r="V36" s="705" t="s">
        <v>14</v>
      </c>
      <c r="W36" s="706">
        <f t="shared" si="14"/>
        <v>100</v>
      </c>
      <c r="X36" s="1355"/>
      <c r="Y36" s="379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2"/>
      <c r="Q37" s="1352" t="str">
        <f t="shared" si="11"/>
        <v>内部装修状况</v>
      </c>
      <c r="R37" s="705" t="s">
        <v>14</v>
      </c>
      <c r="S37" s="706">
        <f t="shared" si="12"/>
        <v>100</v>
      </c>
      <c r="T37" s="705" t="s">
        <v>14</v>
      </c>
      <c r="U37" s="706">
        <f t="shared" si="13"/>
        <v>100</v>
      </c>
      <c r="V37" s="705" t="s">
        <v>14</v>
      </c>
      <c r="W37" s="706">
        <f t="shared" si="14"/>
        <v>100</v>
      </c>
      <c r="X37" s="1355"/>
      <c r="Y37" s="37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2"/>
      <c r="Q38" s="707">
        <f t="shared" si="11"/>
        <v>111</v>
      </c>
      <c r="R38" s="708" t="s">
        <v>14</v>
      </c>
      <c r="S38" s="709">
        <f t="shared" si="12"/>
        <v>100</v>
      </c>
      <c r="T38" s="708" t="s">
        <v>14</v>
      </c>
      <c r="U38" s="709">
        <f t="shared" si="13"/>
        <v>100</v>
      </c>
      <c r="V38" s="708" t="s">
        <v>14</v>
      </c>
      <c r="W38" s="709">
        <f t="shared" si="14"/>
        <v>100</v>
      </c>
      <c r="X38" s="710"/>
      <c r="Y38" s="37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2"/>
      <c r="Q39" s="1352">
        <f t="shared" si="11"/>
        <v>111</v>
      </c>
      <c r="R39" s="705" t="s">
        <v>14</v>
      </c>
      <c r="S39" s="706">
        <f t="shared" si="12"/>
        <v>100</v>
      </c>
      <c r="T39" s="705" t="s">
        <v>14</v>
      </c>
      <c r="U39" s="706">
        <f t="shared" si="13"/>
        <v>100</v>
      </c>
      <c r="V39" s="705" t="s">
        <v>14</v>
      </c>
      <c r="W39" s="706">
        <f t="shared" si="14"/>
        <v>100</v>
      </c>
      <c r="X39" s="1355"/>
      <c r="Y39" s="379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3"/>
      <c r="Q40" s="1352">
        <f t="shared" si="11"/>
        <v>111</v>
      </c>
      <c r="R40" s="705" t="s">
        <v>14</v>
      </c>
      <c r="S40" s="706">
        <f t="shared" si="12"/>
        <v>100</v>
      </c>
      <c r="T40" s="705" t="s">
        <v>14</v>
      </c>
      <c r="U40" s="706">
        <f t="shared" si="13"/>
        <v>100</v>
      </c>
      <c r="V40" s="705" t="s">
        <v>14</v>
      </c>
      <c r="W40" s="706">
        <f t="shared" si="14"/>
        <v>100</v>
      </c>
      <c r="X40" s="1355"/>
      <c r="Y40" s="379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85" t="str">
        <f>A41</f>
        <v>成交单价（元/平方米）</v>
      </c>
      <c r="Q41" s="3785"/>
      <c r="R41" s="3786">
        <f>E41</f>
        <v>0</v>
      </c>
      <c r="S41" s="3786"/>
      <c r="T41" s="3786">
        <f>G41</f>
        <v>0</v>
      </c>
      <c r="U41" s="3786"/>
      <c r="V41" s="3786">
        <f>I41</f>
        <v>0</v>
      </c>
      <c r="W41" s="378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85" t="str">
        <f>A42</f>
        <v>比较价值（元/平方米）</v>
      </c>
      <c r="Q42" s="3785"/>
      <c r="R42" s="3786" t="e">
        <f>IF(F1="售价",ROUND(PRODUCT(R41,AA7:AA40),0),ROUND(PRODUCT(R41,AA7:AA40),1))</f>
        <v>#DIV/0!</v>
      </c>
      <c r="S42" s="3786"/>
      <c r="T42" s="3786" t="e">
        <f>IF(F1="售价",ROUND(PRODUCT(T41,AB7:AB40),0),ROUND(PRODUCT(T41,AB7:AB40),1))</f>
        <v>#DIV/0!</v>
      </c>
      <c r="U42" s="3786"/>
      <c r="V42" s="3786" t="e">
        <f>IF(F1="售价",ROUND(PRODUCT(V41,AC7:AC40),0),ROUND(PRODUCT(V41,AC7:AC40),1))</f>
        <v>#DIV/0!</v>
      </c>
      <c r="W42" s="378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82" t="str">
        <f>A43</f>
        <v>估价对象XX用房的比较价值（楼面单价，元/平方米）</v>
      </c>
      <c r="Q43" s="3783"/>
      <c r="R43" s="3784" t="e">
        <f>IF(F1="售价",ROUND(IF(D42="简单平均",AVERAGE(R42:V42),R42*F42+T42*H42+V42*J42),0),ROUND(IF(D42="简单平均",AVERAGE(R42:V42),R42*F42+T42*H42+V42*J42),1))</f>
        <v>#DIV/0!</v>
      </c>
      <c r="S43" s="3784"/>
      <c r="T43" s="3784"/>
      <c r="U43" s="3784"/>
      <c r="V43" s="3784"/>
      <c r="W43" s="37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2009-9</v>
      </c>
      <c r="D52" s="1185">
        <f>EDATE(C52,-1)</f>
        <v>40026</v>
      </c>
      <c r="E52" s="1185">
        <f t="shared" ref="E52:O52" si="16">EDATE(D52,-1)</f>
        <v>39995</v>
      </c>
      <c r="F52" s="1185">
        <f t="shared" si="16"/>
        <v>39965</v>
      </c>
      <c r="G52" s="1185">
        <f t="shared" si="16"/>
        <v>39934</v>
      </c>
      <c r="H52" s="1185">
        <f t="shared" si="16"/>
        <v>39904</v>
      </c>
      <c r="I52" s="1185">
        <f t="shared" si="16"/>
        <v>39873</v>
      </c>
      <c r="J52" s="1185">
        <f t="shared" si="16"/>
        <v>39845</v>
      </c>
      <c r="K52" s="1185">
        <f t="shared" si="16"/>
        <v>39814</v>
      </c>
      <c r="L52" s="1185">
        <f t="shared" si="16"/>
        <v>39783</v>
      </c>
      <c r="M52" s="1185">
        <f t="shared" si="16"/>
        <v>39753</v>
      </c>
      <c r="N52" s="1185">
        <f t="shared" si="16"/>
        <v>39722</v>
      </c>
      <c r="O52" s="1185">
        <f t="shared" si="16"/>
        <v>39692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1" t="s">
        <v>1680</v>
      </c>
      <c r="Q7" s="3823"/>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85"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8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85"/>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87" t="s">
        <v>1691</v>
      </c>
      <c r="Q14" s="1352" t="str">
        <f t="shared" si="6"/>
        <v>交通便捷度</v>
      </c>
      <c r="R14" s="705" t="s">
        <v>14</v>
      </c>
      <c r="S14" s="706">
        <f t="shared" si="0"/>
        <v>100</v>
      </c>
      <c r="T14" s="705" t="s">
        <v>14</v>
      </c>
      <c r="U14" s="706">
        <f t="shared" si="1"/>
        <v>100</v>
      </c>
      <c r="V14" s="705" t="s">
        <v>14</v>
      </c>
      <c r="W14" s="706">
        <f t="shared" si="2"/>
        <v>100</v>
      </c>
      <c r="X14" s="1355"/>
      <c r="Y14" s="37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88"/>
      <c r="Q15" s="1352"/>
      <c r="R15" s="705"/>
      <c r="S15" s="706"/>
      <c r="T15" s="705"/>
      <c r="U15" s="706"/>
      <c r="V15" s="705"/>
      <c r="W15" s="706"/>
      <c r="X15" s="1355"/>
      <c r="Y15" s="378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88"/>
      <c r="Q16" s="1352" t="str">
        <f>B16</f>
        <v>公共配套设施</v>
      </c>
      <c r="R16" s="705" t="s">
        <v>14</v>
      </c>
      <c r="S16" s="706">
        <f>F16</f>
        <v>100</v>
      </c>
      <c r="T16" s="705" t="s">
        <v>14</v>
      </c>
      <c r="U16" s="706">
        <f>H16</f>
        <v>100</v>
      </c>
      <c r="V16" s="705" t="s">
        <v>14</v>
      </c>
      <c r="W16" s="706">
        <f>J16</f>
        <v>100</v>
      </c>
      <c r="X16" s="1355"/>
      <c r="Y16" s="37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88"/>
      <c r="Q17" s="1352"/>
      <c r="R17" s="705"/>
      <c r="S17" s="706"/>
      <c r="T17" s="705"/>
      <c r="U17" s="706"/>
      <c r="V17" s="705"/>
      <c r="W17" s="706"/>
      <c r="X17" s="1355"/>
      <c r="Y17" s="378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88"/>
      <c r="Q18" s="1352" t="str">
        <f>B18</f>
        <v>基础设施水平</v>
      </c>
      <c r="R18" s="705" t="s">
        <v>14</v>
      </c>
      <c r="S18" s="706">
        <f>F18</f>
        <v>100</v>
      </c>
      <c r="T18" s="705" t="s">
        <v>14</v>
      </c>
      <c r="U18" s="706">
        <f>H18</f>
        <v>100</v>
      </c>
      <c r="V18" s="705" t="s">
        <v>14</v>
      </c>
      <c r="W18" s="706">
        <f>J18</f>
        <v>100</v>
      </c>
      <c r="X18" s="1355"/>
      <c r="Y18" s="37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88"/>
      <c r="Q19" s="1352"/>
      <c r="R19" s="705"/>
      <c r="S19" s="706"/>
      <c r="T19" s="705"/>
      <c r="U19" s="706"/>
      <c r="V19" s="705"/>
      <c r="W19" s="706"/>
      <c r="X19" s="1355"/>
      <c r="Y19" s="378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88"/>
      <c r="Q20" s="1352" t="str">
        <f>B20</f>
        <v>自然及人文环境</v>
      </c>
      <c r="R20" s="705" t="s">
        <v>14</v>
      </c>
      <c r="S20" s="706">
        <f>F20</f>
        <v>100</v>
      </c>
      <c r="T20" s="705" t="s">
        <v>14</v>
      </c>
      <c r="U20" s="706">
        <f>H20</f>
        <v>100</v>
      </c>
      <c r="V20" s="705" t="s">
        <v>14</v>
      </c>
      <c r="W20" s="706">
        <f>J20</f>
        <v>100</v>
      </c>
      <c r="X20" s="1355"/>
      <c r="Y20" s="37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88"/>
      <c r="Q21" s="1352"/>
      <c r="R21" s="705"/>
      <c r="S21" s="706"/>
      <c r="T21" s="705"/>
      <c r="U21" s="706"/>
      <c r="V21" s="705"/>
      <c r="W21" s="706"/>
      <c r="X21" s="1355"/>
      <c r="Y21" s="378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88"/>
      <c r="Q22" s="1352" t="str">
        <f>B22</f>
        <v>楼层</v>
      </c>
      <c r="R22" s="705" t="s">
        <v>14</v>
      </c>
      <c r="S22" s="706">
        <f>F22</f>
        <v>100</v>
      </c>
      <c r="T22" s="705" t="s">
        <v>14</v>
      </c>
      <c r="U22" s="706">
        <f>H22</f>
        <v>100</v>
      </c>
      <c r="V22" s="705" t="s">
        <v>14</v>
      </c>
      <c r="W22" s="706">
        <f>J22</f>
        <v>100</v>
      </c>
      <c r="X22" s="1355"/>
      <c r="Y22" s="37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88"/>
      <c r="Q23" s="1352">
        <f>B23</f>
        <v>111</v>
      </c>
      <c r="R23" s="705" t="s">
        <v>14</v>
      </c>
      <c r="S23" s="706">
        <f>F23</f>
        <v>100</v>
      </c>
      <c r="T23" s="705" t="s">
        <v>14</v>
      </c>
      <c r="U23" s="706">
        <f>H23</f>
        <v>100</v>
      </c>
      <c r="V23" s="705" t="s">
        <v>14</v>
      </c>
      <c r="W23" s="706">
        <f>J23</f>
        <v>100</v>
      </c>
      <c r="X23" s="1355"/>
      <c r="Y23" s="37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88"/>
      <c r="Q24" s="1352">
        <f t="shared" ref="Q24:Q36" si="11">B24</f>
        <v>111</v>
      </c>
      <c r="R24" s="705" t="s">
        <v>14</v>
      </c>
      <c r="S24" s="706">
        <f>F24</f>
        <v>100</v>
      </c>
      <c r="T24" s="705" t="s">
        <v>14</v>
      </c>
      <c r="U24" s="706">
        <f>H24</f>
        <v>100</v>
      </c>
      <c r="V24" s="705" t="s">
        <v>14</v>
      </c>
      <c r="W24" s="706">
        <f>J24</f>
        <v>100</v>
      </c>
      <c r="X24" s="1355"/>
      <c r="Y24" s="378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88"/>
      <c r="Q25" s="1343">
        <f t="shared" si="11"/>
        <v>111</v>
      </c>
      <c r="R25" s="701" t="s">
        <v>14</v>
      </c>
      <c r="S25" s="702">
        <f>F25</f>
        <v>100</v>
      </c>
      <c r="T25" s="701" t="s">
        <v>14</v>
      </c>
      <c r="U25" s="702">
        <f>H25</f>
        <v>100</v>
      </c>
      <c r="V25" s="701" t="s">
        <v>14</v>
      </c>
      <c r="W25" s="702">
        <f>J25</f>
        <v>100</v>
      </c>
      <c r="X25" s="703"/>
      <c r="Y25" s="378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5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92"/>
      <c r="Q27" s="707" t="str">
        <f t="shared" si="11"/>
        <v>项目停车位配比</v>
      </c>
      <c r="R27" s="708" t="s">
        <v>14</v>
      </c>
      <c r="S27" s="709">
        <f t="shared" si="12"/>
        <v>100</v>
      </c>
      <c r="T27" s="708" t="s">
        <v>14</v>
      </c>
      <c r="U27" s="709">
        <f t="shared" si="13"/>
        <v>100</v>
      </c>
      <c r="V27" s="708" t="s">
        <v>14</v>
      </c>
      <c r="W27" s="709">
        <f t="shared" si="14"/>
        <v>100</v>
      </c>
      <c r="X27" s="710"/>
      <c r="Y27" s="379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92"/>
      <c r="Q28" s="1352" t="str">
        <f t="shared" si="11"/>
        <v>公共部分装修</v>
      </c>
      <c r="R28" s="705" t="s">
        <v>14</v>
      </c>
      <c r="S28" s="706">
        <f t="shared" si="12"/>
        <v>100</v>
      </c>
      <c r="T28" s="705" t="s">
        <v>14</v>
      </c>
      <c r="U28" s="706">
        <f t="shared" si="13"/>
        <v>100</v>
      </c>
      <c r="V28" s="705" t="s">
        <v>14</v>
      </c>
      <c r="W28" s="706">
        <f t="shared" si="14"/>
        <v>100</v>
      </c>
      <c r="X28" s="1355"/>
      <c r="Y28" s="379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92"/>
      <c r="Q29" s="1352" t="str">
        <f t="shared" si="11"/>
        <v>成新率</v>
      </c>
      <c r="R29" s="705" t="s">
        <v>14</v>
      </c>
      <c r="S29" s="706" t="e">
        <f t="shared" si="12"/>
        <v>#N/A</v>
      </c>
      <c r="T29" s="705" t="s">
        <v>14</v>
      </c>
      <c r="U29" s="706" t="e">
        <f t="shared" si="13"/>
        <v>#N/A</v>
      </c>
      <c r="V29" s="705" t="s">
        <v>14</v>
      </c>
      <c r="W29" s="706" t="e">
        <f t="shared" si="14"/>
        <v>#N/A</v>
      </c>
      <c r="X29" s="1355"/>
      <c r="Y29" s="379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92"/>
      <c r="Q30" s="1352" t="str">
        <f t="shared" si="11"/>
        <v>物业等级</v>
      </c>
      <c r="R30" s="705" t="s">
        <v>14</v>
      </c>
      <c r="S30" s="706">
        <f t="shared" si="12"/>
        <v>100</v>
      </c>
      <c r="T30" s="705" t="s">
        <v>14</v>
      </c>
      <c r="U30" s="706">
        <f t="shared" si="13"/>
        <v>100</v>
      </c>
      <c r="V30" s="705" t="s">
        <v>14</v>
      </c>
      <c r="W30" s="706">
        <f t="shared" si="14"/>
        <v>100</v>
      </c>
      <c r="X30" s="1355"/>
      <c r="Y30" s="379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92"/>
      <c r="Q31" s="1343" t="str">
        <f t="shared" si="11"/>
        <v>停车位面积</v>
      </c>
      <c r="R31" s="701" t="s">
        <v>14</v>
      </c>
      <c r="S31" s="702" t="e">
        <f t="shared" si="12"/>
        <v>#N/A</v>
      </c>
      <c r="T31" s="701" t="s">
        <v>14</v>
      </c>
      <c r="U31" s="702" t="e">
        <f t="shared" si="13"/>
        <v>#N/A</v>
      </c>
      <c r="V31" s="701" t="s">
        <v>14</v>
      </c>
      <c r="W31" s="702" t="e">
        <f t="shared" si="14"/>
        <v>#N/A</v>
      </c>
      <c r="X31" s="703"/>
      <c r="Y31" s="379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92" t="s">
        <v>1695</v>
      </c>
      <c r="Q32" s="1352" t="str">
        <f t="shared" si="11"/>
        <v>车位类型</v>
      </c>
      <c r="R32" s="705" t="s">
        <v>14</v>
      </c>
      <c r="S32" s="706">
        <f t="shared" si="12"/>
        <v>100</v>
      </c>
      <c r="T32" s="705" t="s">
        <v>14</v>
      </c>
      <c r="U32" s="706">
        <f t="shared" si="13"/>
        <v>100</v>
      </c>
      <c r="V32" s="705" t="s">
        <v>14</v>
      </c>
      <c r="W32" s="706">
        <f t="shared" si="14"/>
        <v>100</v>
      </c>
      <c r="X32" s="1355"/>
      <c r="Y32" s="379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92"/>
      <c r="Q33" s="1352" t="str">
        <f t="shared" si="11"/>
        <v>是否直接入户</v>
      </c>
      <c r="R33" s="705" t="s">
        <v>14</v>
      </c>
      <c r="S33" s="706">
        <f t="shared" si="12"/>
        <v>100</v>
      </c>
      <c r="T33" s="705" t="s">
        <v>14</v>
      </c>
      <c r="U33" s="706">
        <f t="shared" si="13"/>
        <v>100</v>
      </c>
      <c r="V33" s="705" t="s">
        <v>14</v>
      </c>
      <c r="W33" s="706">
        <f t="shared" si="14"/>
        <v>100</v>
      </c>
      <c r="X33" s="1355"/>
      <c r="Y33" s="37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92"/>
      <c r="Q34" s="1352">
        <f t="shared" si="11"/>
        <v>111</v>
      </c>
      <c r="R34" s="705" t="s">
        <v>14</v>
      </c>
      <c r="S34" s="706">
        <f t="shared" si="12"/>
        <v>100</v>
      </c>
      <c r="T34" s="705" t="s">
        <v>14</v>
      </c>
      <c r="U34" s="706">
        <f t="shared" si="13"/>
        <v>100</v>
      </c>
      <c r="V34" s="705" t="s">
        <v>14</v>
      </c>
      <c r="W34" s="706">
        <f t="shared" si="14"/>
        <v>100</v>
      </c>
      <c r="X34" s="1355"/>
      <c r="Y34" s="37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92"/>
      <c r="Q35" s="707">
        <f t="shared" si="11"/>
        <v>111</v>
      </c>
      <c r="R35" s="708" t="s">
        <v>14</v>
      </c>
      <c r="S35" s="709">
        <f t="shared" si="12"/>
        <v>100</v>
      </c>
      <c r="T35" s="708" t="s">
        <v>14</v>
      </c>
      <c r="U35" s="709">
        <f t="shared" si="13"/>
        <v>100</v>
      </c>
      <c r="V35" s="708" t="s">
        <v>14</v>
      </c>
      <c r="W35" s="709">
        <f t="shared" si="14"/>
        <v>100</v>
      </c>
      <c r="X35" s="710"/>
      <c r="Y35" s="379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92"/>
      <c r="Q36" s="1352">
        <f t="shared" si="11"/>
        <v>111</v>
      </c>
      <c r="R36" s="705" t="s">
        <v>14</v>
      </c>
      <c r="S36" s="706">
        <f t="shared" si="12"/>
        <v>100</v>
      </c>
      <c r="T36" s="705" t="s">
        <v>14</v>
      </c>
      <c r="U36" s="706">
        <f t="shared" si="13"/>
        <v>100</v>
      </c>
      <c r="V36" s="705" t="s">
        <v>14</v>
      </c>
      <c r="W36" s="706">
        <f t="shared" si="14"/>
        <v>100</v>
      </c>
      <c r="X36" s="1355"/>
      <c r="Y36" s="3792"/>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85" t="str">
        <f>A37</f>
        <v>成交单价</v>
      </c>
      <c r="Q37" s="3785"/>
      <c r="R37" s="3786">
        <f>E37</f>
        <v>0</v>
      </c>
      <c r="S37" s="3786"/>
      <c r="T37" s="3786">
        <f>G37</f>
        <v>0</v>
      </c>
      <c r="U37" s="3786"/>
      <c r="V37" s="3786">
        <f>I37</f>
        <v>0</v>
      </c>
      <c r="W37" s="378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85" t="str">
        <f>A38</f>
        <v>比较价值（元/平方米）</v>
      </c>
      <c r="Q38" s="3785"/>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82" t="str">
        <f>A39</f>
        <v>估价对象XX用房的比较价值（楼面单价，元/平方米）</v>
      </c>
      <c r="Q39" s="3783"/>
      <c r="R39" s="3851" t="e">
        <f>IF(F1="售价",ROUND(IF(D38="简单平均",AVERAGE(R38:W38),R38*F38+T38*H38+V38*J38),0),ROUND(IF(D38="简单平均",AVERAGE(R38:V38),R38*F38+T38*H38+V38*J38),1))</f>
        <v>#DIV/0!</v>
      </c>
      <c r="S39" s="3851"/>
      <c r="T39" s="3851"/>
      <c r="U39" s="3851"/>
      <c r="V39" s="3851"/>
      <c r="W39" s="38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2009-9</v>
      </c>
      <c r="D48" s="1185">
        <f>EDATE(C48,-1)</f>
        <v>40026</v>
      </c>
      <c r="E48" s="1185">
        <f t="shared" ref="E48:O48" si="16">EDATE(D48,-1)</f>
        <v>39995</v>
      </c>
      <c r="F48" s="1185">
        <f t="shared" si="16"/>
        <v>39965</v>
      </c>
      <c r="G48" s="1185">
        <f t="shared" si="16"/>
        <v>39934</v>
      </c>
      <c r="H48" s="1185">
        <f t="shared" si="16"/>
        <v>39904</v>
      </c>
      <c r="I48" s="1185">
        <f t="shared" si="16"/>
        <v>39873</v>
      </c>
      <c r="J48" s="1185">
        <f t="shared" si="16"/>
        <v>39845</v>
      </c>
      <c r="K48" s="1185">
        <f t="shared" si="16"/>
        <v>39814</v>
      </c>
      <c r="L48" s="1185">
        <f t="shared" si="16"/>
        <v>39783</v>
      </c>
      <c r="M48" s="1185">
        <f t="shared" si="16"/>
        <v>39753</v>
      </c>
      <c r="N48" s="1185">
        <f t="shared" si="16"/>
        <v>39722</v>
      </c>
      <c r="O48" s="1185">
        <f t="shared" si="16"/>
        <v>39692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1" t="s">
        <v>1680</v>
      </c>
      <c r="Q7" s="3823"/>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85"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8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85"/>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87" t="s">
        <v>1691</v>
      </c>
      <c r="Q14" s="1352" t="str">
        <f t="shared" si="6"/>
        <v>交通便捷度</v>
      </c>
      <c r="R14" s="705" t="s">
        <v>14</v>
      </c>
      <c r="S14" s="706">
        <f t="shared" si="0"/>
        <v>100</v>
      </c>
      <c r="T14" s="705" t="s">
        <v>14</v>
      </c>
      <c r="U14" s="706">
        <f t="shared" si="1"/>
        <v>100</v>
      </c>
      <c r="V14" s="705" t="s">
        <v>14</v>
      </c>
      <c r="W14" s="706">
        <f t="shared" si="2"/>
        <v>100</v>
      </c>
      <c r="X14" s="1355"/>
      <c r="Y14" s="37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88"/>
      <c r="Q15" s="1352"/>
      <c r="R15" s="705"/>
      <c r="S15" s="706"/>
      <c r="T15" s="705"/>
      <c r="U15" s="706"/>
      <c r="V15" s="705"/>
      <c r="W15" s="706"/>
      <c r="X15" s="1355"/>
      <c r="Y15" s="378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88"/>
      <c r="Q16" s="1352" t="str">
        <f>B16</f>
        <v>公共配套设施</v>
      </c>
      <c r="R16" s="705" t="s">
        <v>14</v>
      </c>
      <c r="S16" s="706">
        <f>F16</f>
        <v>100</v>
      </c>
      <c r="T16" s="705" t="s">
        <v>14</v>
      </c>
      <c r="U16" s="706">
        <f>H16</f>
        <v>100</v>
      </c>
      <c r="V16" s="705" t="s">
        <v>14</v>
      </c>
      <c r="W16" s="706">
        <f>J16</f>
        <v>100</v>
      </c>
      <c r="X16" s="1355"/>
      <c r="Y16" s="37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88"/>
      <c r="Q17" s="1352"/>
      <c r="R17" s="705"/>
      <c r="S17" s="706"/>
      <c r="T17" s="705"/>
      <c r="U17" s="706"/>
      <c r="V17" s="705"/>
      <c r="W17" s="706"/>
      <c r="X17" s="1355"/>
      <c r="Y17" s="378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88"/>
      <c r="Q18" s="1352" t="str">
        <f>B18</f>
        <v>基础设施水平</v>
      </c>
      <c r="R18" s="705" t="s">
        <v>14</v>
      </c>
      <c r="S18" s="706">
        <f>F18</f>
        <v>100</v>
      </c>
      <c r="T18" s="705" t="s">
        <v>14</v>
      </c>
      <c r="U18" s="706">
        <f>H18</f>
        <v>100</v>
      </c>
      <c r="V18" s="705" t="s">
        <v>14</v>
      </c>
      <c r="W18" s="706">
        <f>J18</f>
        <v>100</v>
      </c>
      <c r="X18" s="1355"/>
      <c r="Y18" s="37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88"/>
      <c r="Q19" s="1352"/>
      <c r="R19" s="705"/>
      <c r="S19" s="706"/>
      <c r="T19" s="705"/>
      <c r="U19" s="706"/>
      <c r="V19" s="705"/>
      <c r="W19" s="706"/>
      <c r="X19" s="1355"/>
      <c r="Y19" s="378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88"/>
      <c r="Q20" s="1352" t="str">
        <f>B20</f>
        <v>自然及人文环境</v>
      </c>
      <c r="R20" s="705" t="s">
        <v>14</v>
      </c>
      <c r="S20" s="706">
        <f>F20</f>
        <v>100</v>
      </c>
      <c r="T20" s="705" t="s">
        <v>14</v>
      </c>
      <c r="U20" s="706">
        <f>H20</f>
        <v>100</v>
      </c>
      <c r="V20" s="705" t="s">
        <v>14</v>
      </c>
      <c r="W20" s="706">
        <f>J20</f>
        <v>100</v>
      </c>
      <c r="X20" s="1355"/>
      <c r="Y20" s="37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88"/>
      <c r="Q21" s="1352"/>
      <c r="R21" s="705"/>
      <c r="S21" s="706"/>
      <c r="T21" s="705"/>
      <c r="U21" s="706"/>
      <c r="V21" s="705"/>
      <c r="W21" s="706"/>
      <c r="X21" s="1355"/>
      <c r="Y21" s="378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88"/>
      <c r="Q22" s="1352" t="str">
        <f>B22</f>
        <v>楼层</v>
      </c>
      <c r="R22" s="705" t="s">
        <v>14</v>
      </c>
      <c r="S22" s="706">
        <f>F22</f>
        <v>100</v>
      </c>
      <c r="T22" s="705" t="s">
        <v>14</v>
      </c>
      <c r="U22" s="706">
        <f>H22</f>
        <v>100</v>
      </c>
      <c r="V22" s="705" t="s">
        <v>14</v>
      </c>
      <c r="W22" s="706">
        <f>J22</f>
        <v>100</v>
      </c>
      <c r="X22" s="1355"/>
      <c r="Y22" s="37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88"/>
      <c r="Q23" s="1352">
        <f>B23</f>
        <v>111</v>
      </c>
      <c r="R23" s="705" t="s">
        <v>14</v>
      </c>
      <c r="S23" s="706">
        <f>F23</f>
        <v>100</v>
      </c>
      <c r="T23" s="705" t="s">
        <v>14</v>
      </c>
      <c r="U23" s="706">
        <f>H23</f>
        <v>100</v>
      </c>
      <c r="V23" s="705" t="s">
        <v>14</v>
      </c>
      <c r="W23" s="706">
        <f>J23</f>
        <v>100</v>
      </c>
      <c r="X23" s="1355"/>
      <c r="Y23" s="37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88"/>
      <c r="Q24" s="1352">
        <f t="shared" ref="Q24:Q34" si="11">B24</f>
        <v>111</v>
      </c>
      <c r="R24" s="705" t="s">
        <v>14</v>
      </c>
      <c r="S24" s="706">
        <f>F24</f>
        <v>100</v>
      </c>
      <c r="T24" s="705" t="s">
        <v>14</v>
      </c>
      <c r="U24" s="706">
        <f>H24</f>
        <v>100</v>
      </c>
      <c r="V24" s="705" t="s">
        <v>14</v>
      </c>
      <c r="W24" s="706">
        <f>J24</f>
        <v>100</v>
      </c>
      <c r="X24" s="1355"/>
      <c r="Y24" s="378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88"/>
      <c r="Q25" s="1343">
        <f t="shared" si="11"/>
        <v>111</v>
      </c>
      <c r="R25" s="701" t="s">
        <v>14</v>
      </c>
      <c r="S25" s="702">
        <f>F25</f>
        <v>100</v>
      </c>
      <c r="T25" s="701" t="s">
        <v>14</v>
      </c>
      <c r="U25" s="702">
        <f>H25</f>
        <v>100</v>
      </c>
      <c r="V25" s="701" t="s">
        <v>14</v>
      </c>
      <c r="W25" s="702">
        <f>J25</f>
        <v>100</v>
      </c>
      <c r="X25" s="703"/>
      <c r="Y25" s="378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5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92"/>
      <c r="Q27" s="707" t="str">
        <f t="shared" si="11"/>
        <v>成新率</v>
      </c>
      <c r="R27" s="708" t="s">
        <v>14</v>
      </c>
      <c r="S27" s="709" t="e">
        <f t="shared" si="12"/>
        <v>#N/A</v>
      </c>
      <c r="T27" s="708" t="s">
        <v>14</v>
      </c>
      <c r="U27" s="709" t="e">
        <f t="shared" si="13"/>
        <v>#N/A</v>
      </c>
      <c r="V27" s="708" t="s">
        <v>14</v>
      </c>
      <c r="W27" s="709" t="e">
        <f t="shared" si="14"/>
        <v>#N/A</v>
      </c>
      <c r="X27" s="710"/>
      <c r="Y27" s="379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92"/>
      <c r="Q28" s="1352" t="str">
        <f t="shared" si="11"/>
        <v>物业等级</v>
      </c>
      <c r="R28" s="705" t="s">
        <v>14</v>
      </c>
      <c r="S28" s="706">
        <f t="shared" si="12"/>
        <v>100</v>
      </c>
      <c r="T28" s="705" t="s">
        <v>14</v>
      </c>
      <c r="U28" s="706">
        <f t="shared" si="13"/>
        <v>100</v>
      </c>
      <c r="V28" s="705" t="s">
        <v>14</v>
      </c>
      <c r="W28" s="706">
        <f t="shared" si="14"/>
        <v>100</v>
      </c>
      <c r="X28" s="1355"/>
      <c r="Y28" s="379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92"/>
      <c r="Q29" s="1352" t="str">
        <f t="shared" si="11"/>
        <v>有无电梯</v>
      </c>
      <c r="R29" s="705" t="s">
        <v>14</v>
      </c>
      <c r="S29" s="706">
        <f t="shared" si="12"/>
        <v>100</v>
      </c>
      <c r="T29" s="705" t="s">
        <v>14</v>
      </c>
      <c r="U29" s="706">
        <f t="shared" si="13"/>
        <v>100</v>
      </c>
      <c r="V29" s="705" t="s">
        <v>14</v>
      </c>
      <c r="W29" s="706">
        <f t="shared" si="14"/>
        <v>100</v>
      </c>
      <c r="X29" s="1355"/>
      <c r="Y29" s="379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92"/>
      <c r="Q30" s="1352" t="str">
        <f t="shared" si="11"/>
        <v>建筑面积</v>
      </c>
      <c r="R30" s="705" t="s">
        <v>14</v>
      </c>
      <c r="S30" s="706" t="e">
        <f t="shared" si="12"/>
        <v>#N/A</v>
      </c>
      <c r="T30" s="705" t="s">
        <v>14</v>
      </c>
      <c r="U30" s="706" t="e">
        <f t="shared" si="13"/>
        <v>#N/A</v>
      </c>
      <c r="V30" s="705" t="s">
        <v>14</v>
      </c>
      <c r="W30" s="706" t="e">
        <f t="shared" si="14"/>
        <v>#N/A</v>
      </c>
      <c r="X30" s="1355"/>
      <c r="Y30" s="379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92"/>
      <c r="Q31" s="1343" t="str">
        <f t="shared" si="11"/>
        <v>是否封闭</v>
      </c>
      <c r="R31" s="701" t="s">
        <v>14</v>
      </c>
      <c r="S31" s="702">
        <f t="shared" si="12"/>
        <v>100</v>
      </c>
      <c r="T31" s="701" t="s">
        <v>14</v>
      </c>
      <c r="U31" s="702">
        <f t="shared" si="13"/>
        <v>100</v>
      </c>
      <c r="V31" s="701" t="s">
        <v>14</v>
      </c>
      <c r="W31" s="702">
        <f t="shared" si="14"/>
        <v>100</v>
      </c>
      <c r="X31" s="703"/>
      <c r="Y31" s="37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92" t="s">
        <v>1695</v>
      </c>
      <c r="Q32" s="1352">
        <f t="shared" si="11"/>
        <v>111</v>
      </c>
      <c r="R32" s="705" t="s">
        <v>14</v>
      </c>
      <c r="S32" s="706">
        <f t="shared" si="12"/>
        <v>100</v>
      </c>
      <c r="T32" s="705" t="s">
        <v>14</v>
      </c>
      <c r="U32" s="706">
        <f t="shared" si="13"/>
        <v>100</v>
      </c>
      <c r="V32" s="705" t="s">
        <v>14</v>
      </c>
      <c r="W32" s="706">
        <f t="shared" si="14"/>
        <v>100</v>
      </c>
      <c r="X32" s="1355"/>
      <c r="Y32" s="379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92"/>
      <c r="Q33" s="1352">
        <f t="shared" si="11"/>
        <v>111</v>
      </c>
      <c r="R33" s="705" t="s">
        <v>14</v>
      </c>
      <c r="S33" s="706">
        <f t="shared" si="12"/>
        <v>100</v>
      </c>
      <c r="T33" s="705" t="s">
        <v>14</v>
      </c>
      <c r="U33" s="706">
        <f t="shared" si="13"/>
        <v>100</v>
      </c>
      <c r="V33" s="705" t="s">
        <v>14</v>
      </c>
      <c r="W33" s="706">
        <f t="shared" si="14"/>
        <v>100</v>
      </c>
      <c r="X33" s="1355"/>
      <c r="Y33" s="379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92"/>
      <c r="Q34" s="1352">
        <f t="shared" si="11"/>
        <v>111</v>
      </c>
      <c r="R34" s="705" t="s">
        <v>14</v>
      </c>
      <c r="S34" s="706">
        <f t="shared" si="12"/>
        <v>100</v>
      </c>
      <c r="T34" s="705" t="s">
        <v>14</v>
      </c>
      <c r="U34" s="706">
        <f t="shared" si="13"/>
        <v>100</v>
      </c>
      <c r="V34" s="705" t="s">
        <v>14</v>
      </c>
      <c r="W34" s="706">
        <f t="shared" si="14"/>
        <v>100</v>
      </c>
      <c r="X34" s="1355"/>
      <c r="Y34" s="379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85" t="str">
        <f>A35</f>
        <v>成交单价（元/平方米）</v>
      </c>
      <c r="Q35" s="3785"/>
      <c r="R35" s="3786">
        <f>E35</f>
        <v>0</v>
      </c>
      <c r="S35" s="3786"/>
      <c r="T35" s="3786">
        <f>G35</f>
        <v>0</v>
      </c>
      <c r="U35" s="3786"/>
      <c r="V35" s="3786">
        <f>I35</f>
        <v>0</v>
      </c>
      <c r="W35" s="378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85" t="str">
        <f>A36</f>
        <v>比较价值（元/平方米）</v>
      </c>
      <c r="Q36" s="3785"/>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82" t="str">
        <f>A37</f>
        <v>估价对象XX用房的比较价值（楼面单价，元/平方米）</v>
      </c>
      <c r="Q37" s="3783"/>
      <c r="R37" s="3851" t="e">
        <f>IF(F1="售价",ROUND(IF(D36="简单平均",AVERAGE(R36:W36),R36*F36+T36*H36+V36*J36),0),ROUND(IF(D36="简单平均",AVERAGE(R36:V36),R36*F36+T36*H36+V36*J36),1))</f>
        <v>#DIV/0!</v>
      </c>
      <c r="S37" s="3851"/>
      <c r="T37" s="3851"/>
      <c r="U37" s="3851"/>
      <c r="V37" s="3851"/>
      <c r="W37" s="38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2009-9</v>
      </c>
      <c r="D46" s="1185">
        <f>EDATE(C46,-1)</f>
        <v>40026</v>
      </c>
      <c r="E46" s="1185">
        <f t="shared" ref="E46:O46" si="16">EDATE(D46,-1)</f>
        <v>39995</v>
      </c>
      <c r="F46" s="1185">
        <f t="shared" si="16"/>
        <v>39965</v>
      </c>
      <c r="G46" s="1185">
        <f t="shared" si="16"/>
        <v>39934</v>
      </c>
      <c r="H46" s="1185">
        <f t="shared" si="16"/>
        <v>39904</v>
      </c>
      <c r="I46" s="1185">
        <f t="shared" si="16"/>
        <v>39873</v>
      </c>
      <c r="J46" s="1185">
        <f t="shared" si="16"/>
        <v>39845</v>
      </c>
      <c r="K46" s="1185">
        <f t="shared" si="16"/>
        <v>39814</v>
      </c>
      <c r="L46" s="1185">
        <f t="shared" si="16"/>
        <v>39783</v>
      </c>
      <c r="M46" s="1185">
        <f t="shared" si="16"/>
        <v>39753</v>
      </c>
      <c r="N46" s="1185">
        <f t="shared" si="16"/>
        <v>39722</v>
      </c>
      <c r="O46" s="1185">
        <f t="shared" si="16"/>
        <v>39692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30">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30"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799"/>
      <c r="AC6" s="3799"/>
    </row>
    <row r="7" spans="1:30" s="108" customFormat="1" ht="15" thickBot="1">
      <c r="A7" s="362" t="s">
        <v>1679</v>
      </c>
      <c r="B7" s="363"/>
      <c r="C7" s="364">
        <f>'数据-取费表'!B2</f>
        <v>40078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1" t="s">
        <v>1683</v>
      </c>
      <c r="Q8" s="3822"/>
      <c r="R8" s="701" t="s">
        <v>14</v>
      </c>
      <c r="S8" s="702">
        <f t="shared" si="0"/>
        <v>0</v>
      </c>
      <c r="T8" s="701" t="s">
        <v>14</v>
      </c>
      <c r="U8" s="702">
        <f t="shared" si="1"/>
        <v>0</v>
      </c>
      <c r="V8" s="701" t="s">
        <v>14</v>
      </c>
      <c r="W8" s="702">
        <f t="shared" si="2"/>
        <v>0</v>
      </c>
      <c r="X8" s="703"/>
      <c r="Y8" s="3821" t="s">
        <v>1683</v>
      </c>
      <c r="Z8" s="382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8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85"/>
      <c r="Q10" s="1343"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85"/>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85"/>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85"/>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87" t="s">
        <v>1691</v>
      </c>
      <c r="Q15" s="1352" t="str">
        <f t="shared" si="6"/>
        <v>居住社区成熟度</v>
      </c>
      <c r="R15" s="705" t="s">
        <v>14</v>
      </c>
      <c r="S15" s="706">
        <f t="shared" si="0"/>
        <v>100</v>
      </c>
      <c r="T15" s="705" t="s">
        <v>14</v>
      </c>
      <c r="U15" s="706">
        <f t="shared" si="1"/>
        <v>100</v>
      </c>
      <c r="V15" s="705" t="s">
        <v>14</v>
      </c>
      <c r="W15" s="706">
        <f t="shared" si="2"/>
        <v>100</v>
      </c>
      <c r="X15" s="1355"/>
      <c r="Y15" s="37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88"/>
      <c r="Q16" s="1352"/>
      <c r="R16" s="705"/>
      <c r="S16" s="706"/>
      <c r="T16" s="705"/>
      <c r="U16" s="706"/>
      <c r="V16" s="705"/>
      <c r="W16" s="706"/>
      <c r="X16" s="1355"/>
      <c r="Y16" s="378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88"/>
      <c r="Q17" s="1352" t="str">
        <f>B17</f>
        <v>商业繁华度</v>
      </c>
      <c r="R17" s="705" t="s">
        <v>14</v>
      </c>
      <c r="S17" s="706">
        <f>F17</f>
        <v>100</v>
      </c>
      <c r="T17" s="705" t="s">
        <v>14</v>
      </c>
      <c r="U17" s="706">
        <f>H17</f>
        <v>100</v>
      </c>
      <c r="V17" s="705" t="s">
        <v>14</v>
      </c>
      <c r="W17" s="706">
        <f>J17</f>
        <v>100</v>
      </c>
      <c r="X17" s="1355"/>
      <c r="Y17" s="37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88"/>
      <c r="Q18" s="1352"/>
      <c r="R18" s="705"/>
      <c r="S18" s="706"/>
      <c r="T18" s="705"/>
      <c r="U18" s="706"/>
      <c r="V18" s="705"/>
      <c r="W18" s="706"/>
      <c r="X18" s="1355"/>
      <c r="Y18" s="378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88"/>
      <c r="Q19" s="1352" t="str">
        <f>B19</f>
        <v>办公集聚程度</v>
      </c>
      <c r="R19" s="705" t="s">
        <v>14</v>
      </c>
      <c r="S19" s="706">
        <f>F19</f>
        <v>100</v>
      </c>
      <c r="T19" s="705" t="s">
        <v>14</v>
      </c>
      <c r="U19" s="706">
        <f>H19</f>
        <v>100</v>
      </c>
      <c r="V19" s="705" t="s">
        <v>14</v>
      </c>
      <c r="W19" s="706">
        <f>J19</f>
        <v>100</v>
      </c>
      <c r="X19" s="1355"/>
      <c r="Y19" s="37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88"/>
      <c r="Q20" s="1352"/>
      <c r="R20" s="705"/>
      <c r="S20" s="706"/>
      <c r="T20" s="705"/>
      <c r="U20" s="706"/>
      <c r="V20" s="705"/>
      <c r="W20" s="706"/>
      <c r="X20" s="1355"/>
      <c r="Y20" s="378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88"/>
      <c r="Q21" s="1352" t="str">
        <f>B21</f>
        <v>交通便捷度</v>
      </c>
      <c r="R21" s="705" t="s">
        <v>14</v>
      </c>
      <c r="S21" s="706">
        <f>F21</f>
        <v>100</v>
      </c>
      <c r="T21" s="705" t="s">
        <v>14</v>
      </c>
      <c r="U21" s="706">
        <f>H21</f>
        <v>100</v>
      </c>
      <c r="V21" s="705" t="s">
        <v>14</v>
      </c>
      <c r="W21" s="706">
        <f>J21</f>
        <v>100</v>
      </c>
      <c r="X21" s="1355"/>
      <c r="Y21" s="37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88"/>
      <c r="Q22" s="1352"/>
      <c r="R22" s="705"/>
      <c r="S22" s="706"/>
      <c r="T22" s="705"/>
      <c r="U22" s="706"/>
      <c r="V22" s="705"/>
      <c r="W22" s="706"/>
      <c r="X22" s="1355"/>
      <c r="Y22" s="378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88"/>
      <c r="Q23" s="1352" t="str">
        <f t="shared" ref="Q23:Q37" si="8">B23</f>
        <v>区域土地利用方向</v>
      </c>
      <c r="R23" s="705" t="s">
        <v>14</v>
      </c>
      <c r="S23" s="706">
        <f>F23</f>
        <v>100</v>
      </c>
      <c r="T23" s="705" t="s">
        <v>14</v>
      </c>
      <c r="U23" s="706">
        <f>H23</f>
        <v>100</v>
      </c>
      <c r="V23" s="705" t="s">
        <v>14</v>
      </c>
      <c r="W23" s="706">
        <f>J23</f>
        <v>100</v>
      </c>
      <c r="X23" s="1355"/>
      <c r="Y23" s="37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88"/>
      <c r="Q24" s="1352"/>
      <c r="R24" s="705"/>
      <c r="S24" s="706"/>
      <c r="T24" s="705"/>
      <c r="U24" s="706"/>
      <c r="V24" s="705"/>
      <c r="W24" s="706"/>
      <c r="X24" s="1355"/>
      <c r="Y24" s="378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88"/>
      <c r="Q25" s="1352" t="str">
        <f t="shared" si="8"/>
        <v>自然及人文环境状况</v>
      </c>
      <c r="R25" s="705" t="s">
        <v>14</v>
      </c>
      <c r="S25" s="706">
        <f>F25</f>
        <v>100</v>
      </c>
      <c r="T25" s="705" t="s">
        <v>14</v>
      </c>
      <c r="U25" s="706">
        <f>H25</f>
        <v>100</v>
      </c>
      <c r="V25" s="705" t="s">
        <v>14</v>
      </c>
      <c r="W25" s="706">
        <f>J25</f>
        <v>100</v>
      </c>
      <c r="X25" s="1355"/>
      <c r="Y25" s="37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88"/>
      <c r="Q26" s="1352"/>
      <c r="R26" s="705"/>
      <c r="S26" s="706"/>
      <c r="T26" s="705"/>
      <c r="U26" s="706"/>
      <c r="V26" s="705"/>
      <c r="W26" s="706"/>
      <c r="X26" s="1355"/>
      <c r="Y26" s="378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88"/>
      <c r="Q27" s="1343" t="str">
        <f t="shared" si="8"/>
        <v>公共配套设施</v>
      </c>
      <c r="R27" s="701" t="s">
        <v>14</v>
      </c>
      <c r="S27" s="702">
        <f>F27</f>
        <v>100</v>
      </c>
      <c r="T27" s="701" t="s">
        <v>14</v>
      </c>
      <c r="U27" s="702">
        <f>H27</f>
        <v>100</v>
      </c>
      <c r="V27" s="701" t="s">
        <v>14</v>
      </c>
      <c r="W27" s="702">
        <f>J27</f>
        <v>100</v>
      </c>
      <c r="X27" s="703"/>
      <c r="Y27" s="37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88"/>
      <c r="Q28" s="1343"/>
      <c r="R28" s="701"/>
      <c r="S28" s="702"/>
      <c r="T28" s="701"/>
      <c r="U28" s="702"/>
      <c r="V28" s="701"/>
      <c r="W28" s="702"/>
      <c r="X28" s="703"/>
      <c r="Y28" s="378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88"/>
      <c r="Q29" s="1343" t="str">
        <f t="shared" ref="Q29" si="9">B29</f>
        <v>基础设施水平</v>
      </c>
      <c r="R29" s="701" t="s">
        <v>14</v>
      </c>
      <c r="S29" s="702">
        <f>F29</f>
        <v>100</v>
      </c>
      <c r="T29" s="701" t="s">
        <v>14</v>
      </c>
      <c r="U29" s="702">
        <f>H29</f>
        <v>100</v>
      </c>
      <c r="V29" s="701" t="s">
        <v>14</v>
      </c>
      <c r="W29" s="702">
        <f>J29</f>
        <v>100</v>
      </c>
      <c r="X29" s="703"/>
      <c r="Y29" s="37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88"/>
      <c r="Q30" s="1343"/>
      <c r="R30" s="701"/>
      <c r="S30" s="702"/>
      <c r="T30" s="701"/>
      <c r="U30" s="702"/>
      <c r="V30" s="701"/>
      <c r="W30" s="702"/>
      <c r="X30" s="703"/>
      <c r="Y30" s="378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88"/>
      <c r="Q32" s="1352" t="str">
        <f t="shared" si="8"/>
        <v>毗邻道路的类型与等级</v>
      </c>
      <c r="R32" s="705" t="s">
        <v>14</v>
      </c>
      <c r="S32" s="706">
        <f t="shared" si="10"/>
        <v>100</v>
      </c>
      <c r="T32" s="705" t="s">
        <v>14</v>
      </c>
      <c r="U32" s="706">
        <f t="shared" si="11"/>
        <v>100</v>
      </c>
      <c r="V32" s="705" t="s">
        <v>14</v>
      </c>
      <c r="W32" s="706">
        <f t="shared" si="12"/>
        <v>100</v>
      </c>
      <c r="X32" s="1355"/>
      <c r="Y32" s="37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88"/>
      <c r="Q33" s="1352"/>
      <c r="R33" s="705"/>
      <c r="S33" s="706"/>
      <c r="T33" s="705"/>
      <c r="U33" s="706"/>
      <c r="V33" s="705"/>
      <c r="W33" s="706"/>
      <c r="X33" s="1355"/>
      <c r="Y33" s="378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88"/>
      <c r="Q34" s="1352" t="str">
        <f t="shared" si="8"/>
        <v>土地级别</v>
      </c>
      <c r="R34" s="705" t="s">
        <v>14</v>
      </c>
      <c r="S34" s="706">
        <f t="shared" si="10"/>
        <v>100</v>
      </c>
      <c r="T34" s="705" t="s">
        <v>14</v>
      </c>
      <c r="U34" s="706">
        <f t="shared" si="11"/>
        <v>100</v>
      </c>
      <c r="V34" s="705" t="s">
        <v>14</v>
      </c>
      <c r="W34" s="706">
        <f t="shared" si="12"/>
        <v>100</v>
      </c>
      <c r="X34" s="1355"/>
      <c r="Y34" s="37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88"/>
      <c r="Q35" s="1352">
        <f t="shared" si="8"/>
        <v>111</v>
      </c>
      <c r="R35" s="705" t="s">
        <v>14</v>
      </c>
      <c r="S35" s="706">
        <f t="shared" si="10"/>
        <v>100</v>
      </c>
      <c r="T35" s="705" t="s">
        <v>14</v>
      </c>
      <c r="U35" s="706">
        <f t="shared" si="11"/>
        <v>100</v>
      </c>
      <c r="V35" s="705" t="s">
        <v>14</v>
      </c>
      <c r="W35" s="706">
        <f t="shared" si="12"/>
        <v>100</v>
      </c>
      <c r="X35" s="1355"/>
      <c r="Y35" s="37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50" t="s">
        <v>1695</v>
      </c>
      <c r="Q36" s="1352">
        <f t="shared" si="8"/>
        <v>111</v>
      </c>
      <c r="R36" s="705" t="s">
        <v>14</v>
      </c>
      <c r="S36" s="706">
        <f t="shared" si="10"/>
        <v>100</v>
      </c>
      <c r="T36" s="705" t="s">
        <v>14</v>
      </c>
      <c r="U36" s="706">
        <f t="shared" si="11"/>
        <v>100</v>
      </c>
      <c r="V36" s="705" t="s">
        <v>14</v>
      </c>
      <c r="W36" s="706">
        <f t="shared" si="12"/>
        <v>100</v>
      </c>
      <c r="X36" s="1355"/>
      <c r="Y36" s="379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92"/>
      <c r="Q37" s="1352">
        <f t="shared" si="8"/>
        <v>111</v>
      </c>
      <c r="R37" s="708" t="s">
        <v>14</v>
      </c>
      <c r="S37" s="709">
        <f t="shared" si="10"/>
        <v>100</v>
      </c>
      <c r="T37" s="708" t="s">
        <v>14</v>
      </c>
      <c r="U37" s="709">
        <f t="shared" si="11"/>
        <v>100</v>
      </c>
      <c r="V37" s="708" t="s">
        <v>14</v>
      </c>
      <c r="W37" s="709">
        <f t="shared" si="12"/>
        <v>100</v>
      </c>
      <c r="X37" s="710"/>
      <c r="Y37" s="379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92"/>
      <c r="Q38" s="1352" t="str">
        <f>B38</f>
        <v>宗地面积</v>
      </c>
      <c r="R38" s="705" t="s">
        <v>14</v>
      </c>
      <c r="S38" s="706" t="e">
        <f t="shared" si="10"/>
        <v>#N/A</v>
      </c>
      <c r="T38" s="705" t="s">
        <v>14</v>
      </c>
      <c r="U38" s="706" t="e">
        <f t="shared" si="11"/>
        <v>#N/A</v>
      </c>
      <c r="V38" s="705" t="s">
        <v>14</v>
      </c>
      <c r="W38" s="706" t="e">
        <f t="shared" si="12"/>
        <v>#N/A</v>
      </c>
      <c r="X38" s="1355"/>
      <c r="Y38" s="379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92"/>
      <c r="Q39" s="1352" t="str">
        <f t="shared" ref="Q39:Q45" si="14">B39</f>
        <v>宗地形状</v>
      </c>
      <c r="R39" s="705" t="s">
        <v>14</v>
      </c>
      <c r="S39" s="706">
        <f t="shared" si="10"/>
        <v>100</v>
      </c>
      <c r="T39" s="705" t="s">
        <v>14</v>
      </c>
      <c r="U39" s="706">
        <f t="shared" si="11"/>
        <v>100</v>
      </c>
      <c r="V39" s="705" t="s">
        <v>14</v>
      </c>
      <c r="W39" s="706">
        <f t="shared" si="12"/>
        <v>100</v>
      </c>
      <c r="X39" s="1355"/>
      <c r="Y39" s="379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92"/>
      <c r="Q40" s="1352" t="str">
        <f t="shared" si="14"/>
        <v>临街宽度及深度</v>
      </c>
      <c r="R40" s="705" t="s">
        <v>14</v>
      </c>
      <c r="S40" s="706">
        <f t="shared" si="10"/>
        <v>100</v>
      </c>
      <c r="T40" s="705" t="s">
        <v>14</v>
      </c>
      <c r="U40" s="706">
        <f t="shared" si="11"/>
        <v>100</v>
      </c>
      <c r="V40" s="705" t="s">
        <v>14</v>
      </c>
      <c r="W40" s="706">
        <f t="shared" si="12"/>
        <v>100</v>
      </c>
      <c r="X40" s="1355"/>
      <c r="Y40" s="379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92"/>
      <c r="Q41" s="1352" t="str">
        <f t="shared" si="14"/>
        <v>宗地开发程度</v>
      </c>
      <c r="R41" s="701" t="s">
        <v>14</v>
      </c>
      <c r="S41" s="702">
        <f t="shared" si="10"/>
        <v>100</v>
      </c>
      <c r="T41" s="701" t="s">
        <v>14</v>
      </c>
      <c r="U41" s="702">
        <f t="shared" si="11"/>
        <v>100</v>
      </c>
      <c r="V41" s="701" t="s">
        <v>14</v>
      </c>
      <c r="W41" s="702">
        <f t="shared" si="12"/>
        <v>100</v>
      </c>
      <c r="X41" s="703"/>
      <c r="Y41" s="379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92" t="s">
        <v>1695</v>
      </c>
      <c r="Q42" s="1352" t="str">
        <f t="shared" si="14"/>
        <v>工程地质条件</v>
      </c>
      <c r="R42" s="705" t="s">
        <v>14</v>
      </c>
      <c r="S42" s="706">
        <f t="shared" si="10"/>
        <v>100</v>
      </c>
      <c r="T42" s="705" t="s">
        <v>14</v>
      </c>
      <c r="U42" s="706">
        <f t="shared" si="11"/>
        <v>100</v>
      </c>
      <c r="V42" s="705" t="s">
        <v>14</v>
      </c>
      <c r="W42" s="706">
        <f t="shared" si="12"/>
        <v>100</v>
      </c>
      <c r="X42" s="1355"/>
      <c r="Y42" s="379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92"/>
      <c r="Q43" s="1352">
        <f t="shared" si="14"/>
        <v>111</v>
      </c>
      <c r="R43" s="705" t="s">
        <v>14</v>
      </c>
      <c r="S43" s="706">
        <f t="shared" si="10"/>
        <v>100</v>
      </c>
      <c r="T43" s="705" t="s">
        <v>14</v>
      </c>
      <c r="U43" s="706">
        <f t="shared" si="11"/>
        <v>100</v>
      </c>
      <c r="V43" s="705" t="s">
        <v>14</v>
      </c>
      <c r="W43" s="706">
        <f t="shared" si="12"/>
        <v>100</v>
      </c>
      <c r="X43" s="1355"/>
      <c r="Y43" s="37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92"/>
      <c r="Q44" s="1352">
        <f t="shared" si="14"/>
        <v>111</v>
      </c>
      <c r="R44" s="705" t="s">
        <v>14</v>
      </c>
      <c r="S44" s="706">
        <f t="shared" si="10"/>
        <v>100</v>
      </c>
      <c r="T44" s="705" t="s">
        <v>14</v>
      </c>
      <c r="U44" s="706">
        <f t="shared" si="11"/>
        <v>100</v>
      </c>
      <c r="V44" s="705" t="s">
        <v>14</v>
      </c>
      <c r="W44" s="706">
        <f t="shared" si="12"/>
        <v>100</v>
      </c>
      <c r="X44" s="1355"/>
      <c r="Y44" s="379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92"/>
      <c r="Q45" s="1352">
        <f t="shared" si="14"/>
        <v>111</v>
      </c>
      <c r="R45" s="708" t="s">
        <v>14</v>
      </c>
      <c r="S45" s="709">
        <f t="shared" si="10"/>
        <v>100</v>
      </c>
      <c r="T45" s="708" t="s">
        <v>14</v>
      </c>
      <c r="U45" s="709">
        <f t="shared" si="11"/>
        <v>100</v>
      </c>
      <c r="V45" s="708" t="s">
        <v>14</v>
      </c>
      <c r="W45" s="709">
        <f t="shared" si="12"/>
        <v>100</v>
      </c>
      <c r="X45" s="710"/>
      <c r="Y45" s="379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85" t="str">
        <f>A46</f>
        <v>成交单价</v>
      </c>
      <c r="Q46" s="3785"/>
      <c r="R46" s="3816">
        <f>E46</f>
        <v>0</v>
      </c>
      <c r="S46" s="3816"/>
      <c r="T46" s="3816">
        <f>G46</f>
        <v>0</v>
      </c>
      <c r="U46" s="3816"/>
      <c r="V46" s="3816">
        <f>I46</f>
        <v>0</v>
      </c>
      <c r="W46" s="381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85" t="str">
        <f>A47</f>
        <v>比较价值（元/平方米）</v>
      </c>
      <c r="Q47" s="3785"/>
      <c r="R47" s="3852" t="e">
        <f>ROUND(PRODUCT(R46,AA7:AA45),0)</f>
        <v>#DIV/0!</v>
      </c>
      <c r="S47" s="3852"/>
      <c r="T47" s="3852" t="e">
        <f>ROUND(PRODUCT(T46,AB7:AB45),0)</f>
        <v>#DIV/0!</v>
      </c>
      <c r="U47" s="3852"/>
      <c r="V47" s="3852" t="e">
        <f>ROUND(PRODUCT(V46,AC7:AC45),0)</f>
        <v>#DIV/0!</v>
      </c>
      <c r="W47" s="385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82" t="str">
        <f>A48</f>
        <v>估价对象XX用房的比较价值（楼面单价，元/平方米）</v>
      </c>
      <c r="Q48" s="3783"/>
      <c r="R48" s="3853" t="e">
        <f>ROUND(IF(D47="简单平均",AVERAGE(R47:W47),R47*F47+T47*H47+V47*J47),0)</f>
        <v>#DIV/0!</v>
      </c>
      <c r="S48" s="3853"/>
      <c r="T48" s="3853"/>
      <c r="U48" s="3853"/>
      <c r="V48" s="3853"/>
      <c r="W48" s="385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00" t="s">
        <v>1886</v>
      </c>
      <c r="H55" s="385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117.77</v>
      </c>
      <c r="F56" s="886" t="e">
        <f t="shared" ref="F56:F64" si="15">ROUND(B56*E56/10000,0)</f>
        <v>#DIV/0!</v>
      </c>
      <c r="G56" s="3796"/>
      <c r="H56" s="37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117.77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2009-9-1</v>
      </c>
      <c r="D67" s="692">
        <f>EDATE(C67,-3)</f>
        <v>39965</v>
      </c>
      <c r="E67" s="692">
        <f>EDATE(D67,-3)</f>
        <v>39873</v>
      </c>
      <c r="F67" s="692">
        <f t="shared" ref="F67:O67" si="18">EDATE(E67,-3)</f>
        <v>39783</v>
      </c>
      <c r="G67" s="692">
        <f t="shared" si="18"/>
        <v>39692</v>
      </c>
      <c r="H67" s="692">
        <f t="shared" si="18"/>
        <v>39600</v>
      </c>
      <c r="I67" s="692">
        <f t="shared" si="18"/>
        <v>39508</v>
      </c>
      <c r="J67" s="692">
        <f t="shared" si="18"/>
        <v>39417</v>
      </c>
      <c r="K67" s="692">
        <f t="shared" si="18"/>
        <v>39326</v>
      </c>
      <c r="L67" s="692">
        <f t="shared" si="18"/>
        <v>39234</v>
      </c>
      <c r="M67" s="692">
        <f t="shared" si="18"/>
        <v>39142</v>
      </c>
      <c r="N67" s="692">
        <f t="shared" si="18"/>
        <v>39052</v>
      </c>
      <c r="O67" s="692">
        <f t="shared" si="18"/>
        <v>38961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2009-3</v>
      </c>
      <c r="D69" s="1182" t="str">
        <f>YEAR(D67)&amp;"-"&amp;ROUNDUP(MONTH(D67)/3,0)</f>
        <v>2009-2</v>
      </c>
      <c r="E69" s="1182" t="str">
        <f t="shared" ref="E69:O69" si="19">YEAR(E67)&amp;"-"&amp;ROUNDUP(MONTH(E67)/3,0)</f>
        <v>2009-1</v>
      </c>
      <c r="F69" s="1182" t="str">
        <f t="shared" si="19"/>
        <v>2008-4</v>
      </c>
      <c r="G69" s="1182" t="str">
        <f t="shared" si="19"/>
        <v>2008-3</v>
      </c>
      <c r="H69" s="1182" t="str">
        <f t="shared" si="19"/>
        <v>2008-2</v>
      </c>
      <c r="I69" s="1182" t="str">
        <f t="shared" si="19"/>
        <v>2008-1</v>
      </c>
      <c r="J69" s="1182" t="str">
        <f t="shared" si="19"/>
        <v>2007-4</v>
      </c>
      <c r="K69" s="1182" t="str">
        <f t="shared" si="19"/>
        <v>2007-3</v>
      </c>
      <c r="L69" s="1182" t="str">
        <f t="shared" si="19"/>
        <v>2007-2</v>
      </c>
      <c r="M69" s="1182" t="str">
        <f t="shared" si="19"/>
        <v>2007-1</v>
      </c>
      <c r="N69" s="1182" t="str">
        <f t="shared" si="19"/>
        <v>2006-4</v>
      </c>
      <c r="O69" s="1182" t="str">
        <f t="shared" si="19"/>
        <v>2006-3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55" t="s">
        <v>1918</v>
      </c>
      <c r="D6" s="3856"/>
      <c r="E6" s="3857" t="s">
        <v>1918</v>
      </c>
      <c r="F6" s="3858"/>
      <c r="G6" s="3855" t="s">
        <v>1918</v>
      </c>
      <c r="H6" s="3856"/>
      <c r="I6" s="3855" t="s">
        <v>1918</v>
      </c>
      <c r="J6" s="3856"/>
      <c r="K6" s="559"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1" t="s">
        <v>1683</v>
      </c>
      <c r="Q8" s="3822"/>
      <c r="R8" s="701" t="s">
        <v>14</v>
      </c>
      <c r="S8" s="702">
        <f t="shared" si="0"/>
        <v>0</v>
      </c>
      <c r="T8" s="701" t="s">
        <v>14</v>
      </c>
      <c r="U8" s="702">
        <f t="shared" si="1"/>
        <v>0</v>
      </c>
      <c r="V8" s="701" t="s">
        <v>14</v>
      </c>
      <c r="W8" s="702">
        <f t="shared" si="2"/>
        <v>0</v>
      </c>
      <c r="X8" s="703"/>
      <c r="Y8" s="3821" t="s">
        <v>1683</v>
      </c>
      <c r="Z8" s="382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8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85"/>
      <c r="Q10" s="1343"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85"/>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85"/>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87" t="s">
        <v>1691</v>
      </c>
      <c r="Q15" s="1352" t="str">
        <f t="shared" si="6"/>
        <v>产业集聚程度</v>
      </c>
      <c r="R15" s="705" t="s">
        <v>14</v>
      </c>
      <c r="S15" s="706">
        <f t="shared" si="0"/>
        <v>100</v>
      </c>
      <c r="T15" s="705" t="s">
        <v>14</v>
      </c>
      <c r="U15" s="706">
        <f t="shared" si="1"/>
        <v>100</v>
      </c>
      <c r="V15" s="705" t="s">
        <v>14</v>
      </c>
      <c r="W15" s="706">
        <f t="shared" si="2"/>
        <v>100</v>
      </c>
      <c r="X15" s="1355"/>
      <c r="Y15" s="37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88"/>
      <c r="Q16" s="1352"/>
      <c r="R16" s="705"/>
      <c r="S16" s="706"/>
      <c r="T16" s="705"/>
      <c r="U16" s="706"/>
      <c r="V16" s="705"/>
      <c r="W16" s="706"/>
      <c r="X16" s="1355"/>
      <c r="Y16" s="378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88"/>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88"/>
      <c r="Q18" s="1352"/>
      <c r="R18" s="705"/>
      <c r="S18" s="706"/>
      <c r="T18" s="705"/>
      <c r="U18" s="706"/>
      <c r="V18" s="705"/>
      <c r="W18" s="706"/>
      <c r="X18" s="1355"/>
      <c r="Y18" s="378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88"/>
      <c r="Q19" s="1352" t="str">
        <f t="shared" ref="Q19:Q33" si="8">B19</f>
        <v>区域土地利用方向</v>
      </c>
      <c r="R19" s="705" t="s">
        <v>14</v>
      </c>
      <c r="S19" s="706">
        <f>F19</f>
        <v>100</v>
      </c>
      <c r="T19" s="705" t="s">
        <v>14</v>
      </c>
      <c r="U19" s="706">
        <f>H19</f>
        <v>100</v>
      </c>
      <c r="V19" s="705" t="s">
        <v>14</v>
      </c>
      <c r="W19" s="706">
        <f>J19</f>
        <v>100</v>
      </c>
      <c r="X19" s="1355"/>
      <c r="Y19" s="37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88"/>
      <c r="Q20" s="1352"/>
      <c r="R20" s="705"/>
      <c r="S20" s="706"/>
      <c r="T20" s="705"/>
      <c r="U20" s="706"/>
      <c r="V20" s="705"/>
      <c r="W20" s="706"/>
      <c r="X20" s="1355"/>
      <c r="Y20" s="378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88"/>
      <c r="Q21" s="1352" t="str">
        <f t="shared" si="8"/>
        <v>环境状况</v>
      </c>
      <c r="R21" s="705" t="s">
        <v>14</v>
      </c>
      <c r="S21" s="706">
        <f>F21</f>
        <v>100</v>
      </c>
      <c r="T21" s="705" t="s">
        <v>14</v>
      </c>
      <c r="U21" s="706">
        <f>H21</f>
        <v>100</v>
      </c>
      <c r="V21" s="705" t="s">
        <v>14</v>
      </c>
      <c r="W21" s="706">
        <f>J21</f>
        <v>100</v>
      </c>
      <c r="X21" s="1355"/>
      <c r="Y21" s="37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88"/>
      <c r="Q22" s="1352"/>
      <c r="R22" s="705"/>
      <c r="S22" s="706"/>
      <c r="T22" s="705"/>
      <c r="U22" s="706"/>
      <c r="V22" s="705"/>
      <c r="W22" s="706"/>
      <c r="X22" s="1355"/>
      <c r="Y22" s="378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88"/>
      <c r="Q23" s="1343" t="str">
        <f t="shared" si="8"/>
        <v>公共配套设施</v>
      </c>
      <c r="R23" s="701" t="s">
        <v>14</v>
      </c>
      <c r="S23" s="702">
        <f>F23</f>
        <v>100</v>
      </c>
      <c r="T23" s="701" t="s">
        <v>14</v>
      </c>
      <c r="U23" s="702">
        <f>H23</f>
        <v>100</v>
      </c>
      <c r="V23" s="701" t="s">
        <v>14</v>
      </c>
      <c r="W23" s="702">
        <f>J23</f>
        <v>100</v>
      </c>
      <c r="X23" s="703"/>
      <c r="Y23" s="37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88"/>
      <c r="Q24" s="1343"/>
      <c r="R24" s="701"/>
      <c r="S24" s="702"/>
      <c r="T24" s="701"/>
      <c r="U24" s="702"/>
      <c r="V24" s="701"/>
      <c r="W24" s="702"/>
      <c r="X24" s="703"/>
      <c r="Y24" s="378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88"/>
      <c r="Q25" s="1343" t="str">
        <f t="shared" ref="Q25" si="9">B25</f>
        <v>基础设施水平</v>
      </c>
      <c r="R25" s="701" t="s">
        <v>14</v>
      </c>
      <c r="S25" s="702">
        <f>F25</f>
        <v>100</v>
      </c>
      <c r="T25" s="701" t="s">
        <v>14</v>
      </c>
      <c r="U25" s="702">
        <f>H25</f>
        <v>100</v>
      </c>
      <c r="V25" s="701" t="s">
        <v>14</v>
      </c>
      <c r="W25" s="702">
        <f>J25</f>
        <v>100</v>
      </c>
      <c r="X25" s="703"/>
      <c r="Y25" s="37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88"/>
      <c r="Q26" s="1343"/>
      <c r="R26" s="701"/>
      <c r="S26" s="702"/>
      <c r="T26" s="701"/>
      <c r="U26" s="702"/>
      <c r="V26" s="701"/>
      <c r="W26" s="702"/>
      <c r="X26" s="703"/>
      <c r="Y26" s="378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88"/>
      <c r="Q28" s="1352" t="str">
        <f t="shared" si="8"/>
        <v>毗邻道路的类型与等级</v>
      </c>
      <c r="R28" s="705" t="s">
        <v>14</v>
      </c>
      <c r="S28" s="706">
        <f t="shared" si="10"/>
        <v>100</v>
      </c>
      <c r="T28" s="705" t="s">
        <v>14</v>
      </c>
      <c r="U28" s="706">
        <f t="shared" si="11"/>
        <v>100</v>
      </c>
      <c r="V28" s="705" t="s">
        <v>14</v>
      </c>
      <c r="W28" s="706">
        <f t="shared" si="12"/>
        <v>100</v>
      </c>
      <c r="X28" s="1355"/>
      <c r="Y28" s="37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88"/>
      <c r="Q29" s="1352"/>
      <c r="R29" s="705"/>
      <c r="S29" s="706"/>
      <c r="T29" s="705"/>
      <c r="U29" s="706"/>
      <c r="V29" s="705"/>
      <c r="W29" s="706"/>
      <c r="X29" s="1355"/>
      <c r="Y29" s="378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88"/>
      <c r="Q30" s="1352" t="str">
        <f t="shared" si="8"/>
        <v>土地级别</v>
      </c>
      <c r="R30" s="705" t="s">
        <v>14</v>
      </c>
      <c r="S30" s="706">
        <f t="shared" si="10"/>
        <v>100</v>
      </c>
      <c r="T30" s="705" t="s">
        <v>14</v>
      </c>
      <c r="U30" s="706">
        <f t="shared" si="11"/>
        <v>100</v>
      </c>
      <c r="V30" s="705" t="s">
        <v>14</v>
      </c>
      <c r="W30" s="706">
        <f t="shared" si="12"/>
        <v>100</v>
      </c>
      <c r="X30" s="1355"/>
      <c r="Y30" s="37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88"/>
      <c r="Q31" s="1352">
        <f t="shared" si="8"/>
        <v>111</v>
      </c>
      <c r="R31" s="705" t="s">
        <v>14</v>
      </c>
      <c r="S31" s="706">
        <f t="shared" si="10"/>
        <v>100</v>
      </c>
      <c r="T31" s="705" t="s">
        <v>14</v>
      </c>
      <c r="U31" s="706">
        <f t="shared" si="11"/>
        <v>100</v>
      </c>
      <c r="V31" s="705" t="s">
        <v>14</v>
      </c>
      <c r="W31" s="706">
        <f t="shared" si="12"/>
        <v>100</v>
      </c>
      <c r="X31" s="1355"/>
      <c r="Y31" s="37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50" t="s">
        <v>1695</v>
      </c>
      <c r="Q32" s="1352">
        <f t="shared" si="8"/>
        <v>111</v>
      </c>
      <c r="R32" s="705" t="s">
        <v>14</v>
      </c>
      <c r="S32" s="706">
        <f t="shared" si="10"/>
        <v>100</v>
      </c>
      <c r="T32" s="705" t="s">
        <v>14</v>
      </c>
      <c r="U32" s="706">
        <f t="shared" si="11"/>
        <v>100</v>
      </c>
      <c r="V32" s="705" t="s">
        <v>14</v>
      </c>
      <c r="W32" s="706">
        <f t="shared" si="12"/>
        <v>100</v>
      </c>
      <c r="X32" s="1355"/>
      <c r="Y32" s="379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92"/>
      <c r="Q33" s="1352">
        <f t="shared" si="8"/>
        <v>111</v>
      </c>
      <c r="R33" s="708" t="s">
        <v>14</v>
      </c>
      <c r="S33" s="709">
        <f t="shared" si="10"/>
        <v>100</v>
      </c>
      <c r="T33" s="708" t="s">
        <v>14</v>
      </c>
      <c r="U33" s="709">
        <f t="shared" si="11"/>
        <v>100</v>
      </c>
      <c r="V33" s="708" t="s">
        <v>14</v>
      </c>
      <c r="W33" s="709">
        <f t="shared" si="12"/>
        <v>100</v>
      </c>
      <c r="X33" s="710"/>
      <c r="Y33" s="379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92"/>
      <c r="Q34" s="1352" t="str">
        <f>B34</f>
        <v>宗地面积</v>
      </c>
      <c r="R34" s="705" t="s">
        <v>14</v>
      </c>
      <c r="S34" s="706" t="e">
        <f t="shared" si="10"/>
        <v>#N/A</v>
      </c>
      <c r="T34" s="705" t="s">
        <v>14</v>
      </c>
      <c r="U34" s="706" t="e">
        <f t="shared" si="11"/>
        <v>#N/A</v>
      </c>
      <c r="V34" s="705" t="s">
        <v>14</v>
      </c>
      <c r="W34" s="706" t="e">
        <f t="shared" si="12"/>
        <v>#N/A</v>
      </c>
      <c r="X34" s="1355"/>
      <c r="Y34" s="379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92"/>
      <c r="Q35" s="1352" t="str">
        <f t="shared" ref="Q35:Q40" si="14">B35</f>
        <v>宗地形状</v>
      </c>
      <c r="R35" s="705" t="s">
        <v>14</v>
      </c>
      <c r="S35" s="706">
        <f t="shared" si="10"/>
        <v>100</v>
      </c>
      <c r="T35" s="705" t="s">
        <v>14</v>
      </c>
      <c r="U35" s="706">
        <f t="shared" si="11"/>
        <v>100</v>
      </c>
      <c r="V35" s="705" t="s">
        <v>14</v>
      </c>
      <c r="W35" s="706">
        <f t="shared" si="12"/>
        <v>100</v>
      </c>
      <c r="X35" s="1355"/>
      <c r="Y35" s="379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92"/>
      <c r="Q36" s="1352" t="str">
        <f t="shared" si="14"/>
        <v>宗地开发程度</v>
      </c>
      <c r="R36" s="701" t="s">
        <v>14</v>
      </c>
      <c r="S36" s="702">
        <f t="shared" si="10"/>
        <v>100</v>
      </c>
      <c r="T36" s="701" t="s">
        <v>14</v>
      </c>
      <c r="U36" s="702">
        <f t="shared" si="11"/>
        <v>100</v>
      </c>
      <c r="V36" s="701" t="s">
        <v>14</v>
      </c>
      <c r="W36" s="702">
        <f t="shared" si="12"/>
        <v>100</v>
      </c>
      <c r="X36" s="703"/>
      <c r="Y36" s="379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92" t="s">
        <v>1695</v>
      </c>
      <c r="Q37" s="1352" t="str">
        <f t="shared" si="14"/>
        <v>工程地质条件</v>
      </c>
      <c r="R37" s="705" t="s">
        <v>14</v>
      </c>
      <c r="S37" s="706">
        <f t="shared" si="10"/>
        <v>100</v>
      </c>
      <c r="T37" s="705" t="s">
        <v>14</v>
      </c>
      <c r="U37" s="706">
        <f t="shared" si="11"/>
        <v>100</v>
      </c>
      <c r="V37" s="705" t="s">
        <v>14</v>
      </c>
      <c r="W37" s="706">
        <f t="shared" si="12"/>
        <v>100</v>
      </c>
      <c r="X37" s="1355"/>
      <c r="Y37" s="379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92"/>
      <c r="Q38" s="1352">
        <f t="shared" si="14"/>
        <v>111</v>
      </c>
      <c r="R38" s="705" t="s">
        <v>14</v>
      </c>
      <c r="S38" s="706">
        <f t="shared" si="10"/>
        <v>100</v>
      </c>
      <c r="T38" s="705" t="s">
        <v>14</v>
      </c>
      <c r="U38" s="706">
        <f t="shared" si="11"/>
        <v>100</v>
      </c>
      <c r="V38" s="705" t="s">
        <v>14</v>
      </c>
      <c r="W38" s="706">
        <f t="shared" si="12"/>
        <v>100</v>
      </c>
      <c r="X38" s="1355"/>
      <c r="Y38" s="37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92"/>
      <c r="Q39" s="1352">
        <f t="shared" si="14"/>
        <v>111</v>
      </c>
      <c r="R39" s="705" t="s">
        <v>14</v>
      </c>
      <c r="S39" s="706">
        <f t="shared" si="10"/>
        <v>100</v>
      </c>
      <c r="T39" s="705" t="s">
        <v>14</v>
      </c>
      <c r="U39" s="706">
        <f t="shared" si="11"/>
        <v>100</v>
      </c>
      <c r="V39" s="705" t="s">
        <v>14</v>
      </c>
      <c r="W39" s="706">
        <f t="shared" si="12"/>
        <v>100</v>
      </c>
      <c r="X39" s="1355"/>
      <c r="Y39" s="379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92"/>
      <c r="Q40" s="1352">
        <f t="shared" si="14"/>
        <v>111</v>
      </c>
      <c r="R40" s="708" t="s">
        <v>14</v>
      </c>
      <c r="S40" s="709">
        <f t="shared" si="10"/>
        <v>100</v>
      </c>
      <c r="T40" s="708" t="s">
        <v>14</v>
      </c>
      <c r="U40" s="709">
        <f t="shared" si="11"/>
        <v>100</v>
      </c>
      <c r="V40" s="708" t="s">
        <v>14</v>
      </c>
      <c r="W40" s="709">
        <f t="shared" si="12"/>
        <v>100</v>
      </c>
      <c r="X40" s="710"/>
      <c r="Y40" s="379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85" t="str">
        <f>A41</f>
        <v>成交单价</v>
      </c>
      <c r="Q41" s="3785"/>
      <c r="R41" s="3816">
        <f>E41</f>
        <v>0</v>
      </c>
      <c r="S41" s="3816"/>
      <c r="T41" s="3816">
        <f>G41</f>
        <v>0</v>
      </c>
      <c r="U41" s="3816"/>
      <c r="V41" s="3816">
        <f>I41</f>
        <v>0</v>
      </c>
      <c r="W41" s="381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85" t="str">
        <f>A42</f>
        <v>比较价值（元/平方米）</v>
      </c>
      <c r="Q42" s="3785"/>
      <c r="R42" s="3852" t="e">
        <f>ROUND(PRODUCT(R41,AA7:AA40),0)</f>
        <v>#DIV/0!</v>
      </c>
      <c r="S42" s="3852"/>
      <c r="T42" s="3852" t="e">
        <f>ROUND(PRODUCT(T41,AB7:AB40),0)</f>
        <v>#DIV/0!</v>
      </c>
      <c r="U42" s="3852"/>
      <c r="V42" s="3852" t="e">
        <f>ROUND(PRODUCT(V41,AC7:AC40),0)</f>
        <v>#DIV/0!</v>
      </c>
      <c r="W42" s="385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82" t="str">
        <f>A43</f>
        <v>估价对象XX用房的比较价值（楼面单价，元/平方米）</v>
      </c>
      <c r="Q43" s="3783"/>
      <c r="R43" s="3853" t="e">
        <f>ROUND(IF(D42="简单平均",AVERAGE(R42:W42),R42*F42+T42*H42+V42*J42),0)</f>
        <v>#DIV/0!</v>
      </c>
      <c r="S43" s="3853"/>
      <c r="T43" s="3853"/>
      <c r="U43" s="3853"/>
      <c r="V43" s="3853"/>
      <c r="W43" s="385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00" t="s">
        <v>1886</v>
      </c>
      <c r="H50" s="385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117.77</v>
      </c>
      <c r="F51" s="639" t="e">
        <f t="shared" ref="F51:F60" si="15">ROUND(B51*E51/10000,0)</f>
        <v>#DIV/0!</v>
      </c>
      <c r="G51" s="3796"/>
      <c r="H51" s="37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2009-9-1</v>
      </c>
      <c r="D63" s="692">
        <f>EDATE(C63,-3)</f>
        <v>39965</v>
      </c>
      <c r="E63" s="692">
        <f>EDATE(D63,-3)</f>
        <v>39873</v>
      </c>
      <c r="F63" s="692">
        <f t="shared" ref="F63:O63" si="18">EDATE(E63,-3)</f>
        <v>39783</v>
      </c>
      <c r="G63" s="692">
        <f t="shared" si="18"/>
        <v>39692</v>
      </c>
      <c r="H63" s="692">
        <f t="shared" si="18"/>
        <v>39600</v>
      </c>
      <c r="I63" s="692">
        <f t="shared" si="18"/>
        <v>39508</v>
      </c>
      <c r="J63" s="692">
        <f t="shared" si="18"/>
        <v>39417</v>
      </c>
      <c r="K63" s="692">
        <f t="shared" si="18"/>
        <v>39326</v>
      </c>
      <c r="L63" s="692">
        <f t="shared" si="18"/>
        <v>39234</v>
      </c>
      <c r="M63" s="692">
        <f t="shared" si="18"/>
        <v>39142</v>
      </c>
      <c r="N63" s="692">
        <f t="shared" si="18"/>
        <v>39052</v>
      </c>
      <c r="O63" s="692">
        <f t="shared" si="18"/>
        <v>38961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2009-3</v>
      </c>
      <c r="D65" s="1182" t="str">
        <f t="shared" ref="D65:O65" si="19">YEAR(D63)&amp;"-"&amp;ROUNDUP(MONTH(D63)/3,0)</f>
        <v>2009-2</v>
      </c>
      <c r="E65" s="1182" t="str">
        <f t="shared" si="19"/>
        <v>2009-1</v>
      </c>
      <c r="F65" s="1182" t="str">
        <f t="shared" si="19"/>
        <v>2008-4</v>
      </c>
      <c r="G65" s="1182" t="str">
        <f t="shared" si="19"/>
        <v>2008-3</v>
      </c>
      <c r="H65" s="1182" t="str">
        <f t="shared" si="19"/>
        <v>2008-2</v>
      </c>
      <c r="I65" s="1182" t="str">
        <f t="shared" si="19"/>
        <v>2008-1</v>
      </c>
      <c r="J65" s="1182" t="str">
        <f t="shared" si="19"/>
        <v>2007-4</v>
      </c>
      <c r="K65" s="1182" t="str">
        <f t="shared" si="19"/>
        <v>2007-3</v>
      </c>
      <c r="L65" s="1182" t="str">
        <f t="shared" si="19"/>
        <v>2007-2</v>
      </c>
      <c r="M65" s="1182" t="str">
        <f t="shared" si="19"/>
        <v>2007-1</v>
      </c>
      <c r="N65" s="1182" t="str">
        <f t="shared" si="19"/>
        <v>2006-4</v>
      </c>
      <c r="O65" s="1182" t="str">
        <f t="shared" si="19"/>
        <v>2006-3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62" t="s">
        <v>2083</v>
      </c>
      <c r="D1" s="3863"/>
      <c r="E1" s="3863"/>
      <c r="F1" s="3863"/>
      <c r="G1" s="3863"/>
      <c r="H1" s="3863"/>
      <c r="I1" s="3863"/>
      <c r="J1" s="3863"/>
      <c r="K1" s="3863"/>
      <c r="L1" s="3863"/>
      <c r="M1" s="3863"/>
      <c r="N1" s="3863"/>
      <c r="O1" s="3863"/>
      <c r="P1" s="3863"/>
      <c r="Q1" s="3863"/>
      <c r="R1" s="3863"/>
      <c r="S1" s="38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59" t="s">
        <v>27</v>
      </c>
      <c r="D22" s="3860"/>
      <c r="E22" s="3860"/>
      <c r="F22" s="3860"/>
      <c r="G22" s="3860"/>
      <c r="H22" s="3860"/>
      <c r="I22" s="3860"/>
      <c r="J22" s="3860"/>
      <c r="K22" s="3860"/>
      <c r="L22" s="3860"/>
      <c r="M22" s="3860"/>
      <c r="N22" s="3860"/>
      <c r="O22" s="3860"/>
      <c r="P22" s="3860"/>
      <c r="Q22" s="38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72"/>
      <c r="B4" s="3873"/>
      <c r="C4" s="3873"/>
      <c r="D4" s="3874"/>
      <c r="E4" s="3874"/>
      <c r="F4" s="3874"/>
      <c r="G4" s="3874"/>
      <c r="H4" s="3874"/>
      <c r="I4" s="3874"/>
      <c r="J4" s="387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69" t="s">
        <v>1959</v>
      </c>
      <c r="X8" s="387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7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76" t="s">
        <v>3254</v>
      </c>
      <c r="B20" s="167" t="s">
        <v>1993</v>
      </c>
      <c r="C20" s="3325" t="e">
        <f>ROUND(IF(F21="与级别开发程度一致",0,(G21-E21)/C21),0)</f>
        <v>#DIV/0!</v>
      </c>
      <c r="D20" s="3341" t="s">
        <v>1997</v>
      </c>
      <c r="E20" s="3342"/>
      <c r="F20" s="3882" t="s">
        <v>1994</v>
      </c>
      <c r="G20" s="38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77"/>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40078</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5.3099999999999994E-2</v>
      </c>
      <c r="M36" s="3358">
        <f ca="1">ROUND($L$36*(1+M31),3)</f>
        <v>6.6000000000000003E-2</v>
      </c>
      <c r="N36" s="3358">
        <f ca="1">ROUND($L$36*(1+N31),3)</f>
        <v>6.4000000000000001E-2</v>
      </c>
      <c r="O36" s="3358">
        <f ca="1">ROUND($L$36*(1+O31),3)</f>
        <v>6.0999999999999999E-2</v>
      </c>
      <c r="P36" s="3358">
        <f ca="1">ROUND($L$36*(1+P31),3)</f>
        <v>5.8000000000000003E-2</v>
      </c>
      <c r="Q36" s="3358">
        <f ca="1">ROUND($L$36*(1+Q31),3)</f>
        <v>6.0999999999999999E-2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80"/>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5.8099999999999992E-2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81"/>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8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78" t="s">
        <v>3294</v>
      </c>
      <c r="B103" s="3878"/>
      <c r="C103" s="3878"/>
      <c r="D103" s="3878"/>
      <c r="E103" s="3878"/>
      <c r="F103" s="3878"/>
      <c r="G103" s="3878"/>
      <c r="H103" s="3878"/>
      <c r="I103" s="3878"/>
      <c r="J103" s="3878"/>
      <c r="K103" s="3390"/>
      <c r="L103" s="3390"/>
      <c r="M103" s="3390"/>
      <c r="N103" s="3390"/>
    </row>
    <row r="104" spans="1:14">
      <c r="A104" s="3879" t="s">
        <v>3295</v>
      </c>
      <c r="B104" s="3879" t="s">
        <v>3296</v>
      </c>
      <c r="C104" s="3391" t="s">
        <v>3297</v>
      </c>
      <c r="D104" s="3392"/>
      <c r="E104" s="3392"/>
      <c r="F104" s="3392"/>
      <c r="G104" s="3392"/>
      <c r="H104" s="3392"/>
      <c r="I104" s="3392"/>
      <c r="J104" s="3393"/>
      <c r="K104" s="3394"/>
      <c r="L104" s="3394"/>
      <c r="M104" s="3394"/>
      <c r="N104" s="3394"/>
    </row>
    <row r="105" spans="1:14">
      <c r="A105" s="3879"/>
      <c r="B105" s="387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86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6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6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8" t="s">
        <v>3311</v>
      </c>
      <c r="B113" s="3868"/>
      <c r="C113" s="3868"/>
      <c r="D113" s="3868"/>
      <c r="E113" s="3868"/>
      <c r="F113" s="3868"/>
      <c r="G113" s="3868"/>
      <c r="H113" s="3868"/>
      <c r="I113" s="3868"/>
      <c r="J113" s="38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93" t="s">
        <v>2607</v>
      </c>
      <c r="B20" s="3888" t="s">
        <v>2628</v>
      </c>
      <c r="C20" s="3103" t="s">
        <v>2439</v>
      </c>
      <c r="D20" s="3104"/>
      <c r="E20" s="3105">
        <v>1</v>
      </c>
      <c r="F20" s="3106" t="s">
        <v>2440</v>
      </c>
      <c r="G20" s="3106"/>
    </row>
    <row r="21" spans="1:13" ht="19.5" customHeight="1">
      <c r="A21" s="3894"/>
      <c r="B21" s="3887"/>
      <c r="C21" s="3107" t="s">
        <v>2441</v>
      </c>
      <c r="D21" s="3108"/>
      <c r="E21" s="3109">
        <v>1</v>
      </c>
      <c r="F21" s="3106" t="s">
        <v>2442</v>
      </c>
      <c r="G21" s="3106"/>
    </row>
    <row r="22" spans="1:13" ht="19.5" customHeight="1">
      <c r="A22" s="3894"/>
      <c r="B22" s="3887"/>
      <c r="C22" s="3107" t="s">
        <v>2443</v>
      </c>
      <c r="D22" s="3108"/>
      <c r="E22" s="3109">
        <v>0.9</v>
      </c>
      <c r="F22" s="3106" t="s">
        <v>2444</v>
      </c>
      <c r="G22" s="3106"/>
    </row>
    <row r="23" spans="1:13" ht="19.5" customHeight="1">
      <c r="A23" s="3894"/>
      <c r="B23" s="3887"/>
      <c r="C23" s="3107" t="s">
        <v>2445</v>
      </c>
      <c r="D23" s="3108"/>
      <c r="E23" s="3109">
        <v>0.9</v>
      </c>
      <c r="F23" s="3106" t="s">
        <v>2446</v>
      </c>
      <c r="G23" s="3106"/>
    </row>
    <row r="24" spans="1:13" ht="19.5" customHeight="1">
      <c r="A24" s="3894"/>
      <c r="B24" s="3887"/>
      <c r="C24" s="3107" t="s">
        <v>2447</v>
      </c>
      <c r="D24" s="3108"/>
      <c r="E24" s="3109">
        <v>0.8</v>
      </c>
      <c r="F24" s="3106" t="s">
        <v>2448</v>
      </c>
      <c r="G24" s="3106"/>
    </row>
    <row r="25" spans="1:13" ht="19.5" customHeight="1" thickBot="1">
      <c r="A25" s="3895"/>
      <c r="B25" s="388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90" t="s">
        <v>2631</v>
      </c>
      <c r="B27" s="3888" t="s">
        <v>2612</v>
      </c>
      <c r="C27" s="3103" t="s">
        <v>2452</v>
      </c>
      <c r="D27" s="3104"/>
      <c r="E27" s="3105">
        <v>1</v>
      </c>
      <c r="F27" s="3106" t="s">
        <v>2453</v>
      </c>
      <c r="G27" s="3106"/>
    </row>
    <row r="28" spans="1:13" ht="19.5" customHeight="1">
      <c r="A28" s="3891"/>
      <c r="B28" s="3887"/>
      <c r="C28" s="3107" t="s">
        <v>2454</v>
      </c>
      <c r="D28" s="3108"/>
      <c r="E28" s="3109">
        <v>1</v>
      </c>
      <c r="F28" s="3106" t="s">
        <v>2455</v>
      </c>
      <c r="G28" s="3106"/>
    </row>
    <row r="29" spans="1:13" ht="19.5" customHeight="1">
      <c r="A29" s="3891"/>
      <c r="B29" s="3887"/>
      <c r="C29" s="3107" t="s">
        <v>2456</v>
      </c>
      <c r="D29" s="3108"/>
      <c r="E29" s="3109">
        <v>0.8</v>
      </c>
      <c r="F29" s="3106" t="s">
        <v>2457</v>
      </c>
      <c r="G29" s="3106"/>
    </row>
    <row r="30" spans="1:13" ht="19.5" customHeight="1">
      <c r="A30" s="3891"/>
      <c r="B30" s="3887"/>
      <c r="C30" s="3107" t="s">
        <v>2458</v>
      </c>
      <c r="D30" s="3108"/>
      <c r="E30" s="3109">
        <v>0.8</v>
      </c>
      <c r="F30" s="3106" t="s">
        <v>2459</v>
      </c>
      <c r="G30" s="3106"/>
    </row>
    <row r="31" spans="1:13" ht="19.5" customHeight="1">
      <c r="A31" s="3891"/>
      <c r="B31" s="3887"/>
      <c r="C31" s="3107" t="s">
        <v>2460</v>
      </c>
      <c r="D31" s="3108"/>
      <c r="E31" s="3109">
        <v>0.8</v>
      </c>
      <c r="F31" s="3106" t="s">
        <v>2461</v>
      </c>
      <c r="G31" s="3106"/>
    </row>
    <row r="32" spans="1:13" ht="19.5" customHeight="1">
      <c r="A32" s="3891"/>
      <c r="B32" s="3887"/>
      <c r="C32" s="3107" t="s">
        <v>2462</v>
      </c>
      <c r="D32" s="3108"/>
      <c r="E32" s="3109">
        <v>0.7</v>
      </c>
      <c r="F32" s="3106" t="s">
        <v>2463</v>
      </c>
      <c r="G32" s="3106"/>
    </row>
    <row r="33" spans="1:7" ht="19.5" customHeight="1">
      <c r="A33" s="3891"/>
      <c r="B33" s="3887"/>
      <c r="C33" s="3107" t="s">
        <v>2464</v>
      </c>
      <c r="D33" s="3108"/>
      <c r="E33" s="3109">
        <v>0.8</v>
      </c>
      <c r="F33" s="3106" t="s">
        <v>2465</v>
      </c>
      <c r="G33" s="3106"/>
    </row>
    <row r="34" spans="1:7" ht="19.5" customHeight="1">
      <c r="A34" s="3891"/>
      <c r="B34" s="3887"/>
      <c r="C34" s="3107" t="s">
        <v>2466</v>
      </c>
      <c r="D34" s="3108"/>
      <c r="E34" s="3109">
        <v>0.6</v>
      </c>
      <c r="F34" s="3106" t="s">
        <v>2467</v>
      </c>
      <c r="G34" s="3106"/>
    </row>
    <row r="35" spans="1:7" ht="19.5" customHeight="1">
      <c r="A35" s="3891"/>
      <c r="B35" s="3887"/>
      <c r="C35" s="3107" t="s">
        <v>2468</v>
      </c>
      <c r="D35" s="3108"/>
      <c r="E35" s="3109">
        <v>0.2</v>
      </c>
      <c r="F35" s="3106" t="s">
        <v>2469</v>
      </c>
      <c r="G35" s="3106"/>
    </row>
    <row r="36" spans="1:7" ht="19.5" customHeight="1">
      <c r="A36" s="3891"/>
      <c r="B36" s="3887"/>
      <c r="C36" s="3107" t="s">
        <v>2470</v>
      </c>
      <c r="D36" s="3108"/>
      <c r="E36" s="3109">
        <v>0.2</v>
      </c>
      <c r="F36" s="3106" t="s">
        <v>2471</v>
      </c>
      <c r="G36" s="3106"/>
    </row>
    <row r="37" spans="1:7" ht="19.5" customHeight="1">
      <c r="A37" s="3891"/>
      <c r="B37" s="3885" t="s">
        <v>2632</v>
      </c>
      <c r="C37" s="3107" t="s">
        <v>2472</v>
      </c>
      <c r="D37" s="3108"/>
      <c r="E37" s="3109">
        <v>0.6</v>
      </c>
      <c r="F37" s="3106" t="s">
        <v>2473</v>
      </c>
      <c r="G37" s="3106"/>
    </row>
    <row r="38" spans="1:7" ht="19.5" customHeight="1">
      <c r="A38" s="3891"/>
      <c r="B38" s="3887"/>
      <c r="C38" s="3107" t="s">
        <v>2474</v>
      </c>
      <c r="D38" s="3108"/>
      <c r="E38" s="3109">
        <v>0.6</v>
      </c>
      <c r="F38" s="3106" t="s">
        <v>2475</v>
      </c>
      <c r="G38" s="3106"/>
    </row>
    <row r="39" spans="1:7" ht="19.5" customHeight="1" thickBot="1">
      <c r="A39" s="3892"/>
      <c r="B39" s="388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93" t="s">
        <v>2610</v>
      </c>
      <c r="B41" s="3888" t="s">
        <v>2634</v>
      </c>
      <c r="C41" s="3103" t="s">
        <v>2479</v>
      </c>
      <c r="D41" s="3104"/>
      <c r="E41" s="3105">
        <v>1</v>
      </c>
      <c r="F41" s="3106" t="s">
        <v>2480</v>
      </c>
      <c r="G41" s="3106"/>
    </row>
    <row r="42" spans="1:7" ht="19.5" customHeight="1">
      <c r="A42" s="3894"/>
      <c r="B42" s="3887"/>
      <c r="C42" s="3107" t="s">
        <v>2481</v>
      </c>
      <c r="D42" s="3108"/>
      <c r="E42" s="3109">
        <v>1</v>
      </c>
      <c r="F42" s="3106" t="s">
        <v>2482</v>
      </c>
      <c r="G42" s="3106"/>
    </row>
    <row r="43" spans="1:7" ht="19.5" customHeight="1">
      <c r="A43" s="3894"/>
      <c r="B43" s="3886"/>
      <c r="C43" s="3107" t="s">
        <v>2483</v>
      </c>
      <c r="D43" s="3108"/>
      <c r="E43" s="3109">
        <v>1.5</v>
      </c>
      <c r="F43" s="3106" t="s">
        <v>2484</v>
      </c>
      <c r="G43" s="3106"/>
    </row>
    <row r="44" spans="1:7" ht="19.5" customHeight="1">
      <c r="A44" s="3894"/>
      <c r="B44" s="3118" t="s">
        <v>2635</v>
      </c>
      <c r="C44" s="3107" t="s">
        <v>2636</v>
      </c>
      <c r="D44" s="3108"/>
      <c r="E44" s="3109">
        <v>2</v>
      </c>
      <c r="F44" s="3106" t="s">
        <v>2485</v>
      </c>
      <c r="G44" s="3106"/>
    </row>
    <row r="45" spans="1:7" ht="19.5" customHeight="1">
      <c r="A45" s="3894"/>
      <c r="B45" s="3885" t="s">
        <v>2637</v>
      </c>
      <c r="C45" s="3107" t="s">
        <v>2486</v>
      </c>
      <c r="D45" s="3108"/>
      <c r="E45" s="3109">
        <v>1</v>
      </c>
      <c r="F45" s="3106" t="s">
        <v>2487</v>
      </c>
      <c r="G45" s="3106"/>
    </row>
    <row r="46" spans="1:7" ht="19.5" customHeight="1">
      <c r="A46" s="3894"/>
      <c r="B46" s="3887"/>
      <c r="C46" s="3107" t="s">
        <v>2488</v>
      </c>
      <c r="D46" s="3108"/>
      <c r="E46" s="3109">
        <v>1</v>
      </c>
      <c r="F46" s="3106" t="s">
        <v>2489</v>
      </c>
      <c r="G46" s="3106"/>
    </row>
    <row r="47" spans="1:7" ht="19.5" customHeight="1">
      <c r="A47" s="3894"/>
      <c r="B47" s="3887"/>
      <c r="C47" s="3107" t="s">
        <v>2490</v>
      </c>
      <c r="D47" s="3108"/>
      <c r="E47" s="3109">
        <v>1</v>
      </c>
      <c r="F47" s="3106" t="s">
        <v>2491</v>
      </c>
      <c r="G47" s="3106"/>
    </row>
    <row r="48" spans="1:7" ht="19.5" customHeight="1">
      <c r="A48" s="3894"/>
      <c r="B48" s="3887"/>
      <c r="C48" s="3107" t="s">
        <v>2492</v>
      </c>
      <c r="D48" s="3108"/>
      <c r="E48" s="3109">
        <v>1</v>
      </c>
      <c r="F48" s="3106" t="s">
        <v>2493</v>
      </c>
      <c r="G48" s="3106"/>
    </row>
    <row r="49" spans="1:7" ht="19.5" customHeight="1">
      <c r="A49" s="3894"/>
      <c r="B49" s="3887"/>
      <c r="C49" s="3107" t="s">
        <v>2494</v>
      </c>
      <c r="D49" s="3108"/>
      <c r="E49" s="3109">
        <v>1</v>
      </c>
      <c r="F49" s="3106" t="s">
        <v>2495</v>
      </c>
      <c r="G49" s="3106"/>
    </row>
    <row r="50" spans="1:7" ht="19.5" customHeight="1">
      <c r="A50" s="3894"/>
      <c r="B50" s="3887"/>
      <c r="C50" s="3107" t="s">
        <v>2496</v>
      </c>
      <c r="D50" s="3108"/>
      <c r="E50" s="3109">
        <v>1</v>
      </c>
      <c r="F50" s="3106" t="s">
        <v>2497</v>
      </c>
      <c r="G50" s="3106"/>
    </row>
    <row r="51" spans="1:7" ht="19.5" customHeight="1" thickBot="1">
      <c r="A51" s="3895"/>
      <c r="B51" s="388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85" t="s">
        <v>2651</v>
      </c>
      <c r="C73" s="3092" t="s">
        <v>2652</v>
      </c>
      <c r="D73" s="3092" t="s">
        <v>2653</v>
      </c>
      <c r="E73" s="3118">
        <v>0.2</v>
      </c>
      <c r="F73" s="3118">
        <v>25</v>
      </c>
    </row>
    <row r="74" spans="1:7" ht="24">
      <c r="A74" s="3118">
        <v>2</v>
      </c>
      <c r="B74" s="3887"/>
      <c r="C74" s="3092" t="s">
        <v>2654</v>
      </c>
      <c r="D74" s="3092" t="s">
        <v>2655</v>
      </c>
      <c r="E74" s="3118">
        <v>0.2</v>
      </c>
      <c r="F74" s="3118">
        <v>25</v>
      </c>
    </row>
    <row r="75" spans="1:7" ht="24">
      <c r="A75" s="3118">
        <v>3</v>
      </c>
      <c r="B75" s="3887"/>
      <c r="C75" s="3092" t="s">
        <v>2656</v>
      </c>
      <c r="D75" s="3092" t="s">
        <v>2657</v>
      </c>
      <c r="E75" s="3118">
        <v>0.2</v>
      </c>
      <c r="F75" s="3118">
        <v>25</v>
      </c>
    </row>
    <row r="76" spans="1:7" ht="14.4">
      <c r="A76" s="3118">
        <v>4</v>
      </c>
      <c r="B76" s="3887"/>
      <c r="C76" s="3092" t="s">
        <v>2658</v>
      </c>
      <c r="D76" s="3092" t="s">
        <v>2659</v>
      </c>
      <c r="E76" s="3118">
        <v>0.15</v>
      </c>
      <c r="F76" s="3118">
        <v>20</v>
      </c>
    </row>
    <row r="77" spans="1:7" ht="24">
      <c r="A77" s="3118">
        <v>5</v>
      </c>
      <c r="B77" s="3887"/>
      <c r="C77" s="3092" t="s">
        <v>2660</v>
      </c>
      <c r="D77" s="3092" t="s">
        <v>2661</v>
      </c>
      <c r="E77" s="3118">
        <v>0.15</v>
      </c>
      <c r="F77" s="3118">
        <v>20</v>
      </c>
    </row>
    <row r="78" spans="1:7" ht="24">
      <c r="A78" s="3118">
        <v>6</v>
      </c>
      <c r="B78" s="3887"/>
      <c r="C78" s="3092" t="s">
        <v>2662</v>
      </c>
      <c r="D78" s="3092" t="s">
        <v>2663</v>
      </c>
      <c r="E78" s="3118">
        <v>0.15</v>
      </c>
      <c r="F78" s="3118">
        <v>20</v>
      </c>
    </row>
    <row r="79" spans="1:7" ht="24">
      <c r="A79" s="3118">
        <v>7</v>
      </c>
      <c r="B79" s="3887"/>
      <c r="C79" s="3092" t="s">
        <v>2664</v>
      </c>
      <c r="D79" s="3092" t="s">
        <v>2665</v>
      </c>
      <c r="E79" s="3118">
        <v>0.15</v>
      </c>
      <c r="F79" s="3118">
        <v>20</v>
      </c>
    </row>
    <row r="80" spans="1:7" ht="24">
      <c r="A80" s="3118">
        <v>8</v>
      </c>
      <c r="B80" s="3887"/>
      <c r="C80" s="3092" t="s">
        <v>2666</v>
      </c>
      <c r="D80" s="3092" t="s">
        <v>2667</v>
      </c>
      <c r="E80" s="3118">
        <v>0.1</v>
      </c>
      <c r="F80" s="3118">
        <v>15</v>
      </c>
    </row>
    <row r="81" spans="1:6" ht="24">
      <c r="A81" s="3118">
        <v>9</v>
      </c>
      <c r="B81" s="3887"/>
      <c r="C81" s="3092" t="s">
        <v>2668</v>
      </c>
      <c r="D81" s="3092" t="s">
        <v>2669</v>
      </c>
      <c r="E81" s="3118">
        <v>0.1</v>
      </c>
      <c r="F81" s="3118">
        <v>15</v>
      </c>
    </row>
    <row r="82" spans="1:6" ht="24">
      <c r="A82" s="3118">
        <v>10</v>
      </c>
      <c r="B82" s="3887"/>
      <c r="C82" s="3092" t="s">
        <v>2670</v>
      </c>
      <c r="D82" s="3092" t="s">
        <v>2671</v>
      </c>
      <c r="E82" s="3118">
        <v>0.1</v>
      </c>
      <c r="F82" s="3118">
        <v>15</v>
      </c>
    </row>
    <row r="83" spans="1:6" ht="24">
      <c r="A83" s="3118">
        <v>11</v>
      </c>
      <c r="B83" s="3887"/>
      <c r="C83" s="3092" t="s">
        <v>2672</v>
      </c>
      <c r="D83" s="3092" t="s">
        <v>2673</v>
      </c>
      <c r="E83" s="3118">
        <v>0.1</v>
      </c>
      <c r="F83" s="3118">
        <v>15</v>
      </c>
    </row>
    <row r="84" spans="1:6" ht="24">
      <c r="A84" s="3118">
        <v>12</v>
      </c>
      <c r="B84" s="3887"/>
      <c r="C84" s="3092" t="s">
        <v>2674</v>
      </c>
      <c r="D84" s="3092" t="s">
        <v>2675</v>
      </c>
      <c r="E84" s="3118">
        <v>0.1</v>
      </c>
      <c r="F84" s="3118">
        <v>15</v>
      </c>
    </row>
    <row r="85" spans="1:6" ht="24">
      <c r="A85" s="3118">
        <v>13</v>
      </c>
      <c r="B85" s="3887"/>
      <c r="C85" s="3092" t="s">
        <v>2676</v>
      </c>
      <c r="D85" s="3092" t="s">
        <v>2677</v>
      </c>
      <c r="E85" s="3118">
        <v>0.1</v>
      </c>
      <c r="F85" s="3118">
        <v>15</v>
      </c>
    </row>
    <row r="86" spans="1:6" ht="24">
      <c r="A86" s="3118">
        <v>14</v>
      </c>
      <c r="B86" s="3887"/>
      <c r="C86" s="3092" t="s">
        <v>2678</v>
      </c>
      <c r="D86" s="3092" t="s">
        <v>2679</v>
      </c>
      <c r="E86" s="3118">
        <v>0.1</v>
      </c>
      <c r="F86" s="3118">
        <v>15</v>
      </c>
    </row>
    <row r="87" spans="1:6" ht="24">
      <c r="A87" s="3118">
        <v>15</v>
      </c>
      <c r="B87" s="3887"/>
      <c r="C87" s="3092" t="s">
        <v>2680</v>
      </c>
      <c r="D87" s="3092" t="s">
        <v>2681</v>
      </c>
      <c r="E87" s="3118">
        <v>0.1</v>
      </c>
      <c r="F87" s="3118">
        <v>15</v>
      </c>
    </row>
    <row r="88" spans="1:6" ht="24">
      <c r="A88" s="3118">
        <v>16</v>
      </c>
      <c r="B88" s="3887"/>
      <c r="C88" s="3092" t="s">
        <v>2682</v>
      </c>
      <c r="D88" s="3092" t="s">
        <v>2683</v>
      </c>
      <c r="E88" s="3118">
        <v>0.1</v>
      </c>
      <c r="F88" s="3118">
        <v>15</v>
      </c>
    </row>
    <row r="89" spans="1:6" ht="24">
      <c r="A89" s="3118">
        <v>17</v>
      </c>
      <c r="B89" s="3886"/>
      <c r="C89" s="3092" t="s">
        <v>2684</v>
      </c>
      <c r="D89" s="3092" t="s">
        <v>2685</v>
      </c>
      <c r="E89" s="3118">
        <v>0.1</v>
      </c>
      <c r="F89" s="3118">
        <v>15</v>
      </c>
    </row>
    <row r="90" spans="1:6" ht="14.4">
      <c r="A90" s="3118">
        <v>18</v>
      </c>
      <c r="B90" s="3885" t="s">
        <v>2686</v>
      </c>
      <c r="C90" s="3092" t="s">
        <v>2687</v>
      </c>
      <c r="D90" s="3092" t="s">
        <v>2688</v>
      </c>
      <c r="E90" s="3118">
        <v>0.2</v>
      </c>
      <c r="F90" s="3118">
        <v>25</v>
      </c>
    </row>
    <row r="91" spans="1:6" ht="24">
      <c r="A91" s="3118">
        <v>19</v>
      </c>
      <c r="B91" s="3887"/>
      <c r="C91" s="3092" t="s">
        <v>2689</v>
      </c>
      <c r="D91" s="3092" t="s">
        <v>2690</v>
      </c>
      <c r="E91" s="3118">
        <v>0.2</v>
      </c>
      <c r="F91" s="3118">
        <v>25</v>
      </c>
    </row>
    <row r="92" spans="1:6" ht="14.4">
      <c r="A92" s="3118">
        <v>20</v>
      </c>
      <c r="B92" s="3887"/>
      <c r="C92" s="3092" t="s">
        <v>2691</v>
      </c>
      <c r="D92" s="3092" t="s">
        <v>2692</v>
      </c>
      <c r="E92" s="3118">
        <v>0.15</v>
      </c>
      <c r="F92" s="3118">
        <v>20</v>
      </c>
    </row>
    <row r="93" spans="1:6" ht="24">
      <c r="A93" s="3118">
        <v>21</v>
      </c>
      <c r="B93" s="3887"/>
      <c r="C93" s="3092" t="s">
        <v>2693</v>
      </c>
      <c r="D93" s="3092" t="s">
        <v>2694</v>
      </c>
      <c r="E93" s="3118">
        <v>0.15</v>
      </c>
      <c r="F93" s="3118">
        <v>20</v>
      </c>
    </row>
    <row r="94" spans="1:6" ht="24">
      <c r="A94" s="3118">
        <v>22</v>
      </c>
      <c r="B94" s="3887"/>
      <c r="C94" s="3092" t="s">
        <v>2695</v>
      </c>
      <c r="D94" s="3092" t="s">
        <v>2696</v>
      </c>
      <c r="E94" s="3118">
        <v>0.15</v>
      </c>
      <c r="F94" s="3118">
        <v>20</v>
      </c>
    </row>
    <row r="95" spans="1:6" ht="36">
      <c r="A95" s="3118">
        <v>23</v>
      </c>
      <c r="B95" s="3887"/>
      <c r="C95" s="3092" t="s">
        <v>2697</v>
      </c>
      <c r="D95" s="3092" t="s">
        <v>2698</v>
      </c>
      <c r="E95" s="3118">
        <v>0.15</v>
      </c>
      <c r="F95" s="3118">
        <v>20</v>
      </c>
    </row>
    <row r="96" spans="1:6" ht="24">
      <c r="A96" s="3118">
        <v>24</v>
      </c>
      <c r="B96" s="3887"/>
      <c r="C96" s="3092" t="s">
        <v>2699</v>
      </c>
      <c r="D96" s="3092" t="s">
        <v>2700</v>
      </c>
      <c r="E96" s="3118">
        <v>0.1</v>
      </c>
      <c r="F96" s="3118">
        <v>15</v>
      </c>
    </row>
    <row r="97" spans="1:6" ht="24">
      <c r="A97" s="3118">
        <v>25</v>
      </c>
      <c r="B97" s="3887"/>
      <c r="C97" s="3092" t="s">
        <v>2701</v>
      </c>
      <c r="D97" s="3092" t="s">
        <v>2702</v>
      </c>
      <c r="E97" s="3118">
        <v>0.1</v>
      </c>
      <c r="F97" s="3118">
        <v>15</v>
      </c>
    </row>
    <row r="98" spans="1:6" ht="24">
      <c r="A98" s="3118">
        <v>26</v>
      </c>
      <c r="B98" s="3887"/>
      <c r="C98" s="3092" t="s">
        <v>2703</v>
      </c>
      <c r="D98" s="3092" t="s">
        <v>2704</v>
      </c>
      <c r="E98" s="3118">
        <v>0.1</v>
      </c>
      <c r="F98" s="3118">
        <v>15</v>
      </c>
    </row>
    <row r="99" spans="1:6" ht="24">
      <c r="A99" s="3118">
        <v>27</v>
      </c>
      <c r="B99" s="3887"/>
      <c r="C99" s="3092" t="s">
        <v>2705</v>
      </c>
      <c r="D99" s="3092" t="s">
        <v>2706</v>
      </c>
      <c r="E99" s="3118">
        <v>0.1</v>
      </c>
      <c r="F99" s="3118">
        <v>15</v>
      </c>
    </row>
    <row r="100" spans="1:6" ht="24">
      <c r="A100" s="3118">
        <v>28</v>
      </c>
      <c r="B100" s="3887"/>
      <c r="C100" s="3092" t="s">
        <v>2707</v>
      </c>
      <c r="D100" s="3092" t="s">
        <v>2708</v>
      </c>
      <c r="E100" s="3118">
        <v>0.1</v>
      </c>
      <c r="F100" s="3118">
        <v>15</v>
      </c>
    </row>
    <row r="101" spans="1:6" ht="24">
      <c r="A101" s="3118">
        <v>29</v>
      </c>
      <c r="B101" s="3887"/>
      <c r="C101" s="3092" t="s">
        <v>2709</v>
      </c>
      <c r="D101" s="3092" t="s">
        <v>2710</v>
      </c>
      <c r="E101" s="3118">
        <v>0.1</v>
      </c>
      <c r="F101" s="3118">
        <v>15</v>
      </c>
    </row>
    <row r="102" spans="1:6" ht="24">
      <c r="A102" s="3118">
        <v>30</v>
      </c>
      <c r="B102" s="3887"/>
      <c r="C102" s="3092" t="s">
        <v>2711</v>
      </c>
      <c r="D102" s="3092" t="s">
        <v>2712</v>
      </c>
      <c r="E102" s="3118">
        <v>0.1</v>
      </c>
      <c r="F102" s="3118">
        <v>15</v>
      </c>
    </row>
    <row r="103" spans="1:6" ht="24">
      <c r="A103" s="3118">
        <v>31</v>
      </c>
      <c r="B103" s="3887"/>
      <c r="C103" s="3092" t="s">
        <v>2713</v>
      </c>
      <c r="D103" s="3092" t="s">
        <v>2714</v>
      </c>
      <c r="E103" s="3118">
        <v>0.1</v>
      </c>
      <c r="F103" s="3118">
        <v>15</v>
      </c>
    </row>
    <row r="104" spans="1:6" ht="24">
      <c r="A104" s="3118">
        <v>32</v>
      </c>
      <c r="B104" s="3887"/>
      <c r="C104" s="3092" t="s">
        <v>2715</v>
      </c>
      <c r="D104" s="3092" t="s">
        <v>2716</v>
      </c>
      <c r="E104" s="3118">
        <v>0.1</v>
      </c>
      <c r="F104" s="3118">
        <v>15</v>
      </c>
    </row>
    <row r="105" spans="1:6" ht="24">
      <c r="A105" s="3118">
        <v>33</v>
      </c>
      <c r="B105" s="3887"/>
      <c r="C105" s="3092" t="s">
        <v>2717</v>
      </c>
      <c r="D105" s="3092" t="s">
        <v>2718</v>
      </c>
      <c r="E105" s="3118">
        <v>0.1</v>
      </c>
      <c r="F105" s="3118">
        <v>15</v>
      </c>
    </row>
    <row r="106" spans="1:6" ht="24">
      <c r="A106" s="3118">
        <v>34</v>
      </c>
      <c r="B106" s="3886"/>
      <c r="C106" s="3092" t="s">
        <v>2719</v>
      </c>
      <c r="D106" s="3092" t="s">
        <v>2720</v>
      </c>
      <c r="E106" s="3118">
        <v>0.1</v>
      </c>
      <c r="F106" s="3118">
        <v>15</v>
      </c>
    </row>
    <row r="107" spans="1:6" ht="36">
      <c r="A107" s="3118">
        <v>35</v>
      </c>
      <c r="B107" s="3885" t="s">
        <v>2721</v>
      </c>
      <c r="C107" s="3118" t="s">
        <v>2722</v>
      </c>
      <c r="D107" s="3092" t="s">
        <v>2723</v>
      </c>
      <c r="E107" s="3118">
        <v>0.15</v>
      </c>
      <c r="F107" s="3118">
        <v>20</v>
      </c>
    </row>
    <row r="108" spans="1:6" ht="24">
      <c r="A108" s="3118">
        <v>36</v>
      </c>
      <c r="B108" s="3887"/>
      <c r="C108" s="3118" t="s">
        <v>2724</v>
      </c>
      <c r="D108" s="3092" t="s">
        <v>2725</v>
      </c>
      <c r="E108" s="3118">
        <v>0.15</v>
      </c>
      <c r="F108" s="3118">
        <v>20</v>
      </c>
    </row>
    <row r="109" spans="1:6" ht="24">
      <c r="A109" s="3118">
        <v>37</v>
      </c>
      <c r="B109" s="3887"/>
      <c r="C109" s="3118" t="s">
        <v>2726</v>
      </c>
      <c r="D109" s="3092" t="s">
        <v>2727</v>
      </c>
      <c r="E109" s="3118">
        <v>0.15</v>
      </c>
      <c r="F109" s="3118">
        <v>20</v>
      </c>
    </row>
    <row r="110" spans="1:6" ht="24">
      <c r="A110" s="3118">
        <v>38</v>
      </c>
      <c r="B110" s="3887"/>
      <c r="C110" s="3118" t="s">
        <v>2728</v>
      </c>
      <c r="D110" s="3092" t="s">
        <v>2729</v>
      </c>
      <c r="E110" s="3118">
        <v>0.1</v>
      </c>
      <c r="F110" s="3118">
        <v>15</v>
      </c>
    </row>
    <row r="111" spans="1:6" ht="24">
      <c r="A111" s="3118">
        <v>39</v>
      </c>
      <c r="B111" s="3887"/>
      <c r="C111" s="3118" t="s">
        <v>2730</v>
      </c>
      <c r="D111" s="3092" t="s">
        <v>2731</v>
      </c>
      <c r="E111" s="3118">
        <v>0.1</v>
      </c>
      <c r="F111" s="3118">
        <v>15</v>
      </c>
    </row>
    <row r="112" spans="1:6" ht="24">
      <c r="A112" s="3118">
        <v>40</v>
      </c>
      <c r="B112" s="3886"/>
      <c r="C112" s="3118" t="s">
        <v>2732</v>
      </c>
      <c r="D112" s="3092" t="s">
        <v>2733</v>
      </c>
      <c r="E112" s="3118">
        <v>0.1</v>
      </c>
      <c r="F112" s="3118">
        <v>15</v>
      </c>
    </row>
    <row r="113" spans="1:6" ht="24">
      <c r="A113" s="3118">
        <v>41</v>
      </c>
      <c r="B113" s="3884" t="s">
        <v>2734</v>
      </c>
      <c r="C113" s="3118" t="s">
        <v>2735</v>
      </c>
      <c r="D113" s="3092" t="s">
        <v>2736</v>
      </c>
      <c r="E113" s="3118">
        <v>0.1</v>
      </c>
      <c r="F113" s="3118">
        <v>15</v>
      </c>
    </row>
    <row r="114" spans="1:6" ht="24">
      <c r="A114" s="3118">
        <v>42</v>
      </c>
      <c r="B114" s="3884"/>
      <c r="C114" s="3118" t="s">
        <v>2737</v>
      </c>
      <c r="D114" s="3092" t="s">
        <v>2738</v>
      </c>
      <c r="E114" s="3118">
        <v>0.1</v>
      </c>
      <c r="F114" s="3118">
        <v>15</v>
      </c>
    </row>
    <row r="115" spans="1:6" ht="24">
      <c r="A115" s="3118">
        <v>43</v>
      </c>
      <c r="B115" s="3884"/>
      <c r="C115" s="3118" t="s">
        <v>2739</v>
      </c>
      <c r="D115" s="3092" t="s">
        <v>2740</v>
      </c>
      <c r="E115" s="3118">
        <v>0.1</v>
      </c>
      <c r="F115" s="3118">
        <v>15</v>
      </c>
    </row>
    <row r="116" spans="1:6" ht="24">
      <c r="A116" s="3118">
        <v>44</v>
      </c>
      <c r="B116" s="3885" t="s">
        <v>2741</v>
      </c>
      <c r="C116" s="3118" t="s">
        <v>2742</v>
      </c>
      <c r="D116" s="3092" t="s">
        <v>2743</v>
      </c>
      <c r="E116" s="3118">
        <v>0.1</v>
      </c>
      <c r="F116" s="3118">
        <v>15</v>
      </c>
    </row>
    <row r="117" spans="1:6" ht="24">
      <c r="A117" s="3118">
        <v>45</v>
      </c>
      <c r="B117" s="3886"/>
      <c r="C117" s="3092" t="s">
        <v>2744</v>
      </c>
      <c r="D117" s="3092" t="s">
        <v>2745</v>
      </c>
      <c r="E117" s="3118">
        <v>0.1</v>
      </c>
      <c r="F117" s="3118">
        <v>15</v>
      </c>
    </row>
    <row r="118" spans="1:6" ht="24">
      <c r="A118" s="3118">
        <v>46</v>
      </c>
      <c r="B118" s="3885" t="s">
        <v>2746</v>
      </c>
      <c r="C118" s="3118" t="s">
        <v>2747</v>
      </c>
      <c r="D118" s="3092" t="s">
        <v>2748</v>
      </c>
      <c r="E118" s="3118">
        <v>0.1</v>
      </c>
      <c r="F118" s="3118">
        <v>15</v>
      </c>
    </row>
    <row r="119" spans="1:6" ht="24">
      <c r="A119" s="3118">
        <v>47</v>
      </c>
      <c r="B119" s="3886"/>
      <c r="C119" s="3118" t="s">
        <v>2749</v>
      </c>
      <c r="D119" s="3092" t="s">
        <v>2750</v>
      </c>
      <c r="E119" s="3118">
        <v>0.1</v>
      </c>
      <c r="F119" s="3118">
        <v>15</v>
      </c>
    </row>
    <row r="120" spans="1:6" ht="24">
      <c r="A120" s="3118">
        <v>48</v>
      </c>
      <c r="B120" s="3885" t="s">
        <v>2751</v>
      </c>
      <c r="C120" s="3118" t="s">
        <v>2752</v>
      </c>
      <c r="D120" s="3092" t="s">
        <v>2753</v>
      </c>
      <c r="E120" s="3118">
        <v>0.1</v>
      </c>
      <c r="F120" s="3118">
        <v>15</v>
      </c>
    </row>
    <row r="121" spans="1:6" ht="24">
      <c r="A121" s="3118">
        <v>49</v>
      </c>
      <c r="B121" s="3886"/>
      <c r="C121" s="3118" t="s">
        <v>2754</v>
      </c>
      <c r="D121" s="3092" t="s">
        <v>2755</v>
      </c>
      <c r="E121" s="3118">
        <v>0.1</v>
      </c>
      <c r="F121" s="3118">
        <v>15</v>
      </c>
    </row>
    <row r="122" spans="1:6" ht="24">
      <c r="A122" s="3118">
        <v>50</v>
      </c>
      <c r="B122" s="3884" t="s">
        <v>2756</v>
      </c>
      <c r="C122" s="3118" t="s">
        <v>2757</v>
      </c>
      <c r="D122" s="3092" t="s">
        <v>2758</v>
      </c>
      <c r="E122" s="3118">
        <v>0.1</v>
      </c>
      <c r="F122" s="3118">
        <v>15</v>
      </c>
    </row>
    <row r="123" spans="1:6" ht="24">
      <c r="A123" s="3118">
        <v>51</v>
      </c>
      <c r="B123" s="3884"/>
      <c r="C123" s="3118" t="s">
        <v>2759</v>
      </c>
      <c r="D123" s="3092" t="s">
        <v>2760</v>
      </c>
      <c r="E123" s="3118">
        <v>0.1</v>
      </c>
      <c r="F123" s="3118">
        <v>15</v>
      </c>
    </row>
    <row r="124" spans="1:6" ht="24">
      <c r="A124" s="3118">
        <v>52</v>
      </c>
      <c r="B124" s="3884" t="s">
        <v>2761</v>
      </c>
      <c r="C124" s="3118" t="s">
        <v>2762</v>
      </c>
      <c r="D124" s="3092" t="s">
        <v>2763</v>
      </c>
      <c r="E124" s="3118">
        <v>0.1</v>
      </c>
      <c r="F124" s="3118">
        <v>15</v>
      </c>
    </row>
    <row r="125" spans="1:6" ht="24">
      <c r="A125" s="3118">
        <v>53</v>
      </c>
      <c r="B125" s="388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84" t="s">
        <v>2769</v>
      </c>
      <c r="C127" s="3118" t="s">
        <v>2770</v>
      </c>
      <c r="D127" s="3092" t="s">
        <v>2771</v>
      </c>
      <c r="E127" s="3118">
        <v>0.1</v>
      </c>
      <c r="F127" s="3118">
        <v>15</v>
      </c>
    </row>
    <row r="128" spans="1:6" ht="24">
      <c r="A128" s="3118">
        <v>56</v>
      </c>
      <c r="B128" s="3884"/>
      <c r="C128" s="3118" t="s">
        <v>2772</v>
      </c>
      <c r="D128" s="3092" t="s">
        <v>2773</v>
      </c>
      <c r="E128" s="3118">
        <v>0.1</v>
      </c>
      <c r="F128" s="3118">
        <v>15</v>
      </c>
    </row>
    <row r="129" spans="1:6" ht="24">
      <c r="A129" s="3118">
        <v>57</v>
      </c>
      <c r="B129" s="3884"/>
      <c r="C129" s="3118" t="s">
        <v>2774</v>
      </c>
      <c r="D129" s="3092" t="s">
        <v>2775</v>
      </c>
      <c r="E129" s="3118">
        <v>0.1</v>
      </c>
      <c r="F129" s="3118">
        <v>15</v>
      </c>
    </row>
    <row r="130" spans="1:6" ht="24">
      <c r="A130" s="3118">
        <v>58</v>
      </c>
      <c r="B130" s="3884" t="s">
        <v>2776</v>
      </c>
      <c r="C130" s="3118" t="s">
        <v>2777</v>
      </c>
      <c r="D130" s="3092" t="s">
        <v>2778</v>
      </c>
      <c r="E130" s="3118">
        <v>0.1</v>
      </c>
      <c r="F130" s="3118">
        <v>15</v>
      </c>
    </row>
    <row r="131" spans="1:6" ht="24">
      <c r="A131" s="3118">
        <v>59</v>
      </c>
      <c r="B131" s="3884"/>
      <c r="C131" s="3118" t="s">
        <v>2779</v>
      </c>
      <c r="D131" s="3092" t="s">
        <v>2780</v>
      </c>
      <c r="E131" s="3118">
        <v>0.1</v>
      </c>
      <c r="F131" s="3118">
        <v>15</v>
      </c>
    </row>
    <row r="132" spans="1:6" ht="24">
      <c r="A132" s="3118">
        <v>60</v>
      </c>
      <c r="B132" s="3885" t="s">
        <v>2781</v>
      </c>
      <c r="C132" s="3118" t="s">
        <v>2782</v>
      </c>
      <c r="D132" s="3092" t="s">
        <v>2783</v>
      </c>
      <c r="E132" s="3118">
        <v>0.1</v>
      </c>
      <c r="F132" s="3118">
        <v>15</v>
      </c>
    </row>
    <row r="133" spans="1:6" ht="24">
      <c r="A133" s="3118">
        <v>61</v>
      </c>
      <c r="B133" s="388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84" t="s">
        <v>2789</v>
      </c>
      <c r="C135" s="3118" t="s">
        <v>2790</v>
      </c>
      <c r="D135" s="3092" t="s">
        <v>2791</v>
      </c>
      <c r="E135" s="3118">
        <v>0.1</v>
      </c>
      <c r="F135" s="3118">
        <v>15</v>
      </c>
    </row>
    <row r="136" spans="1:6" ht="24">
      <c r="A136" s="3118">
        <v>64</v>
      </c>
      <c r="B136" s="388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5"/>
      <c r="C2" s="3575"/>
      <c r="D2" s="3575"/>
      <c r="E2" s="3575"/>
    </row>
    <row r="3" spans="1:5" ht="17.399999999999999">
      <c r="A3" s="3576" t="str">
        <f>IF(项目基本情况!B9="房地产市场价值","估价结果一览表（市场价值不需“结果表-1”）","估价结果一览表")</f>
        <v>估价结果一览表（市场价值不需“结果表-1”）</v>
      </c>
      <c r="B3" s="3576"/>
      <c r="C3" s="3576"/>
      <c r="D3" s="3576"/>
      <c r="E3" s="3576"/>
    </row>
    <row r="4" spans="1:5" ht="18" thickBot="1">
      <c r="A4" s="1493"/>
      <c r="B4" s="3574" t="s">
        <v>917</v>
      </c>
      <c r="C4" s="3574"/>
      <c r="D4" s="3574"/>
      <c r="E4" s="1493"/>
    </row>
    <row r="5" spans="1:5" ht="16.2" thickTop="1">
      <c r="A5" s="1491"/>
      <c r="B5" s="3572" t="s">
        <v>909</v>
      </c>
      <c r="C5" s="1494" t="s">
        <v>910</v>
      </c>
      <c r="D5" s="850" t="e">
        <f ca="1">结果表!H101</f>
        <v>#REF!</v>
      </c>
      <c r="E5" s="1491"/>
    </row>
    <row r="6" spans="1:5" ht="15.6">
      <c r="A6" s="1491"/>
      <c r="B6" s="3572"/>
      <c r="C6" s="1494" t="s">
        <v>911</v>
      </c>
      <c r="D6" s="850" t="e">
        <f ca="1">NUMBERSTRING(INT(D5*10000),2)&amp;"元整"</f>
        <v>#REF!</v>
      </c>
      <c r="E6" s="1491"/>
    </row>
    <row r="7" spans="1:5" ht="15.6">
      <c r="A7" s="1491"/>
      <c r="B7" s="3577"/>
      <c r="C7" s="1495" t="s">
        <v>912</v>
      </c>
      <c r="D7" s="851" t="e">
        <f ca="1">结果表!H102</f>
        <v>#REF!</v>
      </c>
      <c r="E7" s="1491"/>
    </row>
    <row r="8" spans="1:5" ht="15.6">
      <c r="A8" s="1491"/>
      <c r="B8" s="3578" t="str">
        <f>结果表!E103</f>
        <v>2.估价师知悉的法定优先受偿款</v>
      </c>
      <c r="C8" s="1496" t="s">
        <v>913</v>
      </c>
      <c r="D8" s="851">
        <f>结果表!H103</f>
        <v>0</v>
      </c>
      <c r="E8" s="1491"/>
    </row>
    <row r="9" spans="1:5" ht="15.6">
      <c r="A9" s="1491"/>
      <c r="B9" s="358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71" t="str">
        <f>结果表!E107</f>
        <v>3.房地产抵押价值</v>
      </c>
      <c r="C13" s="1499" t="s">
        <v>910</v>
      </c>
      <c r="D13" s="853" t="e">
        <f ca="1">结果表!H107</f>
        <v>#REF!</v>
      </c>
      <c r="E13" s="1491"/>
    </row>
    <row r="14" spans="1:5" ht="15.6">
      <c r="A14" s="1491"/>
      <c r="B14" s="3572"/>
      <c r="C14" s="1494" t="s">
        <v>911</v>
      </c>
      <c r="D14" s="850" t="e">
        <f ca="1">NUMBERSTRING(INT(D13*10000),2)&amp;"元整"</f>
        <v>#REF!</v>
      </c>
      <c r="E14" s="1491"/>
    </row>
    <row r="15" spans="1:5" ht="15.6">
      <c r="A15" s="1491"/>
      <c r="B15" s="3577"/>
      <c r="C15" s="1495" t="s">
        <v>921</v>
      </c>
      <c r="D15" s="859" t="e">
        <f ca="1">结果表!H108</f>
        <v>#REF!</v>
      </c>
      <c r="E15" s="1491"/>
    </row>
    <row r="16" spans="1:5" ht="15.6">
      <c r="A16" s="1491"/>
      <c r="B16" s="3578" t="str">
        <f>结果表!E109</f>
        <v>——</v>
      </c>
      <c r="C16" s="1499" t="s">
        <v>922</v>
      </c>
      <c r="D16" s="1500" t="str">
        <f>结果表!H109</f>
        <v>——</v>
      </c>
      <c r="E16" s="1491"/>
    </row>
    <row r="17" spans="1:5" ht="15.6">
      <c r="A17" s="1491"/>
      <c r="B17" s="3579"/>
      <c r="C17" s="1494" t="s">
        <v>923</v>
      </c>
      <c r="D17" s="850" t="e">
        <f>NUMBERSTRING(INT(D16*10000),2)&amp;"元整"</f>
        <v>#VALUE!</v>
      </c>
      <c r="E17" s="1491"/>
    </row>
    <row r="18" spans="1:5" ht="15.6">
      <c r="A18" s="1491"/>
      <c r="B18" s="3580"/>
      <c r="C18" s="1495" t="s">
        <v>912</v>
      </c>
      <c r="D18" s="859" t="str">
        <f>结果表!H110</f>
        <v>——</v>
      </c>
      <c r="E18" s="1491"/>
    </row>
    <row r="19" spans="1:5" ht="15.6">
      <c r="A19" s="1491"/>
      <c r="B19" s="3571" t="str">
        <f>结果表!E111</f>
        <v>——</v>
      </c>
      <c r="C19" s="1499" t="s">
        <v>910</v>
      </c>
      <c r="D19" s="851" t="str">
        <f>结果表!H111</f>
        <v>——</v>
      </c>
      <c r="E19" s="1491"/>
    </row>
    <row r="20" spans="1:5" ht="15.6">
      <c r="A20" s="1491"/>
      <c r="B20" s="3572"/>
      <c r="C20" s="1494" t="s">
        <v>923</v>
      </c>
      <c r="D20" s="850" t="e">
        <f>NUMBERSTRING(INT(D19*10000),2)&amp;"元整"</f>
        <v>#VALUE!</v>
      </c>
      <c r="E20" s="1491"/>
    </row>
    <row r="21" spans="1:5" ht="16.2" thickBot="1">
      <c r="A21" s="1491"/>
      <c r="B21" s="357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26810</v>
      </c>
      <c r="C2" s="2" t="s">
        <v>106</v>
      </c>
      <c r="D2" s="199"/>
      <c r="E2" s="199"/>
      <c r="F2" s="199"/>
      <c r="G2" s="199"/>
    </row>
    <row r="3" spans="1:7" s="200" customFormat="1" ht="18" customHeight="1" thickBot="1">
      <c r="A3" s="203" t="s">
        <v>58</v>
      </c>
      <c r="B3" s="204">
        <f ca="1">ROUND(B2*10000/'数据-汇总表'!E3,0)</f>
        <v>2276471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117.77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117.77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1099</v>
      </c>
      <c r="D22" s="235">
        <f ca="1">C26</f>
        <v>2.9999999999999997E-4</v>
      </c>
      <c r="E22" s="236" t="s">
        <v>99</v>
      </c>
      <c r="F22" s="237">
        <f ca="1">'数据-取费表'!B40</f>
        <v>5.3099999999999994E-2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1094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5</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26785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117.77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753" t="s">
        <v>94</v>
      </c>
    </row>
    <row r="43" spans="1:7" ht="13.5" customHeight="1">
      <c r="A43" s="780" t="s">
        <v>347</v>
      </c>
      <c r="B43" s="215" t="s">
        <v>426</v>
      </c>
      <c r="C43" s="238">
        <f ca="1">ROUND(IF('数据-取费表'!B22&lt;=1,C39*F22*'数据-取费表'!B21/2,C39*(POWER((1+F22),'数据-取费表'!B21/2)-1)),0)</f>
        <v>0</v>
      </c>
      <c r="D43" s="238"/>
      <c r="E43" s="238"/>
      <c r="F43" s="239"/>
      <c r="G43" s="3754"/>
    </row>
    <row r="44" spans="1:7" ht="13.5" customHeight="1">
      <c r="A44" s="780" t="s">
        <v>348</v>
      </c>
      <c r="B44" s="215" t="s">
        <v>428</v>
      </c>
      <c r="C44" s="238">
        <f ca="1">ROUND(IF('数据-取费表'!B22&lt;=1,C40*F22*'数据-取费表'!B21/2,C40*(POWER((1+F22),'数据-取费表'!B21/2)-1)),4)</f>
        <v>2.9999999999999997E-4</v>
      </c>
      <c r="D44" s="238"/>
      <c r="E44" s="238"/>
      <c r="F44" s="239"/>
      <c r="G44" s="3755"/>
    </row>
    <row r="45" spans="1:7" s="214" customFormat="1" ht="13.5" customHeight="1">
      <c r="A45" s="777" t="s">
        <v>341</v>
      </c>
      <c r="B45" s="244" t="s">
        <v>85</v>
      </c>
      <c r="C45" s="245">
        <f>C46</f>
        <v>3</v>
      </c>
      <c r="D45" s="235">
        <f>C47</f>
        <v>1.5E-3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25</v>
      </c>
      <c r="D51" s="232"/>
      <c r="E51" s="232"/>
      <c r="F51" s="264"/>
      <c r="G51" s="234" t="s">
        <v>37</v>
      </c>
    </row>
    <row r="52" spans="1:7" s="208" customFormat="1" ht="16.8" thickBot="1">
      <c r="A52" s="265" t="s">
        <v>38</v>
      </c>
      <c r="B52" s="266"/>
      <c r="C52" s="267">
        <f ca="1">C31+C51</f>
        <v>26810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98" t="s">
        <v>2839</v>
      </c>
      <c r="B1" s="3898"/>
      <c r="C1" s="3898"/>
      <c r="D1" s="3898"/>
      <c r="E1" s="3898"/>
      <c r="F1" s="3898"/>
      <c r="G1" s="389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9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9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00" t="s">
        <v>3181</v>
      </c>
      <c r="B1" s="3900"/>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01" t="s">
        <v>3232</v>
      </c>
      <c r="B1" s="3901"/>
      <c r="C1" s="3901"/>
      <c r="D1" s="3901"/>
      <c r="E1" s="3901"/>
      <c r="F1" s="390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40078</v>
      </c>
      <c r="B1" s="3210" t="s">
        <v>3371</v>
      </c>
      <c r="C1" s="3211"/>
      <c r="D1" s="3211"/>
      <c r="E1" s="3211"/>
      <c r="F1" s="3211"/>
      <c r="G1" s="3211"/>
      <c r="H1" s="3211"/>
      <c r="I1" s="3211"/>
      <c r="J1" s="3165"/>
      <c r="K1" s="3211" t="s">
        <v>454</v>
      </c>
      <c r="L1" s="3211"/>
      <c r="M1" s="3211"/>
      <c r="N1" s="3211"/>
      <c r="O1" s="3211"/>
      <c r="P1" s="3211"/>
      <c r="Q1" s="3165"/>
      <c r="R1" s="3903" t="s">
        <v>456</v>
      </c>
      <c r="S1" s="3904"/>
      <c r="T1" s="3904"/>
      <c r="U1" s="3904"/>
      <c r="V1" s="3904"/>
      <c r="W1" s="3904"/>
      <c r="X1" s="3165"/>
      <c r="Y1" s="3903" t="s">
        <v>457</v>
      </c>
      <c r="Z1" s="3904"/>
      <c r="AA1" s="3904"/>
      <c r="AB1" s="3904"/>
      <c r="AC1" s="3904"/>
      <c r="AD1" s="3904"/>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03" t="s">
        <v>2827</v>
      </c>
      <c r="S24" s="3904"/>
      <c r="T24" s="3904"/>
      <c r="U24" s="3904"/>
      <c r="V24" s="3904"/>
      <c r="W24" s="3904"/>
      <c r="X24" s="3165"/>
      <c r="Y24" s="3903" t="s">
        <v>2828</v>
      </c>
      <c r="Z24" s="3904"/>
      <c r="AA24" s="3904"/>
      <c r="AB24" s="3904"/>
      <c r="AC24" s="3904"/>
      <c r="AD24" s="3904"/>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10" t="s">
        <v>452</v>
      </c>
      <c r="C1" s="3910"/>
      <c r="D1" s="3910"/>
      <c r="E1" s="3910"/>
      <c r="F1" s="3910"/>
      <c r="G1" s="3909" t="s">
        <v>453</v>
      </c>
      <c r="H1" s="3909"/>
      <c r="I1" s="3909"/>
      <c r="J1" s="3909"/>
      <c r="K1" s="3909"/>
      <c r="L1" s="3909"/>
      <c r="N1" s="3909" t="s">
        <v>454</v>
      </c>
      <c r="O1" s="3909"/>
      <c r="P1" s="3909"/>
      <c r="Q1" s="3909"/>
      <c r="S1" s="3909" t="s">
        <v>455</v>
      </c>
      <c r="T1" s="3909"/>
      <c r="U1" s="3909"/>
      <c r="V1" s="3909"/>
      <c r="X1" s="3908" t="s">
        <v>456</v>
      </c>
      <c r="Y1" s="3909"/>
      <c r="Z1" s="3909"/>
      <c r="AA1" s="3909"/>
      <c r="AB1" s="3909"/>
      <c r="AD1" s="3908" t="s">
        <v>457</v>
      </c>
      <c r="AE1" s="3909"/>
      <c r="AF1" s="3909"/>
      <c r="AG1" s="3909"/>
      <c r="AH1" s="390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9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40078</v>
      </c>
      <c r="D1" s="1302" t="s">
        <v>603</v>
      </c>
      <c r="E1" s="1297">
        <f>'数据-取费表'!B22</f>
        <v>1</v>
      </c>
      <c r="F1" s="1302" t="s">
        <v>604</v>
      </c>
      <c r="G1" s="1298">
        <f ca="1">INDIRECT("d"&amp;$K$1)/100</f>
        <v>5.3099999999999994E-2</v>
      </c>
      <c r="H1" s="1302" t="s">
        <v>634</v>
      </c>
      <c r="I1" s="1298">
        <f ca="1">F4/100</f>
        <v>2.2499999999999999E-2</v>
      </c>
      <c r="J1" s="1303">
        <f>IF(C1&gt;C13,0,MATCH(C1,C$13:C$113,-1))+IF(SUMIF(C13:C113,C1,D13:D113)=0,13,12)</f>
        <v>39</v>
      </c>
      <c r="K1" s="1303">
        <f ca="1">MATCH(E1,C3:C7,1)+IF(SUMIF(C3:C7,E1,D3:D7)=0,2,1)</f>
        <v>4</v>
      </c>
      <c r="L1" s="1303">
        <f>IF(C1&gt;M13,0,MATCH(C1,M$13:M$100,-1))+IF(SUMIF(M13:M100,C1,N13:N100)=0,13,12)</f>
        <v>26</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4.8600000000000003</v>
      </c>
      <c r="E3" s="1246">
        <v>0.5</v>
      </c>
      <c r="F3" s="1247">
        <f ca="1">INDIRECT("p"&amp;$L$1)</f>
        <v>1.98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v>
      </c>
      <c r="E5" s="1252">
        <v>2</v>
      </c>
      <c r="F5" s="1253">
        <f ca="1">INDIRECT("r"&amp;$L$1)</f>
        <v>2.79</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5.76</v>
      </c>
      <c r="E6" s="1252">
        <v>3</v>
      </c>
      <c r="F6" s="1253">
        <f ca="1">INDIRECT("s"&amp;$L$1)</f>
        <v>3.33</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5.94</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88" t="str">
        <f>IF(项目基本情况!B9="房地产市场价值","估价结果一览表","结果表-2")</f>
        <v>估价结果一览表</v>
      </c>
      <c r="B1" s="3588"/>
      <c r="C1" s="3588"/>
      <c r="D1" s="3588"/>
      <c r="E1" s="3588"/>
      <c r="F1" s="3588"/>
      <c r="G1" s="3588"/>
      <c r="H1" s="3588"/>
      <c r="I1" s="3588"/>
    </row>
    <row r="2" spans="1:9" ht="30" customHeight="1" thickTop="1">
      <c r="A2" s="3589" t="s">
        <v>928</v>
      </c>
      <c r="B2" s="3589" t="s">
        <v>929</v>
      </c>
      <c r="C2" s="3589" t="s">
        <v>930</v>
      </c>
      <c r="D2" s="3589" t="str">
        <f>结果表!D116</f>
        <v>出让国有建设用地使用权价值</v>
      </c>
      <c r="E2" s="3589"/>
      <c r="F2" s="3589" t="str">
        <f>结果表!F116</f>
        <v>在建建筑物价值</v>
      </c>
      <c r="G2" s="3589"/>
      <c r="H2" s="3589" t="str">
        <f>IF(项目基本情况!B9="房地产市场价值","房地产市场价值","房地产价值")</f>
        <v>房地产市场价值</v>
      </c>
      <c r="I2" s="3589"/>
    </row>
    <row r="3" spans="1:9" ht="15.6">
      <c r="A3" s="3584"/>
      <c r="B3" s="3584"/>
      <c r="C3" s="3584"/>
      <c r="D3" s="854" t="s">
        <v>925</v>
      </c>
      <c r="E3" s="854" t="s">
        <v>931</v>
      </c>
      <c r="F3" s="854" t="s">
        <v>925</v>
      </c>
      <c r="G3" s="854" t="s">
        <v>926</v>
      </c>
      <c r="H3" s="854" t="s">
        <v>925</v>
      </c>
      <c r="I3" s="854" t="s">
        <v>926</v>
      </c>
    </row>
    <row r="4" spans="1:9" ht="15">
      <c r="A4" s="1505" t="str">
        <f>项目基本情况!S2</f>
        <v>北京市房地产</v>
      </c>
      <c r="B4" s="854">
        <f>项目基本情况!C17</f>
        <v>117.77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84" t="s">
        <v>927</v>
      </c>
      <c r="B5" s="3584"/>
      <c r="C5" s="3584"/>
      <c r="D5" s="3584" t="e">
        <f ca="1">结果表!D119</f>
        <v>#REF!</v>
      </c>
      <c r="E5" s="3584"/>
      <c r="F5" s="3584" t="e">
        <f ca="1">结果表!F119</f>
        <v>#REF!</v>
      </c>
      <c r="G5" s="3584"/>
      <c r="H5" s="3584" t="e">
        <f ca="1">结果表!H119</f>
        <v>#REF!</v>
      </c>
      <c r="I5" s="3584"/>
    </row>
    <row r="6" spans="1:9" ht="15.6">
      <c r="A6" s="3583" t="str">
        <f>结果表!A120</f>
        <v/>
      </c>
      <c r="B6" s="3583"/>
      <c r="C6" s="3583"/>
      <c r="D6" s="3583">
        <f>结果表!D120</f>
        <v>0</v>
      </c>
      <c r="E6" s="3583"/>
      <c r="F6" s="3583"/>
      <c r="G6" s="3583"/>
      <c r="H6" s="3583"/>
      <c r="I6" s="3583"/>
    </row>
    <row r="7" spans="1:9" ht="15">
      <c r="A7" s="3584" t="s">
        <v>927</v>
      </c>
      <c r="B7" s="3584"/>
      <c r="C7" s="3584"/>
      <c r="D7" s="3585" t="str">
        <f>结果表!D121</f>
        <v>零元整</v>
      </c>
      <c r="E7" s="3586"/>
      <c r="F7" s="3586"/>
      <c r="G7" s="3586"/>
      <c r="H7" s="3586"/>
      <c r="I7" s="3587"/>
    </row>
    <row r="8" spans="1:9" ht="15.6">
      <c r="A8" s="3583" t="str">
        <f>结果表!A122</f>
        <v/>
      </c>
      <c r="B8" s="3583"/>
      <c r="C8" s="3583"/>
      <c r="D8" s="3583" t="e">
        <f ca="1">结果表!D122</f>
        <v>#REF!</v>
      </c>
      <c r="E8" s="3583"/>
      <c r="F8" s="3583"/>
      <c r="G8" s="3583"/>
      <c r="H8" s="3583"/>
      <c r="I8" s="3583"/>
    </row>
    <row r="9" spans="1:9" ht="15">
      <c r="A9" s="3584" t="s">
        <v>927</v>
      </c>
      <c r="B9" s="3584"/>
      <c r="C9" s="3584"/>
      <c r="D9" s="3584" t="e">
        <f ca="1">结果表!D123</f>
        <v>#REF!</v>
      </c>
      <c r="E9" s="3584"/>
      <c r="F9" s="3584"/>
      <c r="G9" s="3584"/>
      <c r="H9" s="3584"/>
      <c r="I9" s="3584"/>
    </row>
    <row r="10" spans="1:9" ht="15.6">
      <c r="A10" s="3583" t="str">
        <f>结果表!A124</f>
        <v/>
      </c>
      <c r="B10" s="3583"/>
      <c r="C10" s="3583"/>
      <c r="D10" s="3583" t="str">
        <f>结果表!D124</f>
        <v>——</v>
      </c>
      <c r="E10" s="3583"/>
      <c r="F10" s="3583"/>
      <c r="G10" s="3583"/>
      <c r="H10" s="3583"/>
      <c r="I10" s="3583"/>
    </row>
    <row r="11" spans="1:9" ht="15">
      <c r="A11" s="3584" t="s">
        <v>927</v>
      </c>
      <c r="B11" s="3584"/>
      <c r="C11" s="3584"/>
      <c r="D11" s="3584" t="e">
        <f>结果表!D125</f>
        <v>#VALUE!</v>
      </c>
      <c r="E11" s="3584"/>
      <c r="F11" s="3584"/>
      <c r="G11" s="3584"/>
      <c r="H11" s="3584"/>
      <c r="I11" s="3584"/>
    </row>
    <row r="12" spans="1:9" ht="15.6">
      <c r="A12" s="3583" t="str">
        <f>结果表!A126</f>
        <v/>
      </c>
      <c r="B12" s="3583"/>
      <c r="C12" s="3583"/>
      <c r="D12" s="3583" t="str">
        <f>结果表!D126</f>
        <v>——</v>
      </c>
      <c r="E12" s="3583"/>
      <c r="F12" s="3583"/>
      <c r="G12" s="3583"/>
      <c r="H12" s="3583"/>
      <c r="I12" s="3583"/>
    </row>
    <row r="13" spans="1:9" ht="15.6" thickBot="1">
      <c r="A13" s="3581" t="s">
        <v>927</v>
      </c>
      <c r="B13" s="3581"/>
      <c r="C13" s="3581"/>
      <c r="D13" s="3581" t="e">
        <f>结果表!D127</f>
        <v>#VALUE!</v>
      </c>
      <c r="E13" s="3581"/>
      <c r="F13" s="3581"/>
      <c r="G13" s="3581"/>
      <c r="H13" s="3581"/>
      <c r="I13" s="3581"/>
    </row>
    <row r="14" spans="1:9" ht="14.4" thickTop="1">
      <c r="A14" s="3582" t="s">
        <v>932</v>
      </c>
      <c r="B14" s="3582"/>
      <c r="C14" s="3582"/>
      <c r="D14" s="3582"/>
      <c r="E14" s="3582"/>
      <c r="F14" s="3582"/>
      <c r="G14" s="3582"/>
      <c r="H14" s="3582"/>
      <c r="I14" s="358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96" t="s">
        <v>949</v>
      </c>
      <c r="B1" s="3596"/>
      <c r="C1" s="3596"/>
      <c r="D1" s="3596"/>
    </row>
    <row r="2" spans="1:4" ht="17.399999999999999">
      <c r="A2" s="3597" t="s">
        <v>933</v>
      </c>
      <c r="B2" s="3597"/>
      <c r="C2" s="3597"/>
      <c r="D2" s="359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97" t="s">
        <v>939</v>
      </c>
      <c r="B6" s="3597"/>
      <c r="C6" s="3597"/>
      <c r="D6" s="35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98" t="s">
        <v>942</v>
      </c>
      <c r="B11" s="3590"/>
      <c r="C11" s="3590"/>
      <c r="D11" s="3590"/>
    </row>
    <row r="12" spans="1:4" ht="15.6">
      <c r="A12" s="3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95"/>
      <c r="C12" s="3595"/>
      <c r="D12" s="3595"/>
    </row>
    <row r="13" spans="1:4" ht="30" customHeight="1">
      <c r="A13" s="3590" t="str">
        <f>IF(项目基本情况!B8="抵押","3.抵押双方在办理抵押登记手续时，应使用本公司出具的正式《房地产评估报告》，特提醒报告使用者注意。","——")</f>
        <v>——</v>
      </c>
      <c r="B13" s="3595"/>
      <c r="C13" s="3595"/>
      <c r="D13" s="3595"/>
    </row>
    <row r="14" spans="1:4" ht="15.75" customHeight="1">
      <c r="A14" s="3590" t="str">
        <f>IF(项目基本情况!B8="抵押","4.本次评估估价师所知悉的法定优先受偿款情况说明如下：","——")</f>
        <v>——</v>
      </c>
      <c r="B14" s="3595"/>
      <c r="C14" s="3595"/>
      <c r="D14" s="3595"/>
    </row>
    <row r="15" spans="1:4" ht="42" customHeight="1">
      <c r="A15" s="3590" t="str">
        <f>IF(项目基本情况!B8="抵押","（1）"&amp;CONCATENATE(项目基本情况!L20,项目基本情况!L21,项目基本情况!L22),"——")</f>
        <v>——</v>
      </c>
      <c r="B15" s="3590"/>
      <c r="C15" s="3590"/>
      <c r="D15" s="3590"/>
    </row>
    <row r="16" spans="1:4" ht="30" customHeight="1">
      <c r="A16" s="3592" t="s">
        <v>943</v>
      </c>
      <c r="B16" s="3592"/>
      <c r="C16" s="3592"/>
      <c r="D16" s="3592"/>
    </row>
    <row r="17" spans="1:4" ht="144" customHeight="1">
      <c r="A17" s="3592" t="s">
        <v>944</v>
      </c>
      <c r="B17" s="3592"/>
      <c r="C17" s="3592"/>
      <c r="D17" s="3592"/>
    </row>
    <row r="18" spans="1:4" ht="15.75" customHeight="1">
      <c r="A18" s="3590" t="str">
        <f>IF(项目基本情况!B8="抵押",结果表!K120,"——")</f>
        <v>——</v>
      </c>
      <c r="B18" s="3590"/>
      <c r="C18" s="3590"/>
      <c r="D18" s="3590"/>
    </row>
    <row r="19" spans="1:4" ht="46.5" customHeight="1">
      <c r="A19" s="3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0"/>
      <c r="C19" s="3590"/>
      <c r="D19" s="3590"/>
    </row>
    <row r="20" spans="1:4" ht="57.75" customHeight="1">
      <c r="A20" s="3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0"/>
      <c r="C20" s="3590"/>
      <c r="D20" s="3590"/>
    </row>
    <row r="21" spans="1:4" ht="57.75" customHeight="1">
      <c r="A21" s="3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3"/>
      <c r="C21" s="3593"/>
      <c r="D21" s="3593"/>
    </row>
    <row r="22" spans="1:4" ht="18.75" customHeight="1">
      <c r="A22" s="3594" t="s">
        <v>945</v>
      </c>
      <c r="B22" s="3594"/>
      <c r="C22" s="3594"/>
      <c r="D22" s="359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91">
        <v>42551</v>
      </c>
      <c r="D31" s="35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04" t="s">
        <v>956</v>
      </c>
      <c r="B15" s="3599" t="s">
        <v>109</v>
      </c>
      <c r="C15" s="3600"/>
    </row>
    <row r="16" spans="1:7" ht="14.4">
      <c r="A16" s="3605"/>
      <c r="B16" s="3599" t="s">
        <v>42</v>
      </c>
      <c r="C16" s="3600"/>
    </row>
    <row r="17" spans="1:3" ht="14.4">
      <c r="A17" s="3605"/>
      <c r="B17" s="3602" t="s">
        <v>957</v>
      </c>
      <c r="C17" s="1532" t="s">
        <v>956</v>
      </c>
    </row>
    <row r="18" spans="1:3" ht="14.4">
      <c r="A18" s="3605"/>
      <c r="B18" s="3602"/>
      <c r="C18" s="1532" t="s">
        <v>958</v>
      </c>
    </row>
    <row r="19" spans="1:3" ht="14.4">
      <c r="A19" s="3605"/>
      <c r="B19" s="3602"/>
      <c r="C19" s="1532" t="s">
        <v>959</v>
      </c>
    </row>
    <row r="20" spans="1:3" ht="14.4">
      <c r="A20" s="3606"/>
      <c r="B20" s="3601" t="s">
        <v>960</v>
      </c>
      <c r="C20" s="3600"/>
    </row>
    <row r="21" spans="1:3" ht="14.4">
      <c r="A21" s="1533" t="s">
        <v>961</v>
      </c>
      <c r="B21" s="1534"/>
      <c r="C21" s="1535"/>
    </row>
    <row r="22" spans="1:3" ht="14.4">
      <c r="A22" s="3603" t="s">
        <v>962</v>
      </c>
      <c r="B22" s="3601" t="s">
        <v>963</v>
      </c>
      <c r="C22" s="3600"/>
    </row>
    <row r="23" spans="1:3" ht="14.4">
      <c r="A23" s="3603"/>
      <c r="B23" s="3601" t="s">
        <v>964</v>
      </c>
      <c r="C23" s="3600"/>
    </row>
    <row r="24" spans="1:3" ht="14.4">
      <c r="A24" s="3603"/>
      <c r="B24" s="3601" t="s">
        <v>965</v>
      </c>
      <c r="C24" s="3600"/>
    </row>
    <row r="25" spans="1:3" ht="14.4">
      <c r="A25" s="3603"/>
      <c r="B25" s="3602" t="s">
        <v>966</v>
      </c>
      <c r="C25" s="1532" t="s">
        <v>967</v>
      </c>
    </row>
    <row r="26" spans="1:3" ht="14.4">
      <c r="A26" s="3603"/>
      <c r="B26" s="3602"/>
      <c r="C26" s="1532" t="s">
        <v>968</v>
      </c>
    </row>
    <row r="27" spans="1:3" ht="14.4">
      <c r="A27" s="3603"/>
      <c r="B27" s="3602"/>
      <c r="C27" s="1532" t="s">
        <v>969</v>
      </c>
    </row>
    <row r="28" spans="1:3" ht="14.4">
      <c r="A28" s="3603"/>
      <c r="B28" s="3602"/>
      <c r="C28" s="1532" t="s">
        <v>970</v>
      </c>
    </row>
    <row r="29" spans="1:3" ht="14.4">
      <c r="A29" s="3603"/>
      <c r="B29" s="3602"/>
      <c r="C29" s="1532" t="s">
        <v>971</v>
      </c>
    </row>
    <row r="30" spans="1:3" ht="14.4">
      <c r="A30" s="3603"/>
      <c r="B30" s="3602"/>
      <c r="C30" s="1532" t="s">
        <v>972</v>
      </c>
    </row>
    <row r="31" spans="1:3" ht="14.4">
      <c r="A31" s="3603"/>
      <c r="B31" s="3602"/>
      <c r="C31" s="1532" t="s">
        <v>973</v>
      </c>
    </row>
    <row r="32" spans="1:3" ht="14.4">
      <c r="A32" s="3603"/>
      <c r="B32" s="3602"/>
      <c r="C32" s="1532" t="s">
        <v>974</v>
      </c>
    </row>
    <row r="33" spans="1:3" ht="14.4">
      <c r="A33" s="3603"/>
      <c r="B33" s="36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46034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07" t="s">
        <v>2159</v>
      </c>
      <c r="B17" s="3607"/>
      <c r="C17" s="3607"/>
      <c r="D17" s="3607"/>
      <c r="E17" s="3607"/>
      <c r="F17" s="3607"/>
      <c r="G17" s="3607"/>
      <c r="H17" s="3607"/>
    </row>
    <row r="18" spans="1:8" ht="24" customHeight="1">
      <c r="A18" s="3608" t="s">
        <v>2160</v>
      </c>
      <c r="B18" s="3608"/>
      <c r="C18" s="3608"/>
      <c r="D18" s="2343"/>
      <c r="E18" s="3609" t="s">
        <v>2161</v>
      </c>
      <c r="F18" s="3608"/>
      <c r="G18" s="360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2026-01-12T05:53:10Z</dcterms:modified>
</cp:coreProperties>
</file>