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r:id="rId36"/>
    <sheet name="成本法 (元) 1" sheetId="69" r:id="rId37"/>
    <sheet name="基准地价修正1" sheetId="43"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收益法 (元)2" sheetId="83" state="hidden" r:id="rId45"/>
    <sheet name="结果表第3" sheetId="85" state="hidden" r:id="rId46"/>
    <sheet name="成本法 (元) 3" sheetId="86" state="hidden" r:id="rId47"/>
    <sheet name="基准地价修正 3" sheetId="87" state="hidden" r:id="rId48"/>
    <sheet name="收益法 (元)3" sheetId="88" state="hidden" r:id="rId49"/>
    <sheet name="弃用案例" sheetId="89" r:id="rId50"/>
    <sheet name="区片价" sheetId="44" r:id="rId51"/>
    <sheet name="因素修正幅度" sheetId="65" state="hidden" r:id="rId52"/>
    <sheet name="区片价（范围）" sheetId="75" state="hidden" r:id="rId53"/>
    <sheet name="地价-分区" sheetId="79" r:id="rId54"/>
    <sheet name="地价" sheetId="71" r:id="rId55"/>
    <sheet name="存贷款利率" sheetId="73" r:id="rId56"/>
  </sheets>
  <externalReferences>
    <externalReference r:id="rId5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6">'成本法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7">'基准地价修正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5">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4">'收益法 (元)2'!$A$1:$F$43,'收益法 (元)2'!$H$3:$M$29,'收益法 (元)2'!$A$45:$F$71,'收益法 (元)2'!$I$46:$N$65</definedName>
    <definedName name="_xlnm.Print_Area" localSheetId="48">'收益法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7">'基准地价修正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16" i="90" l="1"/>
  <c r="N6" i="1"/>
  <c r="U6" i="1" l="1"/>
  <c r="I36" i="33"/>
  <c r="P69" i="90"/>
  <c r="E36" i="33"/>
  <c r="G36" i="33" s="1"/>
  <c r="Q22" i="90"/>
  <c r="C36" i="33"/>
  <c r="I47" i="33"/>
  <c r="I33" i="33"/>
  <c r="G33" i="33"/>
  <c r="G47" i="33"/>
  <c r="E47" i="33"/>
  <c r="E33" i="33"/>
  <c r="I5" i="33"/>
  <c r="G5" i="33"/>
  <c r="E5" i="33"/>
  <c r="O36" i="90"/>
  <c r="P7" i="90"/>
  <c r="D93" i="33"/>
  <c r="R9" i="89"/>
  <c r="R21" i="89"/>
  <c r="R8" i="89"/>
  <c r="E104" i="33" l="1"/>
  <c r="D104" i="33"/>
  <c r="R19" i="89"/>
  <c r="R6" i="89"/>
  <c r="I29" i="33"/>
  <c r="G29" i="33"/>
  <c r="E29" i="33"/>
  <c r="I7" i="33"/>
  <c r="G7" i="33"/>
  <c r="Q72" i="88" l="1"/>
  <c r="C62" i="88"/>
  <c r="C61" i="88"/>
  <c r="C60" i="88"/>
  <c r="Q59" i="88"/>
  <c r="K59" i="88"/>
  <c r="P74" i="88" s="1"/>
  <c r="Q58" i="88"/>
  <c r="Q51" i="88"/>
  <c r="J50" i="88"/>
  <c r="J51" i="88" s="1"/>
  <c r="J49" i="88"/>
  <c r="M47" i="88"/>
  <c r="D46" i="88"/>
  <c r="F34" i="88"/>
  <c r="F62" i="88" s="1"/>
  <c r="C34" i="88"/>
  <c r="F33" i="88"/>
  <c r="F61" i="88" s="1"/>
  <c r="C33" i="88"/>
  <c r="F32" i="88"/>
  <c r="F60" i="88" s="1"/>
  <c r="C32" i="88"/>
  <c r="F28" i="88"/>
  <c r="C28" i="88"/>
  <c r="F23" i="88"/>
  <c r="D24" i="88" s="1"/>
  <c r="D23" i="88"/>
  <c r="D22" i="88"/>
  <c r="F21" i="88"/>
  <c r="M20" i="88"/>
  <c r="F20" i="88"/>
  <c r="M19" i="88"/>
  <c r="M18"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B97" i="87"/>
  <c r="M96" i="87"/>
  <c r="N96" i="87" s="1"/>
  <c r="K96" i="87"/>
  <c r="J96" i="87" s="1"/>
  <c r="D96" i="87"/>
  <c r="E93" i="87" s="1"/>
  <c r="B91" i="87" s="1"/>
  <c r="N95" i="87"/>
  <c r="M95" i="87"/>
  <c r="K95" i="87"/>
  <c r="J95" i="87"/>
  <c r="D95" i="87"/>
  <c r="B95" i="87"/>
  <c r="N94" i="87"/>
  <c r="M94" i="87"/>
  <c r="K94" i="87"/>
  <c r="J94" i="87" s="1"/>
  <c r="H94" i="87"/>
  <c r="D94" i="87"/>
  <c r="M93" i="87"/>
  <c r="N93" i="87" s="1"/>
  <c r="K93" i="87"/>
  <c r="J93" i="87" s="1"/>
  <c r="F93" i="87"/>
  <c r="D93" i="87"/>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E83" i="87" s="1"/>
  <c r="B81" i="87" s="1"/>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J80" i="87" s="1"/>
  <c r="D80" i="87"/>
  <c r="N79" i="87"/>
  <c r="M79" i="87"/>
  <c r="K79" i="87"/>
  <c r="J79" i="87" s="1"/>
  <c r="H79" i="87"/>
  <c r="D79" i="87"/>
  <c r="M78" i="87"/>
  <c r="N78" i="87" s="1"/>
  <c r="K78" i="87"/>
  <c r="J78" i="87" s="1"/>
  <c r="D78" i="87"/>
  <c r="N77" i="87"/>
  <c r="M77" i="87"/>
  <c r="K77" i="87"/>
  <c r="J77" i="87"/>
  <c r="D77" i="87"/>
  <c r="N76" i="87"/>
  <c r="M76" i="87"/>
  <c r="K76" i="87"/>
  <c r="J76" i="87" s="1"/>
  <c r="H76" i="87"/>
  <c r="D76" i="87"/>
  <c r="M75" i="87"/>
  <c r="N75" i="87" s="1"/>
  <c r="K75" i="87"/>
  <c r="J75" i="87" s="1"/>
  <c r="D75" i="87"/>
  <c r="B75" i="87"/>
  <c r="N74" i="87"/>
  <c r="M74" i="87"/>
  <c r="K74" i="87"/>
  <c r="J74" i="87" s="1"/>
  <c r="D74" i="87"/>
  <c r="B74" i="87"/>
  <c r="N73" i="87"/>
  <c r="M73" i="87"/>
  <c r="K73" i="87"/>
  <c r="J73" i="87"/>
  <c r="D73" i="87"/>
  <c r="N72" i="87"/>
  <c r="M72" i="87"/>
  <c r="K72" i="87"/>
  <c r="J72" i="87" s="1"/>
  <c r="H72" i="87"/>
  <c r="F72" i="87"/>
  <c r="H77" i="87" s="1"/>
  <c r="D72" i="87"/>
  <c r="B72" i="87"/>
  <c r="N69" i="87"/>
  <c r="M69" i="87"/>
  <c r="K69" i="87"/>
  <c r="J69" i="87" s="1"/>
  <c r="D69" i="87"/>
  <c r="N68" i="87"/>
  <c r="M68" i="87"/>
  <c r="K68" i="87"/>
  <c r="J68" i="87"/>
  <c r="D68" i="87"/>
  <c r="N67" i="87"/>
  <c r="M67" i="87"/>
  <c r="K67" i="87"/>
  <c r="J67" i="87" s="1"/>
  <c r="D67" i="87"/>
  <c r="M66" i="87"/>
  <c r="N66" i="87" s="1"/>
  <c r="K66" i="87"/>
  <c r="J66" i="87" s="1"/>
  <c r="D66" i="87"/>
  <c r="N65" i="87"/>
  <c r="M65" i="87"/>
  <c r="K65" i="87"/>
  <c r="J65" i="87"/>
  <c r="D65" i="87"/>
  <c r="B65" i="87"/>
  <c r="N64" i="87"/>
  <c r="M64" i="87"/>
  <c r="K64" i="87"/>
  <c r="J64" i="87" s="1"/>
  <c r="H64" i="87"/>
  <c r="D64" i="87"/>
  <c r="N63" i="87"/>
  <c r="M63" i="87"/>
  <c r="K63" i="87"/>
  <c r="J63" i="87" s="1"/>
  <c r="D63" i="87"/>
  <c r="B63" i="87"/>
  <c r="N62" i="87"/>
  <c r="M62" i="87"/>
  <c r="K62" i="87"/>
  <c r="J62" i="87"/>
  <c r="H62" i="87"/>
  <c r="D62" i="87"/>
  <c r="M61" i="87"/>
  <c r="N61" i="87" s="1"/>
  <c r="K61" i="87"/>
  <c r="J61" i="87" s="1"/>
  <c r="H61" i="87"/>
  <c r="F61" i="87"/>
  <c r="D61" i="87"/>
  <c r="B61" i="87"/>
  <c r="N58" i="87"/>
  <c r="M58" i="87"/>
  <c r="K58" i="87"/>
  <c r="D58" i="87" s="1"/>
  <c r="J58" i="87"/>
  <c r="N57" i="87"/>
  <c r="M57" i="87"/>
  <c r="K57" i="87"/>
  <c r="J57" i="87"/>
  <c r="D57" i="87"/>
  <c r="M56" i="87"/>
  <c r="N56" i="87" s="1"/>
  <c r="K56" i="87"/>
  <c r="J56" i="87" s="1"/>
  <c r="D56" i="87"/>
  <c r="M55" i="87"/>
  <c r="N55" i="87" s="1"/>
  <c r="K55" i="87"/>
  <c r="J55" i="87" s="1"/>
  <c r="D55" i="87"/>
  <c r="N54" i="87"/>
  <c r="M54" i="87"/>
  <c r="K54" i="87"/>
  <c r="J54" i="87"/>
  <c r="D54" i="87"/>
  <c r="B54" i="87"/>
  <c r="M53" i="87"/>
  <c r="N53" i="87" s="1"/>
  <c r="K53" i="87"/>
  <c r="J53" i="87" s="1"/>
  <c r="D53" i="87"/>
  <c r="N52" i="87"/>
  <c r="M52" i="87"/>
  <c r="K52" i="87"/>
  <c r="D52" i="87" s="1"/>
  <c r="J52" i="87"/>
  <c r="B52" i="87"/>
  <c r="N51" i="87"/>
  <c r="M51" i="87"/>
  <c r="K51" i="87"/>
  <c r="J51" i="87"/>
  <c r="D51" i="87"/>
  <c r="N50" i="87"/>
  <c r="M50" i="87"/>
  <c r="K50" i="87"/>
  <c r="J50" i="87" s="1"/>
  <c r="D50" i="87"/>
  <c r="B50" i="87"/>
  <c r="G44" i="87"/>
  <c r="H42" i="87"/>
  <c r="F42" i="87"/>
  <c r="H41" i="87"/>
  <c r="H40" i="87"/>
  <c r="H39" i="87"/>
  <c r="H38" i="87"/>
  <c r="H37" i="87"/>
  <c r="P29" i="87"/>
  <c r="P28" i="87"/>
  <c r="C27" i="87"/>
  <c r="C25" i="87" s="1"/>
  <c r="P26" i="87"/>
  <c r="P25" i="87"/>
  <c r="M24" i="87"/>
  <c r="J24" i="87"/>
  <c r="I24" i="87"/>
  <c r="G24" i="87"/>
  <c r="E24" i="87"/>
  <c r="O32" i="87" s="1"/>
  <c r="O23" i="87"/>
  <c r="M23" i="87"/>
  <c r="I23" i="87"/>
  <c r="G23" i="87"/>
  <c r="P27" i="87" s="1"/>
  <c r="C23" i="87"/>
  <c r="C22" i="87"/>
  <c r="M21" i="87"/>
  <c r="H21" i="87"/>
  <c r="C20" i="87"/>
  <c r="G18" i="87"/>
  <c r="G17" i="87"/>
  <c r="C17" i="87"/>
  <c r="C13" i="87"/>
  <c r="AI10" i="87"/>
  <c r="AG10" i="87"/>
  <c r="AD10" i="87"/>
  <c r="AC10" i="87"/>
  <c r="Z10" i="87"/>
  <c r="Y10" i="87"/>
  <c r="C10" i="87"/>
  <c r="C11" i="87" s="1"/>
  <c r="AJ9" i="87"/>
  <c r="AJ10" i="87" s="1"/>
  <c r="AI9" i="87"/>
  <c r="AH9" i="87"/>
  <c r="AH10" i="87" s="1"/>
  <c r="AG9" i="87"/>
  <c r="AF9" i="87"/>
  <c r="AF10" i="87" s="1"/>
  <c r="AE9" i="87"/>
  <c r="AE10" i="87" s="1"/>
  <c r="AD9" i="87"/>
  <c r="AC9" i="87"/>
  <c r="AB9" i="87"/>
  <c r="AB10" i="87" s="1"/>
  <c r="AA9" i="87"/>
  <c r="AA10" i="87" s="1"/>
  <c r="Z9" i="87"/>
  <c r="C9" i="87"/>
  <c r="C7" i="87"/>
  <c r="S4" i="87"/>
  <c r="S3" i="87"/>
  <c r="G3" i="87"/>
  <c r="J26" i="87" s="1"/>
  <c r="I2" i="87"/>
  <c r="G2" i="87"/>
  <c r="F38" i="87" s="1"/>
  <c r="D1" i="87"/>
  <c r="C48" i="86"/>
  <c r="G41" i="86"/>
  <c r="F38" i="86"/>
  <c r="E37" i="86"/>
  <c r="F36" i="86"/>
  <c r="F35" i="86"/>
  <c r="F30" i="86"/>
  <c r="C30" i="86" s="1"/>
  <c r="G22" i="86"/>
  <c r="F21" i="86"/>
  <c r="F40" i="86" s="1"/>
  <c r="F20" i="86"/>
  <c r="F39" i="86" s="1"/>
  <c r="E19" i="86"/>
  <c r="C19" i="86"/>
  <c r="E10" i="86"/>
  <c r="E9" i="86"/>
  <c r="F7" i="86"/>
  <c r="H1" i="86"/>
  <c r="A120" i="85"/>
  <c r="A118" i="85"/>
  <c r="E111" i="85"/>
  <c r="H112" i="85" s="1"/>
  <c r="H109" i="85"/>
  <c r="D124" i="85" s="1"/>
  <c r="D125" i="85" s="1"/>
  <c r="E109" i="85"/>
  <c r="A124" i="85" s="1"/>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c r="O54" i="85"/>
  <c r="N54" i="85"/>
  <c r="F54" i="85"/>
  <c r="O53" i="85"/>
  <c r="N53" i="85"/>
  <c r="F53" i="85"/>
  <c r="F52" i="85"/>
  <c r="M49" i="85"/>
  <c r="L66" i="85" s="1"/>
  <c r="M66" i="85" s="1"/>
  <c r="K49" i="85"/>
  <c r="F48" i="85"/>
  <c r="O52" i="85" s="1"/>
  <c r="E48" i="85"/>
  <c r="N52" i="85" s="1"/>
  <c r="D48" i="85"/>
  <c r="M52" i="85" s="1"/>
  <c r="M47" i="85"/>
  <c r="C35" i="85"/>
  <c r="G118" i="85" s="1"/>
  <c r="C34" i="85"/>
  <c r="E118" i="85" s="1"/>
  <c r="F33" i="85"/>
  <c r="D27" i="85"/>
  <c r="C25" i="85"/>
  <c r="C24" i="85"/>
  <c r="C18" i="85"/>
  <c r="D18" i="85" s="1"/>
  <c r="D17" i="85"/>
  <c r="C17" i="85"/>
  <c r="L4" i="85"/>
  <c r="K4" i="85"/>
  <c r="A2" i="85"/>
  <c r="H1" i="85"/>
  <c r="A120" i="84"/>
  <c r="G118" i="84"/>
  <c r="A118"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C35" i="84"/>
  <c r="C34" i="84"/>
  <c r="E118" i="84" s="1"/>
  <c r="F33" i="84"/>
  <c r="D27" i="84"/>
  <c r="C25" i="84"/>
  <c r="C24" i="84"/>
  <c r="C18" i="84"/>
  <c r="D18" i="84" s="1"/>
  <c r="D17" i="84"/>
  <c r="C17" i="84"/>
  <c r="L4" i="84"/>
  <c r="K4" i="84"/>
  <c r="A2" i="84"/>
  <c r="H1" i="84"/>
  <c r="Q72" i="83"/>
  <c r="C62" i="83"/>
  <c r="C61" i="83"/>
  <c r="C60" i="83"/>
  <c r="Q59" i="83"/>
  <c r="K59" i="83"/>
  <c r="P74" i="83" s="1"/>
  <c r="Q58" i="83"/>
  <c r="Q51" i="83"/>
  <c r="J50" i="83"/>
  <c r="J51" i="83" s="1"/>
  <c r="J49" i="83"/>
  <c r="M47" i="83"/>
  <c r="D46" i="83"/>
  <c r="F34" i="83"/>
  <c r="F62" i="83" s="1"/>
  <c r="C34" i="83"/>
  <c r="F33" i="83"/>
  <c r="F61" i="83" s="1"/>
  <c r="C33" i="83"/>
  <c r="F32" i="83"/>
  <c r="F60" i="83" s="1"/>
  <c r="C32" i="83"/>
  <c r="F28" i="83"/>
  <c r="C28" i="83"/>
  <c r="F23" i="83"/>
  <c r="D24" i="83" s="1"/>
  <c r="D23" i="83"/>
  <c r="D22" i="83"/>
  <c r="F21" i="83"/>
  <c r="M20" i="83"/>
  <c r="F20" i="83"/>
  <c r="M19" i="83"/>
  <c r="M18" i="83"/>
  <c r="F18" i="83"/>
  <c r="F17" i="83"/>
  <c r="F15" i="83"/>
  <c r="AM8" i="1"/>
  <c r="AL8" i="1"/>
  <c r="AK8" i="1"/>
  <c r="AM7" i="1"/>
  <c r="AL7" i="1"/>
  <c r="AK7" i="1"/>
  <c r="J8" i="1"/>
  <c r="I8" i="1"/>
  <c r="H8" i="1"/>
  <c r="J7" i="1"/>
  <c r="I7" i="1"/>
  <c r="H7" i="1"/>
  <c r="Y8" i="1"/>
  <c r="Y7" i="1"/>
  <c r="W8" i="1"/>
  <c r="W7" i="1"/>
  <c r="V8" i="1"/>
  <c r="V7" i="1"/>
  <c r="Q8" i="1"/>
  <c r="Q7" i="1"/>
  <c r="N8" i="1"/>
  <c r="N7" i="1"/>
  <c r="L7" i="1"/>
  <c r="L8" i="1" s="1"/>
  <c r="F21" i="6"/>
  <c r="C48" i="82"/>
  <c r="G41" i="82"/>
  <c r="F38" i="82"/>
  <c r="E37" i="82"/>
  <c r="F36" i="82"/>
  <c r="F35" i="82"/>
  <c r="F30" i="82"/>
  <c r="F48" i="82" s="1"/>
  <c r="C30" i="82"/>
  <c r="G22" i="82"/>
  <c r="F21" i="82"/>
  <c r="F40" i="82" s="1"/>
  <c r="F20" i="82"/>
  <c r="F39" i="82" s="1"/>
  <c r="E19" i="82"/>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H94" i="81"/>
  <c r="D94" i="81"/>
  <c r="M93" i="81"/>
  <c r="N93" i="81" s="1"/>
  <c r="K93" i="81"/>
  <c r="J93" i="81"/>
  <c r="F93" i="81"/>
  <c r="H97" i="81" s="1"/>
  <c r="D93" i="81"/>
  <c r="N90" i="81"/>
  <c r="M90" i="81"/>
  <c r="K90" i="81"/>
  <c r="J90" i="81" s="1"/>
  <c r="H90" i="81"/>
  <c r="D90" i="81"/>
  <c r="B90" i="81"/>
  <c r="M89" i="81"/>
  <c r="N89" i="81" s="1"/>
  <c r="K89" i="81"/>
  <c r="J89" i="81"/>
  <c r="D89" i="81"/>
  <c r="M88" i="81"/>
  <c r="N88" i="81" s="1"/>
  <c r="K88" i="81"/>
  <c r="J88" i="81"/>
  <c r="D88" i="81"/>
  <c r="B88" i="81"/>
  <c r="N87" i="81"/>
  <c r="M87" i="81"/>
  <c r="K87" i="81"/>
  <c r="J87" i="81" s="1"/>
  <c r="H87" i="81"/>
  <c r="D87" i="81"/>
  <c r="B87" i="81"/>
  <c r="M86" i="81"/>
  <c r="N86" i="81" s="1"/>
  <c r="K86" i="81"/>
  <c r="J86" i="81"/>
  <c r="D86" i="81"/>
  <c r="E83" i="81" s="1"/>
  <c r="B81" i="81" s="1"/>
  <c r="B86" i="81"/>
  <c r="N85" i="81"/>
  <c r="M85" i="81"/>
  <c r="K85" i="81"/>
  <c r="J85" i="81" s="1"/>
  <c r="H85" i="81"/>
  <c r="D85" i="81"/>
  <c r="B85" i="81"/>
  <c r="M84" i="81"/>
  <c r="N84" i="81" s="1"/>
  <c r="K84" i="81"/>
  <c r="J84" i="81"/>
  <c r="D84" i="81"/>
  <c r="B84" i="81"/>
  <c r="N83" i="81"/>
  <c r="M83" i="81"/>
  <c r="K83" i="81"/>
  <c r="J83" i="81" s="1"/>
  <c r="H83" i="81"/>
  <c r="F83" i="81"/>
  <c r="H88" i="81" s="1"/>
  <c r="D83" i="81"/>
  <c r="B83" i="81"/>
  <c r="N80" i="81"/>
  <c r="M80" i="81"/>
  <c r="K80" i="81"/>
  <c r="J80" i="81" s="1"/>
  <c r="D80" i="81"/>
  <c r="N79" i="81"/>
  <c r="M79" i="81"/>
  <c r="K79" i="81"/>
  <c r="J79" i="81" s="1"/>
  <c r="H79" i="81"/>
  <c r="D79" i="81"/>
  <c r="M78" i="81"/>
  <c r="N78" i="81" s="1"/>
  <c r="K78" i="81"/>
  <c r="J78" i="81"/>
  <c r="D78" i="81"/>
  <c r="M77" i="81"/>
  <c r="N77" i="81" s="1"/>
  <c r="K77" i="81"/>
  <c r="J77" i="81"/>
  <c r="D77" i="81"/>
  <c r="N76" i="81"/>
  <c r="M76" i="81"/>
  <c r="K76" i="81"/>
  <c r="J76" i="81" s="1"/>
  <c r="H76" i="81"/>
  <c r="D76" i="81"/>
  <c r="M75" i="81"/>
  <c r="N75" i="81" s="1"/>
  <c r="K75" i="81"/>
  <c r="J75" i="81"/>
  <c r="D75" i="81"/>
  <c r="E72" i="81" s="1"/>
  <c r="B70" i="81" s="1"/>
  <c r="B75" i="81"/>
  <c r="N74" i="81"/>
  <c r="M74" i="81"/>
  <c r="K74" i="81"/>
  <c r="J74" i="81" s="1"/>
  <c r="H74" i="81"/>
  <c r="D74" i="81"/>
  <c r="B74" i="81"/>
  <c r="M73" i="81"/>
  <c r="N73" i="81" s="1"/>
  <c r="K73" i="81"/>
  <c r="J73" i="81"/>
  <c r="D73" i="81"/>
  <c r="N72" i="81"/>
  <c r="M72" i="81"/>
  <c r="K72" i="81"/>
  <c r="J72" i="81" s="1"/>
  <c r="H72" i="81"/>
  <c r="F72" i="81"/>
  <c r="H77" i="81" s="1"/>
  <c r="D72" i="81"/>
  <c r="B72" i="81"/>
  <c r="N69" i="81"/>
  <c r="M69" i="81"/>
  <c r="K69" i="81"/>
  <c r="J69" i="81" s="1"/>
  <c r="H69" i="81"/>
  <c r="D69" i="81"/>
  <c r="M68" i="81"/>
  <c r="N68" i="81" s="1"/>
  <c r="K68" i="81"/>
  <c r="J68" i="81"/>
  <c r="D68" i="81"/>
  <c r="N67" i="81"/>
  <c r="M67" i="81"/>
  <c r="K67" i="81"/>
  <c r="J67" i="81" s="1"/>
  <c r="H67" i="81"/>
  <c r="D67" i="81"/>
  <c r="M66" i="81"/>
  <c r="N66" i="81" s="1"/>
  <c r="K66" i="81"/>
  <c r="J66" i="81"/>
  <c r="D66" i="81"/>
  <c r="M65" i="81"/>
  <c r="N65" i="81" s="1"/>
  <c r="K65" i="81"/>
  <c r="J65" i="81"/>
  <c r="D65" i="81"/>
  <c r="B65" i="81"/>
  <c r="N64" i="81"/>
  <c r="M64" i="81"/>
  <c r="K64" i="81"/>
  <c r="J64" i="81" s="1"/>
  <c r="H64" i="81"/>
  <c r="D64" i="81"/>
  <c r="N63" i="81"/>
  <c r="M63" i="81"/>
  <c r="K63" i="81"/>
  <c r="J63" i="81" s="1"/>
  <c r="H63" i="81"/>
  <c r="D63" i="81"/>
  <c r="B63" i="81"/>
  <c r="M62" i="81"/>
  <c r="N62" i="81" s="1"/>
  <c r="K62" i="81"/>
  <c r="J62" i="81"/>
  <c r="D62" i="81"/>
  <c r="E61" i="81" s="1"/>
  <c r="B59" i="81" s="1"/>
  <c r="N61" i="81"/>
  <c r="M61" i="81"/>
  <c r="K61" i="81"/>
  <c r="J61" i="81" s="1"/>
  <c r="H61" i="81"/>
  <c r="F61" i="81"/>
  <c r="H68" i="81" s="1"/>
  <c r="D61" i="81"/>
  <c r="B61" i="81"/>
  <c r="N58" i="81"/>
  <c r="M58" i="81"/>
  <c r="K58" i="81"/>
  <c r="M57" i="81"/>
  <c r="N57" i="81" s="1"/>
  <c r="K57" i="81"/>
  <c r="J57" i="81"/>
  <c r="D57" i="81"/>
  <c r="N56" i="81"/>
  <c r="M56" i="81"/>
  <c r="K56" i="81"/>
  <c r="M55" i="81"/>
  <c r="N55" i="81" s="1"/>
  <c r="K55" i="81"/>
  <c r="J55" i="81"/>
  <c r="D55" i="81"/>
  <c r="M54" i="81"/>
  <c r="N54" i="81" s="1"/>
  <c r="K54" i="81"/>
  <c r="J54" i="81"/>
  <c r="D54" i="81"/>
  <c r="B54" i="81"/>
  <c r="N53" i="81"/>
  <c r="M53" i="81"/>
  <c r="K53" i="81"/>
  <c r="N52" i="81"/>
  <c r="M52" i="81"/>
  <c r="K52" i="81"/>
  <c r="B52" i="81"/>
  <c r="M51" i="81"/>
  <c r="N51" i="81" s="1"/>
  <c r="K51" i="81"/>
  <c r="J51" i="81"/>
  <c r="D51" i="81"/>
  <c r="N50" i="81"/>
  <c r="M50" i="81"/>
  <c r="K50" i="81"/>
  <c r="J50" i="81" s="1"/>
  <c r="D50" i="81"/>
  <c r="B50" i="81"/>
  <c r="G44" i="81"/>
  <c r="H42" i="81"/>
  <c r="H41" i="81"/>
  <c r="H40" i="81"/>
  <c r="H39" i="81"/>
  <c r="H38" i="81"/>
  <c r="H37" i="81"/>
  <c r="N32" i="81"/>
  <c r="P29" i="81"/>
  <c r="P25" i="81"/>
  <c r="M24" i="81"/>
  <c r="J24" i="81"/>
  <c r="G24" i="81"/>
  <c r="E44" i="81" s="1"/>
  <c r="C44" i="81" s="1"/>
  <c r="E24" i="81"/>
  <c r="O23" i="81"/>
  <c r="M23" i="81"/>
  <c r="I23" i="81"/>
  <c r="G23" i="81"/>
  <c r="P28" i="81" s="1"/>
  <c r="C23" i="81"/>
  <c r="C22" i="81"/>
  <c r="C20" i="81"/>
  <c r="G18" i="81"/>
  <c r="G17" i="81"/>
  <c r="C17" i="81"/>
  <c r="C13" i="81"/>
  <c r="AH10" i="81"/>
  <c r="AD10" i="81"/>
  <c r="Z10" i="81"/>
  <c r="Y10" i="81"/>
  <c r="C10" i="81"/>
  <c r="C11" i="81" s="1"/>
  <c r="AJ9" i="81"/>
  <c r="AJ10" i="81" s="1"/>
  <c r="AI9" i="81"/>
  <c r="AI10" i="81" s="1"/>
  <c r="AH9" i="81"/>
  <c r="AG9" i="81"/>
  <c r="AG10" i="81" s="1"/>
  <c r="AF9" i="81"/>
  <c r="AF10" i="81" s="1"/>
  <c r="AE9" i="81"/>
  <c r="AE10" i="81" s="1"/>
  <c r="AD9" i="81"/>
  <c r="AC9" i="81"/>
  <c r="AC10" i="81" s="1"/>
  <c r="AB9" i="81"/>
  <c r="AB10" i="81" s="1"/>
  <c r="AA9" i="81"/>
  <c r="AA10" i="81" s="1"/>
  <c r="Z9" i="81"/>
  <c r="C9" i="81"/>
  <c r="C7" i="81"/>
  <c r="G3" i="81"/>
  <c r="E26" i="81" s="1"/>
  <c r="I2" i="81"/>
  <c r="G2" i="81"/>
  <c r="F39" i="81" s="1"/>
  <c r="D1" i="81"/>
  <c r="B26" i="31"/>
  <c r="B25" i="31"/>
  <c r="U7" i="1"/>
  <c r="U8" i="1" s="1"/>
  <c r="G44" i="43"/>
  <c r="J49" i="67"/>
  <c r="B59" i="1"/>
  <c r="Y6" i="1"/>
  <c r="N20" i="1"/>
  <c r="B21" i="1"/>
  <c r="C15" i="3"/>
  <c r="A26" i="31" s="1"/>
  <c r="C14" i="3"/>
  <c r="A25" i="31" s="1"/>
  <c r="C13" i="3"/>
  <c r="A24" i="31" s="1"/>
  <c r="I15" i="3"/>
  <c r="I14" i="3"/>
  <c r="F20" i="6" s="1"/>
  <c r="I13" i="3"/>
  <c r="B24" i="31" s="1"/>
  <c r="I21" i="80"/>
  <c r="I15" i="80"/>
  <c r="I6" i="80"/>
  <c r="D3" i="4"/>
  <c r="G14" i="73"/>
  <c r="F14" i="73"/>
  <c r="E14" i="73"/>
  <c r="G15" i="73"/>
  <c r="F15" i="73"/>
  <c r="E15" i="73"/>
  <c r="E2" i="82"/>
  <c r="E2" i="86"/>
  <c r="Z7" i="87" l="1"/>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C44" i="87" s="1"/>
  <c r="C2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E50" i="87"/>
  <c r="B48" i="87" s="1"/>
  <c r="C28" i="87" s="1"/>
  <c r="M1" i="87"/>
  <c r="H116" i="87"/>
  <c r="F41" i="87"/>
  <c r="F39" i="87"/>
  <c r="N21" i="87"/>
  <c r="J21" i="87"/>
  <c r="E21" i="87"/>
  <c r="S2" i="87"/>
  <c r="H26" i="87"/>
  <c r="N4" i="87"/>
  <c r="S5" i="87"/>
  <c r="M6" i="87"/>
  <c r="N9" i="87"/>
  <c r="M10" i="87"/>
  <c r="M11" i="87"/>
  <c r="L21" i="87"/>
  <c r="E26" i="87"/>
  <c r="D26" i="87" s="1"/>
  <c r="P32" i="87"/>
  <c r="F37" i="87"/>
  <c r="E61" i="87"/>
  <c r="B59" i="87" s="1"/>
  <c r="H67" i="87"/>
  <c r="H100" i="87"/>
  <c r="B116" i="87"/>
  <c r="H75" i="87"/>
  <c r="H78" i="87"/>
  <c r="H86" i="87"/>
  <c r="H89" i="87"/>
  <c r="H74" i="87"/>
  <c r="H80" i="87"/>
  <c r="H85" i="87"/>
  <c r="H73" i="87"/>
  <c r="H84" i="87"/>
  <c r="F48" i="86"/>
  <c r="C40" i="86"/>
  <c r="C21" i="86"/>
  <c r="C92" i="85"/>
  <c r="C94" i="85"/>
  <c r="D121" i="85"/>
  <c r="K120" i="85"/>
  <c r="L63" i="85"/>
  <c r="M63" i="85" s="1"/>
  <c r="M69" i="85" s="1"/>
  <c r="N69" i="85" s="1"/>
  <c r="L65" i="85"/>
  <c r="M65" i="85" s="1"/>
  <c r="H111" i="85"/>
  <c r="D126" i="85" s="1"/>
  <c r="D127" i="85" s="1"/>
  <c r="A126" i="85"/>
  <c r="L67" i="85"/>
  <c r="M67" i="85" s="1"/>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C21" i="81"/>
  <c r="I21" i="81"/>
  <c r="O21" i="81"/>
  <c r="C27" i="81"/>
  <c r="C25" i="81" s="1"/>
  <c r="N6" i="81"/>
  <c r="M8" i="81"/>
  <c r="N1" i="81"/>
  <c r="M7" i="81"/>
  <c r="F37" i="81"/>
  <c r="F40" i="81"/>
  <c r="J52" i="81"/>
  <c r="D52" i="81"/>
  <c r="D53" i="81"/>
  <c r="J53" i="81"/>
  <c r="J58" i="81"/>
  <c r="D58" i="81"/>
  <c r="N2" i="81"/>
  <c r="S3" i="81"/>
  <c r="M4" i="81"/>
  <c r="N5" i="81"/>
  <c r="C6" i="81"/>
  <c r="N7" i="81"/>
  <c r="Z7" i="81"/>
  <c r="M9" i="81"/>
  <c r="M12" i="81"/>
  <c r="D21" i="81"/>
  <c r="K21" i="81"/>
  <c r="P32" i="81"/>
  <c r="E93" i="81"/>
  <c r="B91" i="81" s="1"/>
  <c r="H116" i="81"/>
  <c r="F50" i="81"/>
  <c r="N21" i="81"/>
  <c r="J21" i="81"/>
  <c r="E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P27" i="81"/>
  <c r="H66" i="81"/>
  <c r="H75" i="81"/>
  <c r="H78" i="81"/>
  <c r="H86" i="81"/>
  <c r="H89" i="81"/>
  <c r="H80" i="81"/>
  <c r="P26"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G21" i="87" l="1"/>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D116" i="87" l="1"/>
  <c r="C42" i="87"/>
  <c r="C40" i="87"/>
  <c r="C38" i="87"/>
  <c r="C37" i="87"/>
  <c r="C39" i="87"/>
  <c r="C41" i="87"/>
  <c r="T15" i="87"/>
  <c r="V15" i="87" s="1"/>
  <c r="T13" i="87"/>
  <c r="V13" i="87" s="1"/>
  <c r="T14" i="87"/>
  <c r="V14" i="87" s="1"/>
  <c r="T12" i="87"/>
  <c r="V12" i="87" s="1"/>
  <c r="T7" i="87"/>
  <c r="V7" i="87" s="1"/>
  <c r="T3" i="87"/>
  <c r="T9" i="87"/>
  <c r="V9" i="87" s="1"/>
  <c r="T2" i="87"/>
  <c r="V2" i="87" s="1"/>
  <c r="T16" i="87"/>
  <c r="V16" i="87" s="1"/>
  <c r="T8" i="87"/>
  <c r="V8" i="87" s="1"/>
  <c r="T6" i="87"/>
  <c r="V6" i="87" s="1"/>
  <c r="C33" i="87"/>
  <c r="E33" i="87" s="1"/>
  <c r="T10" i="87"/>
  <c r="V10" i="87" s="1"/>
  <c r="T4" i="87"/>
  <c r="V4" i="87" s="1"/>
  <c r="T11" i="87"/>
  <c r="V11" i="87" s="1"/>
  <c r="T5" i="87"/>
  <c r="V5" i="87" s="1"/>
  <c r="L66" i="84"/>
  <c r="M66" i="84" s="1"/>
  <c r="L64" i="84"/>
  <c r="M64" i="84" s="1"/>
  <c r="L68" i="84"/>
  <c r="M68" i="84" s="1"/>
  <c r="L67" i="84"/>
  <c r="M67" i="84" s="1"/>
  <c r="L65" i="84"/>
  <c r="M65" i="84" s="1"/>
  <c r="L63" i="84"/>
  <c r="M63" i="84" s="1"/>
  <c r="M69" i="84" s="1"/>
  <c r="N69" i="84" s="1"/>
  <c r="C41" i="81"/>
  <c r="C42" i="81"/>
  <c r="D116" i="81"/>
  <c r="I31" i="79"/>
  <c r="I30" i="79"/>
  <c r="N30" i="79"/>
  <c r="M30" i="79"/>
  <c r="P30" i="79" s="1"/>
  <c r="L30" i="79"/>
  <c r="N31" i="79"/>
  <c r="M31" i="79"/>
  <c r="L31" i="79"/>
  <c r="O7" i="79"/>
  <c r="N7" i="79"/>
  <c r="M7" i="79"/>
  <c r="P7" i="79" s="1"/>
  <c r="L7" i="79"/>
  <c r="K7" i="79"/>
  <c r="O8" i="79"/>
  <c r="N8" i="79"/>
  <c r="M8" i="79"/>
  <c r="P8" i="79" s="1"/>
  <c r="L8" i="79"/>
  <c r="K8" i="79"/>
  <c r="G38" i="87" l="1"/>
  <c r="I38" i="87" s="1"/>
  <c r="E38" i="87"/>
  <c r="E41" i="87"/>
  <c r="G41" i="87"/>
  <c r="I41" i="87" s="1"/>
  <c r="G40" i="87"/>
  <c r="I40" i="87" s="1"/>
  <c r="E40" i="87"/>
  <c r="E39" i="87"/>
  <c r="G39" i="87"/>
  <c r="I39" i="87" s="1"/>
  <c r="G42" i="87"/>
  <c r="I42" i="87" s="1"/>
  <c r="E42" i="87"/>
  <c r="G37" i="87"/>
  <c r="I37" i="87" s="1"/>
  <c r="E37" i="87"/>
  <c r="E42" i="81"/>
  <c r="G42" i="81"/>
  <c r="I42" i="81" s="1"/>
  <c r="G41" i="81"/>
  <c r="I41" i="81" s="1"/>
  <c r="E41" i="8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O35" i="71"/>
  <c r="N35" i="71"/>
  <c r="X35" i="71" s="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C30" i="71" s="1"/>
  <c r="N29" i="71"/>
  <c r="D29" i="71"/>
  <c r="O28" i="71"/>
  <c r="N28" i="71"/>
  <c r="B28" i="71" s="1"/>
  <c r="B27" i="71" s="1"/>
  <c r="B26" i="71" s="1"/>
  <c r="B30" i="71"/>
  <c r="B31" i="71" s="1"/>
  <c r="B32" i="71" s="1"/>
  <c r="S32" i="71" s="1"/>
  <c r="E30" i="71"/>
  <c r="E31" i="71"/>
  <c r="E32" i="71" s="1"/>
  <c r="U32" i="71" s="1"/>
  <c r="B34" i="71"/>
  <c r="B40" i="71"/>
  <c r="S40" i="71" s="1"/>
  <c r="E38" i="71"/>
  <c r="E39" i="71" s="1"/>
  <c r="E40" i="71" s="1"/>
  <c r="U40" i="71" s="1"/>
  <c r="AA37" i="71"/>
  <c r="N68" i="71"/>
  <c r="C34" i="71"/>
  <c r="AA35" i="71"/>
  <c r="C38" i="71"/>
  <c r="D38" i="71" s="1"/>
  <c r="X38" i="71"/>
  <c r="C28" i="71"/>
  <c r="X25" i="71"/>
  <c r="X26" i="71"/>
  <c r="C39" i="71"/>
  <c r="C43" i="71"/>
  <c r="C51" i="71"/>
  <c r="P28" i="71"/>
  <c r="E28" i="71" s="1"/>
  <c r="E63" i="71"/>
  <c r="E64" i="71" s="1"/>
  <c r="U64" i="71" s="1"/>
  <c r="E67" i="71"/>
  <c r="Q28" i="71"/>
  <c r="C59" i="71"/>
  <c r="D58" i="71"/>
  <c r="N67" i="71"/>
  <c r="B66" i="71"/>
  <c r="N65" i="71" s="1"/>
  <c r="O68" i="71"/>
  <c r="D68" i="71"/>
  <c r="C71" i="71"/>
  <c r="C70" i="71" s="1"/>
  <c r="D70" i="71" s="1"/>
  <c r="E71" i="71"/>
  <c r="E70" i="71" s="1"/>
  <c r="D72" i="71"/>
  <c r="E75" i="71"/>
  <c r="E74" i="71" s="1"/>
  <c r="C79" i="71"/>
  <c r="D79" i="71" s="1"/>
  <c r="E79" i="71"/>
  <c r="E78" i="71" s="1"/>
  <c r="D80" i="71"/>
  <c r="C83" i="71"/>
  <c r="D83" i="71" s="1"/>
  <c r="C87" i="71"/>
  <c r="S28" i="71"/>
  <c r="AA27" i="71"/>
  <c r="C82" i="71"/>
  <c r="D82" i="71" s="1"/>
  <c r="N66" i="71"/>
  <c r="C78" i="71"/>
  <c r="D78" i="71" s="1"/>
  <c r="D71" i="71"/>
  <c r="P67" i="71"/>
  <c r="E66" i="71"/>
  <c r="P65" i="71" s="1"/>
  <c r="C44" i="71"/>
  <c r="D44" i="71" s="1"/>
  <c r="D43"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S25" i="40"/>
  <c r="S18" i="36"/>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5" i="40"/>
  <c r="W29" i="39"/>
  <c r="U21" i="37"/>
  <c r="S21" i="37"/>
  <c r="AC18" i="35"/>
  <c r="J21" i="37"/>
  <c r="G84" i="34"/>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R25" i="31" s="1"/>
  <c r="S25" i="31" s="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L16" i="3" s="1"/>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I5" i="3" s="1"/>
  <c r="BJ14" i="3"/>
  <c r="BK14" i="3"/>
  <c r="BB15" i="3"/>
  <c r="BC15" i="3"/>
  <c r="BC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F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E123" i="33" s="1"/>
  <c r="F123" i="33" s="1"/>
  <c r="D117" i="33"/>
  <c r="E117" i="33"/>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s="1"/>
  <c r="J39" i="33"/>
  <c r="AC39" i="33" s="1"/>
  <c r="Q38" i="33"/>
  <c r="Z38" i="33" s="1"/>
  <c r="H38" i="33"/>
  <c r="AB38" i="33" s="1"/>
  <c r="Q37" i="33"/>
  <c r="Z37" i="33" s="1"/>
  <c r="Q36" i="33"/>
  <c r="Z36" i="33"/>
  <c r="Q35" i="33"/>
  <c r="Z35" i="33" s="1"/>
  <c r="H35" i="33"/>
  <c r="AB35" i="33" s="1"/>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U34" i="34"/>
  <c r="H39" i="33"/>
  <c r="AB39" i="33" s="1"/>
  <c r="F26" i="33"/>
  <c r="AA26" i="33" s="1"/>
  <c r="U35" i="33"/>
  <c r="S40" i="33"/>
  <c r="H39" i="37"/>
  <c r="AB39" i="37" s="1"/>
  <c r="S27" i="35"/>
  <c r="F11" i="40"/>
  <c r="AA11" i="40"/>
  <c r="H11" i="40"/>
  <c r="AB11" i="40"/>
  <c r="U9" i="40"/>
  <c r="U38" i="40"/>
  <c r="W31" i="40"/>
  <c r="U34"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AC15" i="34" s="1"/>
  <c r="H15" i="34"/>
  <c r="AB15" i="34" s="1"/>
  <c r="F41" i="33"/>
  <c r="AA41" i="33" s="1"/>
  <c r="E113" i="33"/>
  <c r="F32" i="33"/>
  <c r="AA32" i="33" s="1"/>
  <c r="J19" i="33"/>
  <c r="W19" i="33" s="1"/>
  <c r="J15" i="33"/>
  <c r="AC15" i="33" s="1"/>
  <c r="F11" i="33"/>
  <c r="AA11" i="33" s="1"/>
  <c r="U40" i="33"/>
  <c r="W40" i="33"/>
  <c r="F37" i="40"/>
  <c r="AA37" i="40"/>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c r="M113" i="33" s="1"/>
  <c r="H37" i="33"/>
  <c r="AB37" i="33" s="1"/>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s="1"/>
  <c r="J31" i="33"/>
  <c r="W31" i="33" s="1"/>
  <c r="H31" i="33"/>
  <c r="F31" i="33"/>
  <c r="H45" i="33"/>
  <c r="J45" i="33"/>
  <c r="W45" i="33" s="1"/>
  <c r="F45" i="33"/>
  <c r="S45" i="33" s="1"/>
  <c r="AA45" i="33"/>
  <c r="J14" i="34"/>
  <c r="W14" i="34" s="1"/>
  <c r="F14" i="34"/>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c r="J13" i="37"/>
  <c r="W13" i="37" s="1"/>
  <c r="F28" i="37"/>
  <c r="AA28" i="37" s="1"/>
  <c r="J28" i="37"/>
  <c r="AC28" i="37"/>
  <c r="H28" i="37"/>
  <c r="H38" i="37"/>
  <c r="AB38" i="37"/>
  <c r="J38" i="37"/>
  <c r="AC38" i="37" s="1"/>
  <c r="F38" i="37"/>
  <c r="S38" i="37" s="1"/>
  <c r="F43" i="39"/>
  <c r="AA43" i="39" s="1"/>
  <c r="H43" i="39"/>
  <c r="J14" i="39"/>
  <c r="AC14" i="39" s="1"/>
  <c r="H14" i="39"/>
  <c r="AB14" i="39" s="1"/>
  <c r="F12" i="40"/>
  <c r="S12" i="40" s="1"/>
  <c r="H12" i="40"/>
  <c r="AB12" i="40"/>
  <c r="H30" i="40"/>
  <c r="AB30" i="40" s="1"/>
  <c r="F33" i="40"/>
  <c r="AA33" i="40"/>
  <c r="H33" i="40"/>
  <c r="U33" i="40" s="1"/>
  <c r="J35" i="40"/>
  <c r="AC35" i="40"/>
  <c r="J37" i="40"/>
  <c r="AC37" i="40" s="1"/>
  <c r="H13" i="40"/>
  <c r="U13" i="40" s="1"/>
  <c r="J13" i="40"/>
  <c r="W13" i="40" s="1"/>
  <c r="F13" i="40"/>
  <c r="AA13" i="40"/>
  <c r="F14" i="37"/>
  <c r="S14" i="37" s="1"/>
  <c r="F27" i="37"/>
  <c r="AA27" i="37"/>
  <c r="F13" i="39"/>
  <c r="AA13" i="39" s="1"/>
  <c r="J13" i="39"/>
  <c r="W13" i="39" s="1"/>
  <c r="H13" i="39"/>
  <c r="H14" i="40"/>
  <c r="AB14" i="40"/>
  <c r="J14" i="40"/>
  <c r="W14" i="40" s="1"/>
  <c r="F14" i="40"/>
  <c r="AA14" i="40"/>
  <c r="J14" i="37"/>
  <c r="J27" i="37"/>
  <c r="AC27" i="37"/>
  <c r="U46" i="33"/>
  <c r="AA14" i="33"/>
  <c r="J36" i="37"/>
  <c r="AC36" i="37"/>
  <c r="J10" i="36"/>
  <c r="AC10" i="36" s="1"/>
  <c r="AA14" i="37"/>
  <c r="W31" i="34"/>
  <c r="AB46" i="34"/>
  <c r="AA14" i="34"/>
  <c r="AC28" i="21"/>
  <c r="S44" i="34"/>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0" i="3"/>
  <c r="G576" i="3"/>
  <c r="G572" i="3"/>
  <c r="G568"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BA552" i="3"/>
  <c r="AZ552" i="3"/>
  <c r="BA548" i="3"/>
  <c r="BA544" i="3"/>
  <c r="AZ544" i="3"/>
  <c r="BA542" i="3"/>
  <c r="AZ542" i="3" s="1"/>
  <c r="BA540" i="3"/>
  <c r="BA538" i="3"/>
  <c r="AZ538" i="3"/>
  <c r="BA534" i="3"/>
  <c r="BA530" i="3"/>
  <c r="BA528" i="3"/>
  <c r="BA524" i="3"/>
  <c r="BA522" i="3"/>
  <c r="BA520" i="3"/>
  <c r="BA516" i="3"/>
  <c r="BA514" i="3"/>
  <c r="BA512" i="3"/>
  <c r="AZ512" i="3" s="1"/>
  <c r="BA510" i="3"/>
  <c r="AZ510" i="3" s="1"/>
  <c r="BA508" i="3"/>
  <c r="AZ508" i="3" s="1"/>
  <c r="BA504" i="3"/>
  <c r="AZ504" i="3"/>
  <c r="BA502" i="3"/>
  <c r="BA498" i="3"/>
  <c r="BA496" i="3"/>
  <c r="BA583" i="3"/>
  <c r="BA579" i="3"/>
  <c r="BA577" i="3"/>
  <c r="BA575" i="3"/>
  <c r="BA571" i="3"/>
  <c r="BA569" i="3"/>
  <c r="BA567" i="3"/>
  <c r="BA563" i="3"/>
  <c r="BA561" i="3"/>
  <c r="BA559" i="3"/>
  <c r="AZ559" i="3" s="1"/>
  <c r="BA553" i="3"/>
  <c r="BA549" i="3"/>
  <c r="BA547" i="3"/>
  <c r="BA543" i="3"/>
  <c r="BA541" i="3"/>
  <c r="BA539" i="3"/>
  <c r="BA535" i="3"/>
  <c r="BA533" i="3"/>
  <c r="BA531" i="3"/>
  <c r="BA527" i="3"/>
  <c r="AZ527" i="3" s="1"/>
  <c r="BA525" i="3"/>
  <c r="BA523" i="3"/>
  <c r="BA517" i="3"/>
  <c r="BA515" i="3"/>
  <c r="BA513" i="3"/>
  <c r="AZ513" i="3" s="1"/>
  <c r="BA507" i="3"/>
  <c r="BA505" i="3"/>
  <c r="BA503" i="3"/>
  <c r="AZ503" i="3" s="1"/>
  <c r="BA499" i="3"/>
  <c r="BA497" i="3"/>
  <c r="AZ497" i="3" s="1"/>
  <c r="BA495" i="3"/>
  <c r="G583" i="3"/>
  <c r="G581" i="3"/>
  <c r="G579" i="3"/>
  <c r="G577" i="3"/>
  <c r="G575" i="3"/>
  <c r="G573" i="3"/>
  <c r="G571" i="3"/>
  <c r="G569" i="3"/>
  <c r="G567" i="3"/>
  <c r="G565" i="3"/>
  <c r="G561" i="3"/>
  <c r="BL558" i="3"/>
  <c r="BA557" i="3"/>
  <c r="AZ557" i="3" s="1"/>
  <c r="AC557" i="3"/>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AZ561" i="3" s="1"/>
  <c r="BQ559" i="3"/>
  <c r="BL559" i="3" s="1"/>
  <c r="G559" i="3"/>
  <c r="G555" i="3"/>
  <c r="G553" i="3"/>
  <c r="G549" i="3"/>
  <c r="G545" i="3"/>
  <c r="G543" i="3"/>
  <c r="G541" i="3"/>
  <c r="G537" i="3"/>
  <c r="BQ555" i="3"/>
  <c r="BL555" i="3"/>
  <c r="BQ553" i="3"/>
  <c r="BQ551" i="3"/>
  <c r="BL551" i="3"/>
  <c r="BQ549" i="3"/>
  <c r="BQ547" i="3"/>
  <c r="BL547" i="3" s="1"/>
  <c r="BQ545" i="3"/>
  <c r="BL545" i="3"/>
  <c r="BQ543" i="3"/>
  <c r="BQ541" i="3"/>
  <c r="BL541" i="3"/>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c r="BL520" i="3"/>
  <c r="G519" i="3"/>
  <c r="G517" i="3"/>
  <c r="G515" i="3"/>
  <c r="G513" i="3"/>
  <c r="G511" i="3"/>
  <c r="BQ519" i="3"/>
  <c r="BL519" i="3" s="1"/>
  <c r="BQ517" i="3"/>
  <c r="BQ515" i="3"/>
  <c r="BL515" i="3" s="1"/>
  <c r="AZ515" i="3" s="1"/>
  <c r="BQ513" i="3"/>
  <c r="BL513" i="3"/>
  <c r="BQ511" i="3"/>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c r="S28" i="31"/>
  <c r="S27" i="31"/>
  <c r="U14" i="40"/>
  <c r="U39" i="37"/>
  <c r="U26" i="37"/>
  <c r="W47" i="34"/>
  <c r="AC36" i="34"/>
  <c r="AC31" i="33"/>
  <c r="AC45" i="33"/>
  <c r="W44"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44" i="3"/>
  <c r="AZ168" i="3"/>
  <c r="AZ176" i="3"/>
  <c r="AZ184" i="3"/>
  <c r="AZ97" i="3"/>
  <c r="AZ120" i="3"/>
  <c r="G534" i="3"/>
  <c r="G530" i="3"/>
  <c r="G522" i="3"/>
  <c r="G516" i="3"/>
  <c r="G512" i="3"/>
  <c r="G506" i="3"/>
  <c r="G498" i="3"/>
  <c r="G494" i="3"/>
  <c r="G16"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29" i="3"/>
  <c r="AZ233" i="3"/>
  <c r="AZ249" i="3"/>
  <c r="BA379" i="3"/>
  <c r="AZ379" i="3" s="1"/>
  <c r="BL380" i="3"/>
  <c r="G381" i="3"/>
  <c r="BA383" i="3"/>
  <c r="AZ383" i="3" s="1"/>
  <c r="BL384" i="3"/>
  <c r="G385" i="3"/>
  <c r="BA387" i="3"/>
  <c r="BL388" i="3"/>
  <c r="AZ388" i="3" s="1"/>
  <c r="G389" i="3"/>
  <c r="BA391" i="3"/>
  <c r="BL392" i="3"/>
  <c r="AZ392" i="3" s="1"/>
  <c r="G393" i="3"/>
  <c r="AZ275" i="3"/>
  <c r="BO5" i="3"/>
  <c r="BJ5" i="3"/>
  <c r="BF5" i="3"/>
  <c r="BD5" i="3"/>
  <c r="AZ325" i="3"/>
  <c r="AZ341" i="3"/>
  <c r="AC5" i="3"/>
  <c r="G548" i="3"/>
  <c r="G538" i="3"/>
  <c r="G520" i="3"/>
  <c r="G502" i="3"/>
  <c r="BS5" i="3"/>
  <c r="BP5" i="3"/>
  <c r="BN5" i="3"/>
  <c r="BG5" i="3"/>
  <c r="BE5" i="3"/>
  <c r="G17" i="3"/>
  <c r="BA17" i="3"/>
  <c r="AZ356" i="3"/>
  <c r="AZ368" i="3"/>
  <c r="BA15" i="3"/>
  <c r="BR5" i="3"/>
  <c r="AZ509" i="3"/>
  <c r="G509" i="3"/>
  <c r="BL493" i="3"/>
  <c r="U36" i="40"/>
  <c r="F83" i="43"/>
  <c r="H85" i="43" s="1"/>
  <c r="F50" i="43"/>
  <c r="H54" i="43" s="1"/>
  <c r="F72" i="43"/>
  <c r="H75" i="43" s="1"/>
  <c r="U17" i="39"/>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1"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U30" i="33"/>
  <c r="AC13" i="34"/>
  <c r="AA47" i="34"/>
  <c r="W28" i="37"/>
  <c r="S19" i="39"/>
  <c r="F12" i="33"/>
  <c r="H12" i="39"/>
  <c r="U12" i="39" s="1"/>
  <c r="AB12" i="39"/>
  <c r="F39" i="40"/>
  <c r="AZ189" i="3"/>
  <c r="B12" i="1"/>
  <c r="E12" i="1" s="1"/>
  <c r="B10" i="1"/>
  <c r="E10" i="1" s="1"/>
  <c r="K12" i="1"/>
  <c r="M12" i="1" s="1"/>
  <c r="S13" i="1"/>
  <c r="AR13" i="1" s="1"/>
  <c r="R13" i="1"/>
  <c r="J51" i="67"/>
  <c r="B41" i="1"/>
  <c r="F48" i="9" s="1"/>
  <c r="O52" i="9" s="1"/>
  <c r="AB37" i="40"/>
  <c r="S35" i="40"/>
  <c r="U35" i="40"/>
  <c r="AC36" i="40"/>
  <c r="W38" i="40"/>
  <c r="AA32" i="40"/>
  <c r="S23" i="40"/>
  <c r="AC17" i="40"/>
  <c r="AC15" i="40"/>
  <c r="S28" i="40"/>
  <c r="U21" i="40"/>
  <c r="AB19" i="40"/>
  <c r="U37" i="39"/>
  <c r="S43" i="39"/>
  <c r="U35"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S32" i="37"/>
  <c r="AB31" i="37"/>
  <c r="W30" i="37"/>
  <c r="S36" i="37"/>
  <c r="U32" i="37"/>
  <c r="W38" i="37"/>
  <c r="AC35" i="37"/>
  <c r="W39" i="37"/>
  <c r="S30" i="37"/>
  <c r="AC15" i="37"/>
  <c r="J17" i="37"/>
  <c r="W17" i="37"/>
  <c r="G73" i="37"/>
  <c r="F17" i="37"/>
  <c r="F75" i="37"/>
  <c r="F19" i="37"/>
  <c r="S19" i="37" s="1"/>
  <c r="F79" i="37"/>
  <c r="G79" i="37" s="1"/>
  <c r="F23" i="37"/>
  <c r="S23" i="37" s="1"/>
  <c r="U23" i="37"/>
  <c r="U15" i="37"/>
  <c r="AC13" i="37"/>
  <c r="AA13" i="37"/>
  <c r="H10" i="37"/>
  <c r="AB10" i="37" s="1"/>
  <c r="F63" i="37"/>
  <c r="F11" i="37"/>
  <c r="S11" i="37" s="1"/>
  <c r="AB8" i="34"/>
  <c r="AA33" i="34"/>
  <c r="U43" i="34"/>
  <c r="AC39" i="34"/>
  <c r="AC42" i="34"/>
  <c r="AB35" i="34"/>
  <c r="U39" i="34"/>
  <c r="AB41" i="34"/>
  <c r="AA45" i="34"/>
  <c r="AA25" i="34"/>
  <c r="S17" i="34"/>
  <c r="AA29" i="34"/>
  <c r="S23" i="34"/>
  <c r="U15" i="34"/>
  <c r="S13" i="34"/>
  <c r="H10" i="34"/>
  <c r="AB10" i="34" s="1"/>
  <c r="F11" i="34"/>
  <c r="S11" i="34" s="1"/>
  <c r="F70" i="34"/>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S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7" i="37"/>
  <c r="S28" i="37"/>
  <c r="W32" i="37"/>
  <c r="S40" i="37"/>
  <c r="U38" i="37"/>
  <c r="AB37" i="37"/>
  <c r="AC34" i="37"/>
  <c r="U19" i="37"/>
  <c r="AA29" i="37"/>
  <c r="U8" i="37"/>
  <c r="AA40" i="34"/>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S12" i="33"/>
  <c r="AA12" i="33"/>
  <c r="J32" i="39"/>
  <c r="H32" i="39"/>
  <c r="AB32" i="39" s="1"/>
  <c r="AA32" i="39"/>
  <c r="AA21" i="39"/>
  <c r="S21" i="39"/>
  <c r="AC17" i="37"/>
  <c r="J19" i="37"/>
  <c r="W19" i="37" s="1"/>
  <c r="G75" i="37"/>
  <c r="AA23" i="37"/>
  <c r="J23"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AA23" i="21"/>
  <c r="AB15" i="21"/>
  <c r="J23" i="21"/>
  <c r="AC23" i="21" s="1"/>
  <c r="F85" i="21"/>
  <c r="G85" i="21" s="1"/>
  <c r="H23" i="21"/>
  <c r="AB23" i="21" s="1"/>
  <c r="D6" i="52"/>
  <c r="AP7" i="1"/>
  <c r="AB45" i="21"/>
  <c r="AA32" i="21"/>
  <c r="AC9" i="21"/>
  <c r="AB32" i="21"/>
  <c r="A18" i="62"/>
  <c r="B64" i="72" s="1"/>
  <c r="U32" i="39"/>
  <c r="AC32" i="39"/>
  <c r="W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E7" i="76"/>
  <c r="F3" i="73"/>
  <c r="B8" i="76"/>
  <c r="B7" i="76"/>
  <c r="E2" i="69"/>
  <c r="E8" i="76"/>
  <c r="B10" i="76"/>
  <c r="B9" i="76"/>
  <c r="D6" i="73"/>
  <c r="B13" i="76"/>
  <c r="E9" i="76"/>
  <c r="E11" i="76"/>
  <c r="F20" i="31"/>
  <c r="E13" i="76"/>
  <c r="AO13" i="1"/>
  <c r="F4" i="73"/>
  <c r="F5" i="73"/>
  <c r="E12" i="76"/>
  <c r="E10" i="76"/>
  <c r="B11" i="76"/>
  <c r="B12" i="76"/>
  <c r="F7" i="73"/>
  <c r="F6" i="73"/>
  <c r="F33" i="33" l="1"/>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S33"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U15" i="33"/>
  <c r="W15" i="33"/>
  <c r="S21" i="33"/>
  <c r="AC21" i="33"/>
  <c r="AC19" i="33"/>
  <c r="U19" i="33"/>
  <c r="AA19" i="33"/>
  <c r="AA17" i="33"/>
  <c r="W8" i="33"/>
  <c r="W9" i="33"/>
  <c r="BM5" i="3"/>
  <c r="F29" i="6" s="1"/>
  <c r="E29" i="6" s="1"/>
  <c r="K15" i="1" s="1"/>
  <c r="BT5" i="3"/>
  <c r="G1" i="67"/>
  <c r="K1" i="12"/>
  <c r="K8" i="1"/>
  <c r="M8" i="1" s="1"/>
  <c r="F3" i="35"/>
  <c r="G1" i="82"/>
  <c r="G29" i="6"/>
  <c r="K6" i="1"/>
  <c r="M6" i="1" s="1"/>
  <c r="O6" i="1" s="1"/>
  <c r="B14" i="74"/>
  <c r="U3" i="43"/>
  <c r="BB5" i="3"/>
  <c r="E8" i="6" s="1"/>
  <c r="F27" i="6" s="1"/>
  <c r="D52" i="43"/>
  <c r="D51" i="43"/>
  <c r="D56" i="43"/>
  <c r="M20" i="67"/>
  <c r="F34" i="15"/>
  <c r="F62" i="15" s="1"/>
  <c r="F54" i="9"/>
  <c r="F32" i="15"/>
  <c r="F60" i="15" s="1"/>
  <c r="F52" i="9"/>
  <c r="D68" i="9"/>
  <c r="F30" i="69"/>
  <c r="F48" i="69" s="1"/>
  <c r="F31" i="12"/>
  <c r="F28" i="15"/>
  <c r="C28" i="15" s="1"/>
  <c r="F32" i="67"/>
  <c r="F60" i="67" s="1"/>
  <c r="F28" i="67"/>
  <c r="M18" i="15"/>
  <c r="M18" i="67"/>
  <c r="F30" i="11"/>
  <c r="C48" i="11" s="1"/>
  <c r="C21" i="68"/>
  <c r="F7" i="1"/>
  <c r="I24" i="81" s="1"/>
  <c r="C24" i="81" s="1"/>
  <c r="F16" i="4"/>
  <c r="A18" i="51" s="1"/>
  <c r="B13" i="72" s="1"/>
  <c r="F6" i="1"/>
  <c r="D22" i="15"/>
  <c r="D23" i="15"/>
  <c r="BA14" i="3"/>
  <c r="AZ14" i="3" s="1"/>
  <c r="G15" i="3"/>
  <c r="M47" i="9"/>
  <c r="C7" i="35"/>
  <c r="C48" i="35" s="1"/>
  <c r="D48" i="35" s="1"/>
  <c r="C42" i="1"/>
  <c r="C24" i="12" s="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AZ519" i="3" s="1"/>
  <c r="BA518" i="3"/>
  <c r="AZ518" i="3" s="1"/>
  <c r="BL517" i="3"/>
  <c r="BL516" i="3"/>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16" i="3"/>
  <c r="AZ528" i="3"/>
  <c r="AZ548" i="3"/>
  <c r="AZ574" i="3"/>
  <c r="AZ502" i="3"/>
  <c r="AB30" i="21"/>
  <c r="AA11" i="36"/>
  <c r="S11" i="36"/>
  <c r="U45" i="33"/>
  <c r="AB45" i="33"/>
  <c r="S41" i="33"/>
  <c r="AB23" i="34"/>
  <c r="S29" i="35"/>
  <c r="AA29" i="35"/>
  <c r="S9" i="40"/>
  <c r="AA9" i="40"/>
  <c r="AZ458" i="3"/>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AZ471" i="3"/>
  <c r="G416" i="3"/>
  <c r="BA417" i="3"/>
  <c r="AZ417" i="3" s="1"/>
  <c r="BL423" i="3"/>
  <c r="BL428" i="3"/>
  <c r="BL429" i="3"/>
  <c r="BA432" i="3"/>
  <c r="AZ432" i="3" s="1"/>
  <c r="BL438" i="3"/>
  <c r="BL439" i="3"/>
  <c r="BA441" i="3"/>
  <c r="AZ441" i="3" s="1"/>
  <c r="BA445" i="3"/>
  <c r="BA447" i="3"/>
  <c r="AZ447" i="3" s="1"/>
  <c r="BA450" i="3"/>
  <c r="G452" i="3"/>
  <c r="BL454" i="3"/>
  <c r="BA418" i="3"/>
  <c r="AZ418" i="3" s="1"/>
  <c r="BA421" i="3"/>
  <c r="AZ421" i="3" s="1"/>
  <c r="BA423" i="3"/>
  <c r="BA425" i="3"/>
  <c r="AZ425" i="3" s="1"/>
  <c r="BA426" i="3"/>
  <c r="BA427" i="3"/>
  <c r="AZ427" i="3" s="1"/>
  <c r="BA433" i="3"/>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AZ210" i="3" s="1"/>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AZ49" i="3"/>
  <c r="W21" i="37"/>
  <c r="AC21" i="37"/>
  <c r="AB29" i="39"/>
  <c r="U29" i="39"/>
  <c r="C52" i="71"/>
  <c r="D51" i="71"/>
  <c r="Y26" i="71"/>
  <c r="Z26" i="71" s="1"/>
  <c r="AA3" i="71"/>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82" i="3"/>
  <c r="AZ282" i="3" s="1"/>
  <c r="BL282" i="3"/>
  <c r="BA284" i="3"/>
  <c r="BL290" i="3"/>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AZ6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A27" i="3"/>
  <c r="BL30" i="3"/>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AZ90" i="3" s="1"/>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43" i="83"/>
  <c r="F38" i="67"/>
  <c r="F37" i="83"/>
  <c r="J15" i="67"/>
  <c r="L47" i="67"/>
  <c r="M29" i="83"/>
  <c r="M24" i="83"/>
  <c r="M9" i="88"/>
  <c r="M24" i="15"/>
  <c r="L48" i="88"/>
  <c r="M8" i="67"/>
  <c r="M28" i="15"/>
  <c r="J15" i="88"/>
  <c r="F37" i="67"/>
  <c r="D9" i="69"/>
  <c r="M26" i="83"/>
  <c r="L47" i="15"/>
  <c r="M23" i="15"/>
  <c r="M29" i="67"/>
  <c r="M26" i="67"/>
  <c r="F16" i="83"/>
  <c r="J15" i="83"/>
  <c r="F13" i="83"/>
  <c r="F43" i="15"/>
  <c r="M8" i="83"/>
  <c r="F38" i="15"/>
  <c r="F42" i="67"/>
  <c r="F6" i="83"/>
  <c r="L47" i="88"/>
  <c r="F40" i="83"/>
  <c r="F8" i="67"/>
  <c r="F8" i="83"/>
  <c r="M22" i="88"/>
  <c r="F6" i="15"/>
  <c r="F43" i="67"/>
  <c r="M8" i="15"/>
  <c r="F38" i="83"/>
  <c r="F9" i="83"/>
  <c r="F7" i="83"/>
  <c r="M27" i="83"/>
  <c r="C36" i="82"/>
  <c r="F7" i="15"/>
  <c r="F7" i="67"/>
  <c r="M24" i="88"/>
  <c r="D5" i="73"/>
  <c r="L48" i="67"/>
  <c r="M23" i="67"/>
  <c r="F27" i="86"/>
  <c r="F26" i="15"/>
  <c r="M28" i="83"/>
  <c r="C76" i="67"/>
  <c r="M22" i="83"/>
  <c r="D7" i="73"/>
  <c r="C76" i="83"/>
  <c r="L48" i="83"/>
  <c r="F6" i="88"/>
  <c r="M23" i="88"/>
  <c r="M6" i="15"/>
  <c r="F42" i="88"/>
  <c r="M9" i="15"/>
  <c r="F26" i="67"/>
  <c r="F43" i="88"/>
  <c r="M26" i="15"/>
  <c r="D9" i="82"/>
  <c r="C36" i="86"/>
  <c r="F13" i="15"/>
  <c r="M22" i="67"/>
  <c r="F36" i="67"/>
  <c r="C76" i="15"/>
  <c r="L47" i="83"/>
  <c r="F13" i="88"/>
  <c r="L48" i="15"/>
  <c r="F8" i="88"/>
  <c r="F9" i="67"/>
  <c r="F27" i="82"/>
  <c r="F38" i="88"/>
  <c r="F8" i="15"/>
  <c r="C36" i="69"/>
  <c r="F26" i="83"/>
  <c r="D4" i="73"/>
  <c r="D9" i="86"/>
  <c r="F6" i="67"/>
  <c r="F9" i="15"/>
  <c r="M9" i="83"/>
  <c r="M23" i="83"/>
  <c r="M6" i="88"/>
  <c r="M28" i="67"/>
  <c r="F36" i="83"/>
  <c r="D3" i="73"/>
  <c r="F40" i="88"/>
  <c r="F26" i="88"/>
  <c r="F16" i="15"/>
  <c r="F16" i="88"/>
  <c r="M22" i="15"/>
  <c r="M29" i="88"/>
  <c r="F16" i="67"/>
  <c r="F42" i="83"/>
  <c r="F37" i="88"/>
  <c r="M29" i="15"/>
  <c r="F9" i="88"/>
  <c r="M24" i="67"/>
  <c r="M26" i="88"/>
  <c r="M6" i="67"/>
  <c r="F37" i="15"/>
  <c r="J15" i="15"/>
  <c r="F13" i="67"/>
  <c r="M9" i="67"/>
  <c r="F36" i="88"/>
  <c r="F40" i="67"/>
  <c r="C76" i="88"/>
  <c r="M8" i="88"/>
  <c r="F36" i="15"/>
  <c r="M6" i="83"/>
  <c r="M27" i="88"/>
  <c r="F42" i="15"/>
  <c r="F40" i="15"/>
  <c r="F7" i="88"/>
  <c r="M28" i="88"/>
  <c r="D118" i="85" l="1"/>
  <c r="D119" i="85" s="1"/>
  <c r="F118" i="85"/>
  <c r="F119" i="85" s="1"/>
  <c r="V3" i="87"/>
  <c r="C6" i="86"/>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Q74" i="15"/>
  <c r="AE11" i="1"/>
  <c r="AE9" i="1"/>
  <c r="AE12" i="1"/>
  <c r="AE10" i="1"/>
  <c r="C16" i="88"/>
  <c r="G1" i="73"/>
  <c r="C16" i="15"/>
  <c r="F27" i="69"/>
  <c r="AE6" i="1"/>
  <c r="F41" i="67"/>
  <c r="C16" i="83"/>
  <c r="C16" i="67"/>
  <c r="E59" i="40" l="1"/>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C34" i="87"/>
  <c r="E34" i="87"/>
  <c r="C31" i="87" s="1"/>
  <c r="C30" i="87"/>
  <c r="B2" i="87" s="1"/>
  <c r="B3" i="87" s="1"/>
  <c r="F59" i="88"/>
  <c r="J5" i="83"/>
  <c r="J26" i="83" s="1"/>
  <c r="M17" i="15"/>
  <c r="C31" i="88"/>
  <c r="J6" i="88"/>
  <c r="J19" i="88" s="1"/>
  <c r="C31" i="83"/>
  <c r="M17" i="83"/>
  <c r="J17" i="83" s="1"/>
  <c r="Q66" i="88"/>
  <c r="Q57" i="88"/>
  <c r="F1" i="83"/>
  <c r="Q52" i="83"/>
  <c r="F1" i="88"/>
  <c r="Q52" i="88"/>
  <c r="Q66" i="83"/>
  <c r="Q57" i="83"/>
  <c r="Q61" i="83"/>
  <c r="Q74" i="83"/>
  <c r="C49" i="88"/>
  <c r="C59" i="88" s="1"/>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C34" i="86"/>
  <c r="D10" i="86"/>
  <c r="AE8" i="1"/>
  <c r="F41" i="88" s="1"/>
  <c r="C14" i="88"/>
  <c r="C17" i="88"/>
  <c r="M27" i="67"/>
  <c r="F41" i="15"/>
  <c r="M27" i="15"/>
  <c r="AE7" i="1"/>
  <c r="J24" i="83" l="1"/>
  <c r="H6" i="3"/>
  <c r="C48" i="83"/>
  <c r="C66" i="83" s="1"/>
  <c r="J18" i="88"/>
  <c r="J17" i="88"/>
  <c r="J5" i="88"/>
  <c r="C48" i="88"/>
  <c r="C66" i="88" s="1"/>
  <c r="C38" i="86"/>
  <c r="C35" i="86"/>
  <c r="C33" i="86" s="1"/>
  <c r="C10" i="86"/>
  <c r="C8" i="86" s="1"/>
  <c r="D19" i="86"/>
  <c r="D37" i="86" s="1"/>
  <c r="C37" i="86" s="1"/>
  <c r="C18" i="88"/>
  <c r="C15" i="88"/>
  <c r="E8" i="70"/>
  <c r="F69" i="88"/>
  <c r="C24" i="88"/>
  <c r="C38" i="88"/>
  <c r="F22" i="86"/>
  <c r="C24" i="86" s="1"/>
  <c r="L36" i="87"/>
  <c r="C7" i="86"/>
  <c r="F22" i="82"/>
  <c r="F41" i="82" s="1"/>
  <c r="F24" i="83"/>
  <c r="C38" i="83"/>
  <c r="C48" i="67"/>
  <c r="C66" i="67" s="1"/>
  <c r="E34" i="81"/>
  <c r="C31" i="81" s="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3"/>
  <c r="C17" i="67"/>
  <c r="D10" i="69"/>
  <c r="C14" i="67"/>
  <c r="C34" i="82"/>
  <c r="C34" i="69"/>
  <c r="C14" i="83"/>
  <c r="C17" i="83"/>
  <c r="D10" i="82"/>
  <c r="C17" i="15"/>
  <c r="F69" i="83" l="1"/>
  <c r="J29" i="83"/>
  <c r="C19" i="88"/>
  <c r="J26" i="88"/>
  <c r="J29" i="88" s="1"/>
  <c r="J24" i="88"/>
  <c r="C42" i="86"/>
  <c r="C5" i="86"/>
  <c r="C20" i="86" s="1"/>
  <c r="C25" i="86" s="1"/>
  <c r="D19" i="82"/>
  <c r="D37" i="82" s="1"/>
  <c r="C37" i="82" s="1"/>
  <c r="C10" i="82"/>
  <c r="C8" i="82" s="1"/>
  <c r="C5" i="82" s="1"/>
  <c r="C35" i="82"/>
  <c r="C33" i="82" s="1"/>
  <c r="C38" i="82"/>
  <c r="C15" i="83"/>
  <c r="C18" i="83"/>
  <c r="S21" i="6"/>
  <c r="L18" i="85"/>
  <c r="C20" i="88"/>
  <c r="C26" i="88" s="1"/>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F35" i="88"/>
  <c r="B6" i="76"/>
  <c r="E6" i="76"/>
  <c r="M21" i="88"/>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M21" i="15"/>
  <c r="F35" i="67"/>
  <c r="L51" i="88"/>
  <c r="B3" i="86"/>
  <c r="F35" i="83"/>
  <c r="C19" i="85"/>
  <c r="M21" i="67"/>
  <c r="F35" i="15"/>
  <c r="M21" i="83"/>
  <c r="C30" i="83" l="1"/>
  <c r="C39" i="83" s="1"/>
  <c r="C56" i="83"/>
  <c r="C65" i="83" s="1"/>
  <c r="C58" i="83" s="1"/>
  <c r="C67" i="83" s="1"/>
  <c r="C68" i="83" s="1"/>
  <c r="C71" i="83" s="1"/>
  <c r="Q70" i="83"/>
  <c r="Q69" i="83"/>
  <c r="C75" i="83"/>
  <c r="C80" i="83" s="1"/>
  <c r="C79" i="83" s="1"/>
  <c r="C80" i="88"/>
  <c r="C79" i="88" s="1"/>
  <c r="L46" i="83"/>
  <c r="Q69" i="88"/>
  <c r="Q68" i="88" s="1"/>
  <c r="Q67" i="88"/>
  <c r="C40" i="88"/>
  <c r="B2" i="82"/>
  <c r="C57" i="82"/>
  <c r="C56" i="82" s="1"/>
  <c r="J16" i="88"/>
  <c r="J25" i="88" s="1"/>
  <c r="C102" i="85"/>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L51" i="83"/>
  <c r="C20" i="85"/>
  <c r="B3" i="82"/>
  <c r="B3" i="69"/>
  <c r="C19" i="84"/>
  <c r="C20" i="84"/>
  <c r="Q68" i="83" l="1"/>
  <c r="Q67" i="83"/>
  <c r="H40" i="83"/>
  <c r="C40" i="83"/>
  <c r="Q47" i="88"/>
  <c r="Q53" i="88" s="1"/>
  <c r="C83" i="88"/>
  <c r="C82" i="88" s="1"/>
  <c r="C43" i="88"/>
  <c r="C45" i="88"/>
  <c r="C46" i="88" s="1"/>
  <c r="Q56" i="88"/>
  <c r="Q62" i="88" s="1"/>
  <c r="Q65" i="88"/>
  <c r="Q75" i="88" s="1"/>
  <c r="D2" i="88"/>
  <c r="C103" i="85"/>
  <c r="C52" i="68"/>
  <c r="B2" i="68" s="1"/>
  <c r="B3" i="68" s="1"/>
  <c r="C103" i="84"/>
  <c r="C102" i="84"/>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D2" i="21"/>
  <c r="Q47" i="83" l="1"/>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2" i="33"/>
  <c r="D19" i="85"/>
  <c r="D20" i="85"/>
  <c r="B2" i="83" l="1"/>
  <c r="B3" i="83"/>
  <c r="D22" i="85"/>
  <c r="D21" i="85"/>
  <c r="D102" i="85"/>
  <c r="G19" i="85"/>
  <c r="G21" i="85" s="1"/>
  <c r="G20" i="85"/>
  <c r="C32" i="85" s="1"/>
  <c r="I118" i="85" s="1"/>
  <c r="D103" i="85"/>
  <c r="M69" i="39"/>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19" i="9"/>
  <c r="C19" i="9"/>
  <c r="D2" i="36"/>
  <c r="D2" i="35"/>
  <c r="L51" i="15"/>
  <c r="D2" i="37"/>
  <c r="D2" i="34"/>
  <c r="D19" i="84"/>
  <c r="D35" i="85" l="1"/>
  <c r="D34" i="85"/>
  <c r="C105" i="85"/>
  <c r="H118" i="85"/>
  <c r="H102" i="85"/>
  <c r="C102" i="9"/>
  <c r="C21" i="9"/>
  <c r="D102" i="84"/>
  <c r="D21" i="84"/>
  <c r="G19" i="84"/>
  <c r="G21" i="84" s="1"/>
  <c r="D22" i="84"/>
  <c r="D102" i="9"/>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D20" i="9"/>
  <c r="AO11" i="1"/>
  <c r="AO9" i="1"/>
  <c r="AO8" i="1"/>
  <c r="C20" i="9"/>
  <c r="AO12" i="1"/>
  <c r="D20" i="84"/>
  <c r="AO7" i="1"/>
  <c r="AO10" i="1"/>
  <c r="AO6"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18"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D5" i="71" s="1"/>
  <c r="M24" i="43" s="1"/>
  <c r="B6" i="74"/>
  <c r="D6" i="74" s="1"/>
  <c r="N61" i="85" l="1"/>
  <c r="N60" i="85"/>
  <c r="C79" i="84"/>
  <c r="C80" i="84" s="1"/>
  <c r="E80" i="84" s="1"/>
  <c r="E81" i="84" s="1"/>
  <c r="D59" i="84"/>
  <c r="M55" i="84" s="1"/>
  <c r="C68" i="84"/>
  <c r="D54" i="84" s="1"/>
  <c r="C95" i="84"/>
  <c r="G118" i="9"/>
  <c r="G4" i="52" s="1"/>
  <c r="B52" i="72" s="1"/>
  <c r="I118" i="9"/>
  <c r="H102" i="9" s="1"/>
  <c r="E14" i="74" s="1"/>
  <c r="C81" i="84" l="1"/>
  <c r="C96" i="84"/>
  <c r="E96" i="84" s="1"/>
  <c r="E97" i="84" s="1"/>
  <c r="F118" i="9"/>
  <c r="F4" i="52" s="1"/>
  <c r="B51" i="72" s="1"/>
  <c r="H118" i="9"/>
  <c r="C104" i="9"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14" i="74"/>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<sst xmlns="http://schemas.openxmlformats.org/spreadsheetml/2006/main" count="10455" uniqueCount="3540">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</sst>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0" fillId="0" borderId="0" xfId="0" applyAlignment="1">
      <alignment horizontal="center" vertical="center"/>
    </xf>
    <xf numFmtId="0" fontId="96" fillId="0" borderId="0" xfId="0" applyFont="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9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xmlns=""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xmlns=""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xmlns=""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xmlns=""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xmlns=""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xmlns=""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xmlns=""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xmlns=""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xmlns=""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xmlns=""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xmlns=""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xmlns=""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v>
      </c>
    </row>
    <row r="21" spans="1:2">
      <c r="A21" s="1119" t="s">
        <v>537</v>
      </c>
      <c r="B21" s="1120">
        <f ca="1">'预评函-2'!D7</f>
        <v>15691</v>
      </c>
    </row>
    <row r="22" spans="1:2">
      <c r="A22" s="1119" t="s">
        <v>538</v>
      </c>
      <c r="B22" s="1120" t="str">
        <f ca="1">'预评函-2'!D6</f>
        <v>壹佰陆拾万元整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v>
      </c>
    </row>
    <row r="31" spans="1:2">
      <c r="A31" s="1119" t="s">
        <v>576</v>
      </c>
      <c r="B31" s="1120">
        <f ca="1">'预评函-2'!D15</f>
        <v>15691</v>
      </c>
    </row>
    <row r="32" spans="1:2">
      <c r="A32" s="1119" t="s">
        <v>543</v>
      </c>
      <c r="B32" s="1120" t="str">
        <f ca="1">'预评函-2'!D14</f>
        <v>壹佰陆拾万元整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c r="A42" s="1119" t="s">
        <v>590</v>
      </c>
      <c r="B42" s="1120" t="str">
        <f>'预评函-3'!B2</f>
        <v>建筑面积</v>
      </c>
    </row>
    <row r="43" spans="1:2">
      <c r="A43" s="1119" t="s">
        <v>591</v>
      </c>
      <c r="B43" s="1120">
        <f>'预评函-3'!B4</f>
        <v>533.92000000000007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I26" sqref="I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3456</v>
      </c>
      <c r="C23" s="1442"/>
    </row>
    <row r="24" spans="1:3">
      <c r="A24" s="1441" t="s">
        <v>1052</v>
      </c>
      <c r="B24" s="1441" t="s">
        <v>3458</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4.25" thickBot="1">
      <c r="A18" s="2771" t="s">
        <v>2515</v>
      </c>
      <c r="B18" s="2772">
        <f>ROUND(B17*F11/F12,2)</f>
        <v>5541.87</v>
      </c>
      <c r="C18" s="2772">
        <f>ROUND(F11/F12,4)</f>
        <v>1.1521999999999999</v>
      </c>
      <c r="D18" s="2773"/>
      <c r="E18" s="2773"/>
      <c r="F18" s="2774"/>
    </row>
    <row r="19" spans="1:13" ht="14.25" thickBot="1"/>
    <row r="20" spans="1:13" s="2807" customFormat="1" ht="14.2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4.2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6" t="str">
        <f>IF(B10="北京市","北京市",C10)&amp;F10&amp;IF(结果表第1!G1="在建","出让国有建设用地使用权及在建建筑物",IF(结果表第1!G1="土地","出让国有建设用地使用权",))&amp;B9&amp;"预评估"</f>
        <v>北京市顺义区华英园9号预评估</v>
      </c>
      <c r="C1" s="3217"/>
      <c r="D1" s="3217"/>
      <c r="E1" s="3217"/>
      <c r="F1" s="3217"/>
      <c r="G1" s="3217"/>
      <c r="H1" s="3217"/>
      <c r="I1" s="3218"/>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9" t="s">
        <v>2176</v>
      </c>
      <c r="E8" s="2202"/>
      <c r="F8" s="2203"/>
      <c r="G8" s="2441"/>
      <c r="H8" s="2441"/>
      <c r="I8" s="2441"/>
      <c r="J8" s="2244"/>
      <c r="K8" s="2399"/>
      <c r="L8" s="2398"/>
      <c r="M8" s="2398"/>
      <c r="N8" s="2244"/>
      <c r="O8" s="1670"/>
      <c r="P8" s="2244"/>
      <c r="Q8" s="2244"/>
      <c r="R8" s="2244"/>
    </row>
    <row r="9" spans="1:30" ht="13.5" thickBot="1">
      <c r="A9" s="2204" t="s">
        <v>2177</v>
      </c>
      <c r="B9" s="2205"/>
      <c r="C9" s="2206"/>
      <c r="D9" s="3220"/>
      <c r="E9" s="2205"/>
      <c r="F9" s="2207"/>
      <c r="G9" s="2442"/>
      <c r="H9" s="2442"/>
      <c r="I9" s="2442"/>
      <c r="J9" s="2244"/>
      <c r="K9" s="2401"/>
      <c r="L9" s="2398"/>
      <c r="M9" s="2398"/>
      <c r="N9" s="2244"/>
      <c r="O9" s="1670"/>
      <c r="P9" s="2244"/>
      <c r="Q9" s="2244"/>
      <c r="R9" s="2244"/>
    </row>
    <row r="10" spans="1:30" ht="13.5"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6" t="s">
        <v>3386</v>
      </c>
      <c r="C16" s="3227"/>
      <c r="D16" s="3228"/>
      <c r="E16" s="2221" t="s">
        <v>2193</v>
      </c>
      <c r="F16" s="3229">
        <f>D15</f>
        <v>17.04</v>
      </c>
      <c r="G16" s="3230"/>
      <c r="H16" s="3230"/>
      <c r="I16" s="3231"/>
      <c r="J16" s="2244"/>
      <c r="K16" s="2402"/>
      <c r="L16" s="1670"/>
      <c r="M16" s="1670"/>
      <c r="N16" s="2244"/>
      <c r="O16" s="1670"/>
      <c r="P16" s="2244"/>
      <c r="Q16" s="2244"/>
      <c r="R16" s="2244"/>
    </row>
    <row r="17" spans="1:28">
      <c r="A17" s="305" t="s">
        <v>2194</v>
      </c>
      <c r="B17" s="294" t="s">
        <v>2195</v>
      </c>
      <c r="C17" s="8">
        <f>'数据-汇总表'!E3</f>
        <v>533.92000000000007</v>
      </c>
      <c r="D17" s="1256" t="s">
        <v>2196</v>
      </c>
      <c r="E17" s="3232" t="s">
        <v>2197</v>
      </c>
      <c r="F17" s="3233"/>
      <c r="G17" s="3233"/>
      <c r="H17" s="3233"/>
      <c r="I17" s="3234"/>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35" t="s">
        <v>2201</v>
      </c>
      <c r="F18" s="3236"/>
      <c r="G18" s="3236"/>
      <c r="H18" s="3236"/>
      <c r="I18" s="3237"/>
      <c r="J18" s="2244"/>
      <c r="K18" s="2403"/>
      <c r="L18" s="1670"/>
      <c r="M18" s="1670"/>
      <c r="N18" s="2244"/>
      <c r="O18" s="1670"/>
      <c r="P18" s="2244"/>
      <c r="Q18" s="2244"/>
      <c r="R18" s="2244"/>
      <c r="S18" s="2244"/>
      <c r="T18" s="2244"/>
      <c r="U18" s="2244"/>
      <c r="V18" s="2244"/>
    </row>
    <row r="19" spans="1:28" ht="39.75"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2" t="s">
        <v>2205</v>
      </c>
      <c r="C20" s="3223"/>
      <c r="D20" s="3224" t="s">
        <v>2206</v>
      </c>
      <c r="E20" s="3225"/>
      <c r="F20" s="2429" t="s">
        <v>1056</v>
      </c>
      <c r="G20" s="2441"/>
      <c r="H20" s="2441"/>
      <c r="I20" s="2441"/>
      <c r="J20" s="2244"/>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4"/>
      <c r="K22" s="3221"/>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0"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2217</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09" t="s">
        <v>2227</v>
      </c>
      <c r="T34" s="315" t="str">
        <f>NUMBERSTRING(7-K34,1)&amp;"通"</f>
        <v>七通</v>
      </c>
      <c r="U34" s="2244"/>
      <c r="V34" s="2244"/>
    </row>
    <row r="35" spans="1:30">
      <c r="A35" s="2235"/>
      <c r="B35" s="3209" t="s">
        <v>2228</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8.25">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8.25">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8.25">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8"/>
      <c r="G2" s="2431"/>
      <c r="H2" s="2432"/>
      <c r="I2" s="2146" t="s">
        <v>1132</v>
      </c>
      <c r="J2" s="2438"/>
      <c r="K2" s="2438"/>
      <c r="L2" s="2438"/>
      <c r="M2" s="2438"/>
      <c r="N2" s="2439"/>
      <c r="O2" s="2438"/>
      <c r="P2" s="2438"/>
    </row>
    <row r="3" spans="1:16" ht="15.7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5">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75" thickBot="1">
      <c r="A7" s="3244"/>
      <c r="B7" s="3245"/>
      <c r="C7" s="324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3513</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c r="A20" s="1549"/>
      <c r="B20" s="45" t="s">
        <v>1153</v>
      </c>
      <c r="C20" s="3114" t="s">
        <v>3514</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c r="A21" s="1549"/>
      <c r="B21" s="45" t="s">
        <v>1153</v>
      </c>
      <c r="C21" s="3114" t="s">
        <v>3515</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3500</v>
      </c>
      <c r="M6" s="64">
        <f t="shared" ref="M6:M14" si="0">ROUND(K6*L6/10000,0)</f>
        <v>36</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89.851900000000001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191.3253</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3457</v>
      </c>
      <c r="AO8" s="50">
        <f t="shared" ca="1" si="11"/>
        <v>188.50919999999999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3502</v>
      </c>
      <c r="M16" s="87">
        <f>SUM(M6:M14)</f>
        <v>187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0.75">
      <c r="A4" s="2247"/>
      <c r="B4" s="315" t="s">
        <v>2253</v>
      </c>
      <c r="C4" s="3162" t="s">
        <v>3507</v>
      </c>
      <c r="D4" s="2265"/>
      <c r="E4" s="2269"/>
      <c r="F4" s="1281" t="s">
        <v>2254</v>
      </c>
      <c r="G4" s="2270" t="s">
        <v>2255</v>
      </c>
      <c r="H4" s="751"/>
      <c r="I4" s="751"/>
      <c r="J4" s="751"/>
      <c r="K4" s="751"/>
      <c r="L4" s="751"/>
      <c r="M4" s="751"/>
      <c r="N4" s="751"/>
      <c r="O4" s="751"/>
      <c r="P4" s="751"/>
      <c r="Q4" s="751"/>
    </row>
    <row r="5" spans="1:29" ht="36.75">
      <c r="A5" s="2247"/>
      <c r="B5" s="315" t="s">
        <v>2256</v>
      </c>
      <c r="C5" s="2268" t="s">
        <v>2257</v>
      </c>
      <c r="D5" s="2265"/>
      <c r="E5" s="2269"/>
      <c r="F5" s="315" t="s">
        <v>2258</v>
      </c>
      <c r="G5" s="2270" t="s">
        <v>2259</v>
      </c>
      <c r="H5" s="751"/>
      <c r="I5" s="751"/>
      <c r="J5" s="751"/>
      <c r="K5" s="751"/>
      <c r="L5" s="751"/>
      <c r="M5" s="751"/>
      <c r="N5" s="751"/>
      <c r="O5" s="751"/>
      <c r="P5" s="751"/>
      <c r="Q5" s="751"/>
    </row>
    <row r="6" spans="1:29" ht="36">
      <c r="A6" s="2247"/>
      <c r="B6" s="315" t="s">
        <v>2260</v>
      </c>
      <c r="C6" s="3163" t="s">
        <v>3508</v>
      </c>
      <c r="D6" s="2265"/>
      <c r="E6" s="2269"/>
      <c r="F6" s="315" t="s">
        <v>2261</v>
      </c>
      <c r="G6" s="2270" t="s">
        <v>2262</v>
      </c>
      <c r="H6" s="751"/>
      <c r="I6" s="751"/>
      <c r="J6" s="751"/>
      <c r="K6" s="751"/>
      <c r="L6" s="751"/>
      <c r="M6" s="751"/>
      <c r="N6" s="751"/>
      <c r="O6" s="751"/>
      <c r="P6" s="751"/>
      <c r="Q6" s="751"/>
    </row>
    <row r="7" spans="1:29" ht="60.75" thickBot="1">
      <c r="A7" s="2247"/>
      <c r="B7" s="315" t="s">
        <v>2258</v>
      </c>
      <c r="C7" s="3163" t="s">
        <v>3509</v>
      </c>
      <c r="D7" s="2244"/>
      <c r="E7" s="2271"/>
      <c r="F7" s="2272" t="s">
        <v>2263</v>
      </c>
      <c r="G7" s="2273" t="s">
        <v>2264</v>
      </c>
      <c r="H7" s="751"/>
      <c r="I7" s="751"/>
      <c r="J7" s="751"/>
      <c r="K7" s="751"/>
      <c r="L7" s="751"/>
      <c r="M7" s="751"/>
      <c r="N7" s="751"/>
      <c r="O7" s="751"/>
      <c r="P7" s="751"/>
      <c r="Q7" s="751"/>
    </row>
    <row r="8" spans="1:29" ht="24">
      <c r="A8" s="2247"/>
      <c r="B8" s="315" t="s">
        <v>2261</v>
      </c>
      <c r="C8" s="3163" t="s">
        <v>3510</v>
      </c>
      <c r="D8" s="2244"/>
      <c r="E8" s="2244"/>
      <c r="F8" s="121"/>
      <c r="G8" s="121"/>
      <c r="H8" s="751"/>
      <c r="I8" s="751"/>
      <c r="J8" s="751"/>
      <c r="K8" s="751"/>
      <c r="L8" s="751"/>
      <c r="M8" s="751"/>
      <c r="N8" s="751"/>
      <c r="O8" s="751"/>
      <c r="P8" s="751"/>
      <c r="Q8" s="751"/>
    </row>
    <row r="9" spans="1:29" ht="36">
      <c r="A9" s="2247"/>
      <c r="B9" s="315" t="s">
        <v>2265</v>
      </c>
      <c r="C9" s="3164" t="s">
        <v>3511</v>
      </c>
      <c r="D9" s="2265"/>
      <c r="E9" s="2244"/>
      <c r="F9" s="121"/>
      <c r="G9" s="121"/>
      <c r="H9" s="751"/>
      <c r="I9" s="751"/>
      <c r="J9" s="751"/>
      <c r="K9" s="751"/>
      <c r="L9" s="751"/>
      <c r="M9" s="751"/>
      <c r="N9" s="751"/>
      <c r="O9" s="751"/>
      <c r="P9" s="751"/>
      <c r="Q9" s="751"/>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3.75">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2272</v>
      </c>
      <c r="G17" s="2294"/>
    </row>
    <row r="18" spans="1:17" ht="38.25">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5.5">
      <c r="A19" s="2251"/>
      <c r="B19" s="2292" t="s">
        <v>2273</v>
      </c>
      <c r="C19" s="2294"/>
      <c r="D19" s="2265"/>
      <c r="E19" s="2252"/>
      <c r="F19" s="315" t="s">
        <v>2258</v>
      </c>
      <c r="G19" s="2293" t="str">
        <f>G5</f>
        <v>估价对象所在区域公共配套设施齐备情况</v>
      </c>
    </row>
    <row r="20" spans="1:17" ht="38.25">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63.75">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5"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5"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102.14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45547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160</v>
      </c>
      <c r="C5" s="2299">
        <f ca="1">IF(B5=D14,结果表第1!H102,ROUND(B5*10000/$B$1,0))</f>
        <v>15691</v>
      </c>
      <c r="D5" s="2299" t="e">
        <f ca="1">ROUND(B5*10000/$B$2,0)</f>
        <v>#DIV/0!</v>
      </c>
      <c r="E5" s="2460"/>
      <c r="F5" s="2461"/>
      <c r="G5" s="2461"/>
      <c r="H5" s="2461"/>
      <c r="I5" s="2461"/>
      <c r="J5" s="2461"/>
      <c r="K5" s="2461"/>
    </row>
    <row r="6" spans="1:11" ht="16.5">
      <c r="A6" s="2299" t="s">
        <v>656</v>
      </c>
      <c r="B6" s="2299">
        <f>SUM(G14:G23)</f>
        <v>0</v>
      </c>
      <c r="C6" s="2299">
        <f ca="1">IF(B6=G14,结果表第1!H108,ROUND(B6*10000/$B$1,0))</f>
        <v>15691</v>
      </c>
      <c r="D6" s="2299" t="e">
        <f>ROUND(B6*10000/$B$2,0)</f>
        <v>#DIV/0!</v>
      </c>
      <c r="E6" s="2460"/>
      <c r="F6" s="2461"/>
      <c r="G6" s="2461"/>
      <c r="H6" s="2461"/>
      <c r="I6" s="2461"/>
      <c r="J6" s="2461"/>
      <c r="K6" s="2461"/>
    </row>
    <row r="7" spans="1:11" ht="16.5">
      <c r="A7" s="2299" t="s">
        <v>664</v>
      </c>
      <c r="B7" s="2299">
        <f>SUM(H14:H23)</f>
        <v>0</v>
      </c>
      <c r="C7" s="2299" t="str">
        <f>IF(B7=H14,结果表第1!H110,ROUND(B7*10000/$B$1,0))</f>
        <v>——</v>
      </c>
      <c r="D7" s="2299" t="e">
        <f>ROUND(B7*10000/$B$2,0)</f>
        <v>#DIV/0!</v>
      </c>
      <c r="E7" s="2460"/>
      <c r="F7" s="2461"/>
      <c r="G7" s="2461"/>
      <c r="H7" s="2461"/>
      <c r="I7" s="2461"/>
      <c r="J7" s="2461"/>
      <c r="K7" s="2461"/>
    </row>
    <row r="8" spans="1:11" ht="16.5">
      <c r="A8" s="2299" t="s">
        <v>587</v>
      </c>
      <c r="B8" s="2299">
        <f>SUM(I14:I23)</f>
        <v>0</v>
      </c>
      <c r="C8" s="2299" t="str">
        <f>IF(B8=I14,结果表第1!H112,ROUND(B8*10000/$B$1,0))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102.14</v>
      </c>
      <c r="C14" s="2305"/>
      <c r="D14" s="2305">
        <f ca="1">结果表第1!H101</f>
        <v>160</v>
      </c>
      <c r="E14" s="2305">
        <f ca="1">结果表第1!H102</f>
        <v>15691</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97"/>
  <sheetViews>
    <sheetView topLeftCell="A64" workbookViewId="0">
      <selection activeCell="S26" sqref="S26"/>
    </sheetView>
  </sheetViews>
  <sheetFormatPr defaultRowHeight="13.5"/>
  <sheetData>
    <row r="2" spans="14:19">
      <c r="N2" s="1405" t="s">
        <v>3474</v>
      </c>
      <c r="O2" s="1405" t="s">
        <v>3519</v>
      </c>
      <c r="P2" s="1405" t="s">
        <v>3521</v>
      </c>
      <c r="Q2" s="1405" t="s">
        <v>3522</v>
      </c>
    </row>
    <row r="3" spans="14:19">
      <c r="O3" s="1405" t="s">
        <v>3520</v>
      </c>
      <c r="P3" s="1405" t="s">
        <v>3464</v>
      </c>
      <c r="Q3" s="1405" t="s">
        <v>3523</v>
      </c>
    </row>
    <row r="4" spans="14:19">
      <c r="O4">
        <v>77</v>
      </c>
      <c r="P4">
        <v>25975</v>
      </c>
      <c r="Q4">
        <v>3.2</v>
      </c>
    </row>
    <row r="6" spans="14:19">
      <c r="P6" s="1405" t="s">
        <v>3503</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3529</v>
      </c>
      <c r="Q21">
        <v>2013</v>
      </c>
    </row>
    <row r="22" spans="14:17">
      <c r="P22" s="1405" t="s">
        <v>3528</v>
      </c>
      <c r="Q22">
        <f>ROUND(1-(1-0)*(2024-Q21)/60,2)</f>
        <v>0.82</v>
      </c>
    </row>
    <row r="31" spans="14:17">
      <c r="N31" s="1405" t="s">
        <v>3524</v>
      </c>
      <c r="O31" s="1405" t="s">
        <v>3461</v>
      </c>
    </row>
    <row r="32" spans="14:17">
      <c r="O32" s="1405" t="s">
        <v>3520</v>
      </c>
      <c r="P32" s="1405" t="s">
        <v>3464</v>
      </c>
    </row>
    <row r="33" spans="15:16">
      <c r="O33">
        <v>123</v>
      </c>
      <c r="P33">
        <v>28456</v>
      </c>
    </row>
    <row r="35" spans="15:16">
      <c r="O35" s="1405" t="s">
        <v>3503</v>
      </c>
    </row>
    <row r="36" spans="15:16">
      <c r="O36" s="3145">
        <f>ROUND(P33*R16,0)</f>
        <v>19919</v>
      </c>
    </row>
    <row r="62" spans="14:16">
      <c r="N62" s="1405" t="s">
        <v>3525</v>
      </c>
      <c r="O62" s="1405" t="s">
        <v>3526</v>
      </c>
      <c r="P62" s="1405" t="s">
        <v>3448</v>
      </c>
    </row>
    <row r="63" spans="14:16">
      <c r="O63" s="1405" t="s">
        <v>3520</v>
      </c>
      <c r="P63" s="1405" t="s">
        <v>3464</v>
      </c>
    </row>
    <row r="64" spans="14:16">
      <c r="O64">
        <v>39.64</v>
      </c>
      <c r="P64" s="3145">
        <v>22705</v>
      </c>
    </row>
    <row r="68" spans="14:16">
      <c r="N68" s="1405" t="s">
        <v>3530</v>
      </c>
      <c r="P68">
        <v>2003</v>
      </c>
    </row>
    <row r="69" spans="14:16">
      <c r="O69" s="1405" t="s">
        <v>3528</v>
      </c>
      <c r="P69">
        <f>ROUND(1-(1-0)*(2024-P68)/60,2)</f>
        <v>0.65</v>
      </c>
    </row>
    <row r="70" spans="14:16">
      <c r="O70" s="1405" t="s">
        <v>3531</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3"/>
  <sheetViews>
    <sheetView topLeftCell="A25" workbookViewId="0">
      <selection activeCell="H59" sqref="H59"/>
    </sheetView>
  </sheetViews>
  <sheetFormatPr defaultRowHeight="13.5"/>
  <cols>
    <col min="2" max="2" width="24.5" customWidth="1"/>
    <col min="3" max="3" width="20.2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5">
        <v>1</v>
      </c>
      <c r="B2" s="3256" t="s">
        <v>3392</v>
      </c>
      <c r="C2" s="3256" t="s">
        <v>3402</v>
      </c>
      <c r="D2" s="3256" t="s">
        <v>3404</v>
      </c>
      <c r="E2" s="3256" t="s">
        <v>3403</v>
      </c>
      <c r="F2">
        <v>2</v>
      </c>
      <c r="G2">
        <v>2042</v>
      </c>
      <c r="H2" s="3256" t="s">
        <v>3405</v>
      </c>
      <c r="I2">
        <v>33.29</v>
      </c>
      <c r="J2" s="3256" t="s">
        <v>3406</v>
      </c>
    </row>
    <row r="3" spans="1:10">
      <c r="A3" s="3255"/>
      <c r="B3" s="3256"/>
      <c r="C3" s="3256"/>
      <c r="D3" s="3256"/>
      <c r="E3" s="3256"/>
      <c r="F3">
        <v>2</v>
      </c>
      <c r="G3">
        <v>2046</v>
      </c>
      <c r="H3" s="3256"/>
      <c r="I3">
        <v>22.95</v>
      </c>
      <c r="J3" s="3256"/>
    </row>
    <row r="4" spans="1:10">
      <c r="A4" s="3255"/>
      <c r="B4" s="3256"/>
      <c r="C4" s="3256"/>
      <c r="D4" s="3256"/>
      <c r="E4" s="3256"/>
      <c r="F4">
        <v>2</v>
      </c>
      <c r="G4">
        <v>2047</v>
      </c>
      <c r="H4" s="3256"/>
      <c r="I4">
        <v>22.95</v>
      </c>
      <c r="J4" s="3256"/>
    </row>
    <row r="5" spans="1:10">
      <c r="A5" s="3255"/>
      <c r="B5" s="3256"/>
      <c r="C5" s="3256"/>
      <c r="D5" s="3256"/>
      <c r="E5" s="3256"/>
      <c r="F5">
        <v>2</v>
      </c>
      <c r="G5">
        <v>2048</v>
      </c>
      <c r="H5" s="3256"/>
      <c r="I5">
        <v>22.95</v>
      </c>
      <c r="J5" s="3256"/>
    </row>
    <row r="6" spans="1:10">
      <c r="A6" s="3255"/>
      <c r="B6" s="3256" t="s">
        <v>2591</v>
      </c>
      <c r="C6" s="3256"/>
      <c r="D6" s="3256"/>
      <c r="E6" s="3256"/>
      <c r="F6" s="3256"/>
      <c r="G6" s="3256"/>
      <c r="H6" s="3256"/>
      <c r="I6" s="3145">
        <f>I2+I3+I4+I5</f>
        <v>102.14</v>
      </c>
    </row>
    <row r="7" spans="1:10">
      <c r="A7" s="3255">
        <v>2</v>
      </c>
      <c r="B7" s="3256" t="s">
        <v>3408</v>
      </c>
      <c r="C7" s="3256" t="s">
        <v>3402</v>
      </c>
      <c r="D7" s="3256" t="s">
        <v>3404</v>
      </c>
      <c r="E7" s="3256" t="s">
        <v>3403</v>
      </c>
      <c r="F7">
        <v>2</v>
      </c>
      <c r="G7">
        <v>2038</v>
      </c>
      <c r="H7" s="3256" t="s">
        <v>3405</v>
      </c>
      <c r="I7">
        <v>27.94</v>
      </c>
      <c r="J7" s="3255"/>
    </row>
    <row r="8" spans="1:10">
      <c r="A8" s="3255"/>
      <c r="B8" s="3256"/>
      <c r="C8" s="3256"/>
      <c r="D8" s="3256"/>
      <c r="E8" s="3256"/>
      <c r="F8">
        <v>2</v>
      </c>
      <c r="G8">
        <v>2039</v>
      </c>
      <c r="H8" s="3256"/>
      <c r="I8">
        <v>27.94</v>
      </c>
      <c r="J8" s="3255"/>
    </row>
    <row r="9" spans="1:10">
      <c r="A9" s="3255"/>
      <c r="B9" s="3256"/>
      <c r="C9" s="3256"/>
      <c r="D9" s="3256"/>
      <c r="E9" s="3256"/>
      <c r="F9">
        <v>2</v>
      </c>
      <c r="G9">
        <v>2040</v>
      </c>
      <c r="H9" s="3256"/>
      <c r="I9">
        <v>27.94</v>
      </c>
      <c r="J9" s="3255"/>
    </row>
    <row r="10" spans="1:10">
      <c r="A10" s="3255"/>
      <c r="B10" s="3256"/>
      <c r="C10" s="3256"/>
      <c r="D10" s="3256"/>
      <c r="E10" s="3256"/>
      <c r="F10">
        <v>2</v>
      </c>
      <c r="G10">
        <v>2041</v>
      </c>
      <c r="H10" s="3256"/>
      <c r="I10">
        <v>27.94</v>
      </c>
      <c r="J10" s="3255"/>
    </row>
    <row r="11" spans="1:10">
      <c r="A11" s="3255"/>
      <c r="B11" s="3256"/>
      <c r="C11" s="3256"/>
      <c r="D11" s="3256"/>
      <c r="E11" s="3256"/>
      <c r="F11">
        <v>2</v>
      </c>
      <c r="G11">
        <v>2050</v>
      </c>
      <c r="H11" s="3256"/>
      <c r="I11">
        <v>27.94</v>
      </c>
      <c r="J11" s="3255"/>
    </row>
    <row r="12" spans="1:10">
      <c r="A12" s="3255"/>
      <c r="B12" s="3256"/>
      <c r="C12" s="3256"/>
      <c r="D12" s="3256"/>
      <c r="E12" s="3256"/>
      <c r="F12">
        <v>2</v>
      </c>
      <c r="G12">
        <v>2051</v>
      </c>
      <c r="H12" s="3256"/>
      <c r="I12">
        <v>27.94</v>
      </c>
      <c r="J12" s="3255"/>
    </row>
    <row r="13" spans="1:10">
      <c r="A13" s="3255"/>
      <c r="B13" s="3256"/>
      <c r="C13" s="3256"/>
      <c r="D13" s="3256"/>
      <c r="E13" s="3256"/>
      <c r="F13">
        <v>2</v>
      </c>
      <c r="G13">
        <v>2052</v>
      </c>
      <c r="H13" s="3256"/>
      <c r="I13">
        <v>27.94</v>
      </c>
      <c r="J13" s="3255"/>
    </row>
    <row r="14" spans="1:10">
      <c r="A14" s="3255"/>
      <c r="B14" s="3256"/>
      <c r="C14" s="3256"/>
      <c r="D14" s="3256"/>
      <c r="E14" s="3256"/>
      <c r="F14">
        <v>2</v>
      </c>
      <c r="G14">
        <v>2082</v>
      </c>
      <c r="H14" s="3256"/>
      <c r="I14">
        <v>21.91</v>
      </c>
      <c r="J14" s="3255"/>
    </row>
    <row r="15" spans="1:10">
      <c r="A15" s="3255"/>
      <c r="B15" s="3256" t="s">
        <v>2591</v>
      </c>
      <c r="C15" s="3256"/>
      <c r="D15" s="3256"/>
      <c r="E15" s="3256"/>
      <c r="F15" s="3256"/>
      <c r="G15" s="3256"/>
      <c r="H15" s="3256"/>
      <c r="I15" s="3145">
        <f>SUM(I7:I14)</f>
        <v>217.49</v>
      </c>
    </row>
    <row r="16" spans="1:10">
      <c r="A16" s="3255">
        <v>3</v>
      </c>
      <c r="B16" s="3256" t="s">
        <v>3409</v>
      </c>
      <c r="C16" s="3256" t="s">
        <v>3402</v>
      </c>
      <c r="D16" s="3256" t="s">
        <v>3404</v>
      </c>
      <c r="E16" s="3256" t="s">
        <v>3403</v>
      </c>
      <c r="F16">
        <v>2</v>
      </c>
      <c r="G16">
        <v>2027</v>
      </c>
      <c r="H16" s="3255" t="s">
        <v>3418</v>
      </c>
      <c r="I16">
        <v>27.84</v>
      </c>
      <c r="J16" s="3255"/>
    </row>
    <row r="17" spans="1:10">
      <c r="A17" s="3255"/>
      <c r="B17" s="3256"/>
      <c r="C17" s="3256"/>
      <c r="D17" s="3256"/>
      <c r="E17" s="3256"/>
      <c r="F17">
        <v>2</v>
      </c>
      <c r="G17">
        <v>2028</v>
      </c>
      <c r="H17" s="3255"/>
      <c r="I17">
        <v>26.39</v>
      </c>
      <c r="J17" s="3255"/>
    </row>
    <row r="18" spans="1:10">
      <c r="A18" s="3255"/>
      <c r="B18" s="3256"/>
      <c r="C18" s="3256"/>
      <c r="D18" s="3256"/>
      <c r="E18" s="3256"/>
      <c r="F18">
        <v>2</v>
      </c>
      <c r="G18">
        <v>2029</v>
      </c>
      <c r="H18" s="3255"/>
      <c r="I18">
        <v>43.33</v>
      </c>
      <c r="J18" s="3255"/>
    </row>
    <row r="19" spans="1:10">
      <c r="A19" s="3255"/>
      <c r="B19" s="3256"/>
      <c r="C19" s="3256"/>
      <c r="D19" s="3256"/>
      <c r="E19" s="3256"/>
      <c r="F19">
        <v>2</v>
      </c>
      <c r="G19">
        <v>2030</v>
      </c>
      <c r="H19" s="3255"/>
      <c r="I19">
        <v>68.12</v>
      </c>
      <c r="J19" s="3255"/>
    </row>
    <row r="20" spans="1:10">
      <c r="A20" s="3255"/>
      <c r="B20" s="3256"/>
      <c r="C20" s="3256"/>
      <c r="D20" s="3256"/>
      <c r="E20" s="3256"/>
      <c r="F20">
        <v>2</v>
      </c>
      <c r="G20">
        <v>2031</v>
      </c>
      <c r="H20" s="3255"/>
      <c r="I20">
        <v>48.61</v>
      </c>
      <c r="J20" s="3255"/>
    </row>
    <row r="21" spans="1:10">
      <c r="A21" s="3256" t="s">
        <v>2591</v>
      </c>
      <c r="B21" s="3255"/>
      <c r="C21" s="3255"/>
      <c r="D21" s="3255"/>
      <c r="E21" s="3255"/>
      <c r="F21" s="3255"/>
      <c r="G21" s="3255"/>
      <c r="H21" s="3255"/>
      <c r="I21" s="3145">
        <f>SUM(I16:I20)</f>
        <v>214.29000000000002</v>
      </c>
    </row>
    <row r="22" spans="1:10">
      <c r="C22" s="1405"/>
      <c r="D22" s="1405"/>
      <c r="E22" s="1405"/>
    </row>
    <row r="23" spans="1:10">
      <c r="C23" s="1405"/>
      <c r="D23" s="1405"/>
      <c r="E23" s="1405"/>
    </row>
  </sheetData>
  <mergeCells count="24">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 ref="H16:H20"/>
    <mergeCell ref="A16:A20"/>
    <mergeCell ref="A21:H21"/>
    <mergeCell ref="H2:H5"/>
    <mergeCell ref="H7:H14"/>
    <mergeCell ref="C2:C5"/>
    <mergeCell ref="D2:D5"/>
    <mergeCell ref="E2:E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3512</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4" t="s">
        <v>1265</v>
      </c>
      <c r="B4" s="1625" t="s">
        <v>1266</v>
      </c>
      <c r="C4" s="1626" t="s">
        <v>3504</v>
      </c>
      <c r="D4" s="1626" t="s">
        <v>3452</v>
      </c>
      <c r="E4" s="3297" t="s">
        <v>1267</v>
      </c>
      <c r="F4" s="3298"/>
      <c r="G4" s="3298"/>
      <c r="H4" s="3298"/>
      <c r="I4" s="3299"/>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2.75">
      <c r="A5" s="3271" t="s">
        <v>1268</v>
      </c>
      <c r="B5" s="3258">
        <v>25</v>
      </c>
      <c r="C5" s="3274"/>
      <c r="D5" s="3294"/>
      <c r="E5" s="123" t="s">
        <v>1269</v>
      </c>
      <c r="F5" s="1627"/>
      <c r="G5" s="1627"/>
      <c r="H5" s="1627"/>
      <c r="I5" s="1281"/>
    </row>
    <row r="6" spans="1:12" ht="12.75">
      <c r="A6" s="3271"/>
      <c r="B6" s="3258"/>
      <c r="C6" s="3275"/>
      <c r="D6" s="3294"/>
      <c r="E6" s="123" t="s">
        <v>1270</v>
      </c>
      <c r="F6" s="1627"/>
      <c r="G6" s="1627"/>
      <c r="H6" s="1627"/>
      <c r="I6" s="1281"/>
    </row>
    <row r="7" spans="1:12" ht="12.75">
      <c r="A7" s="3271"/>
      <c r="B7" s="3258"/>
      <c r="C7" s="3276"/>
      <c r="D7" s="3294"/>
      <c r="E7" s="123" t="s">
        <v>1271</v>
      </c>
      <c r="F7" s="1627"/>
      <c r="G7" s="1627"/>
      <c r="H7" s="1627"/>
      <c r="I7" s="1281"/>
    </row>
    <row r="8" spans="1:12" ht="12.75">
      <c r="A8" s="3271" t="s">
        <v>1272</v>
      </c>
      <c r="B8" s="3258">
        <v>15</v>
      </c>
      <c r="C8" s="3274"/>
      <c r="D8" s="3294"/>
      <c r="E8" s="123" t="s">
        <v>1273</v>
      </c>
      <c r="F8" s="1627"/>
      <c r="G8" s="1627"/>
      <c r="H8" s="1627"/>
      <c r="I8" s="1281"/>
    </row>
    <row r="9" spans="1:12" ht="12.75">
      <c r="A9" s="3271"/>
      <c r="B9" s="3258"/>
      <c r="C9" s="3276"/>
      <c r="D9" s="3294"/>
      <c r="E9" s="123" t="s">
        <v>1274</v>
      </c>
      <c r="F9" s="1627"/>
      <c r="G9" s="1627"/>
      <c r="H9" s="1627"/>
      <c r="I9" s="1281"/>
    </row>
    <row r="10" spans="1:12" ht="12.75">
      <c r="A10" s="3271" t="s">
        <v>1275</v>
      </c>
      <c r="B10" s="3258">
        <v>15</v>
      </c>
      <c r="C10" s="3274"/>
      <c r="D10" s="3294"/>
      <c r="E10" s="123" t="s">
        <v>1276</v>
      </c>
      <c r="F10" s="1627"/>
      <c r="G10" s="1627"/>
      <c r="H10" s="1627"/>
      <c r="I10" s="1281"/>
    </row>
    <row r="11" spans="1:12" ht="12.75">
      <c r="A11" s="3271"/>
      <c r="B11" s="3258"/>
      <c r="C11" s="3276"/>
      <c r="D11" s="3294"/>
      <c r="E11" s="123" t="s">
        <v>1277</v>
      </c>
      <c r="F11" s="1627"/>
      <c r="G11" s="1627"/>
      <c r="H11" s="1627"/>
      <c r="I11" s="1281"/>
    </row>
    <row r="12" spans="1:12" ht="12.75">
      <c r="A12" s="3271" t="s">
        <v>1278</v>
      </c>
      <c r="B12" s="3258">
        <v>15</v>
      </c>
      <c r="C12" s="3274"/>
      <c r="D12" s="3294"/>
      <c r="E12" s="123" t="s">
        <v>1279</v>
      </c>
      <c r="F12" s="1627"/>
      <c r="G12" s="1627"/>
      <c r="H12" s="1627"/>
      <c r="I12" s="1281"/>
    </row>
    <row r="13" spans="1:12" ht="12.75">
      <c r="A13" s="3271"/>
      <c r="B13" s="3258"/>
      <c r="C13" s="3276"/>
      <c r="D13" s="3294"/>
      <c r="E13" s="123" t="s">
        <v>1280</v>
      </c>
      <c r="F13" s="1627"/>
      <c r="G13" s="1627"/>
      <c r="H13" s="1627"/>
      <c r="I13" s="1281"/>
    </row>
    <row r="14" spans="1:12" ht="12.75">
      <c r="A14" s="3271" t="s">
        <v>1281</v>
      </c>
      <c r="B14" s="3258">
        <v>30</v>
      </c>
      <c r="C14" s="3274">
        <v>7</v>
      </c>
      <c r="D14" s="3294">
        <v>3</v>
      </c>
      <c r="E14" s="123" t="s">
        <v>1282</v>
      </c>
      <c r="F14" s="1627"/>
      <c r="G14" s="1627"/>
      <c r="H14" s="1627"/>
      <c r="I14" s="1281"/>
    </row>
    <row r="15" spans="1:12" ht="12.75">
      <c r="A15" s="3271"/>
      <c r="B15" s="3258"/>
      <c r="C15" s="3275"/>
      <c r="D15" s="3294"/>
      <c r="E15" s="123" t="s">
        <v>1283</v>
      </c>
      <c r="F15" s="1627"/>
      <c r="G15" s="1627"/>
      <c r="H15" s="1627"/>
      <c r="I15" s="1281"/>
    </row>
    <row r="16" spans="1:12" ht="12.75">
      <c r="A16" s="3271"/>
      <c r="B16" s="3258"/>
      <c r="C16" s="3276"/>
      <c r="D16" s="329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102.14</v>
      </c>
      <c r="M18" s="294">
        <f>IF(C1="",'数据-汇总表'!E3,SUMIF(项目类型,C1,'数据-汇总表'!E17:E26))</f>
        <v>102.14</v>
      </c>
    </row>
    <row r="19" spans="1:36" ht="15">
      <c r="A19" s="1630" t="s">
        <v>1290</v>
      </c>
      <c r="B19" s="1631" t="s">
        <v>1291</v>
      </c>
      <c r="C19" s="126">
        <f ca="1">SUMIF(INDIRECT("'"&amp;C4&amp;"'"&amp;"!A:A"),结果表第1!B19,INDIRECT("'"&amp;C4&amp;"'"&amp;"!B:B"))</f>
        <v>190.44</v>
      </c>
      <c r="D19" s="127">
        <f ca="1">SUMIF(INDIRECT("'"&amp;D4&amp;"'"&amp;"!A:A"),结果表第1!B19,INDIRECT("'"&amp;D4&amp;"'"&amp;"!B:B"))</f>
        <v>89.851900000000001</v>
      </c>
      <c r="E19" s="1630" t="s">
        <v>1292</v>
      </c>
      <c r="F19" s="1631" t="s">
        <v>1291</v>
      </c>
      <c r="G19" s="128">
        <f ca="1">ROUND(C19*$C$18+D19*$D$18,0)</f>
        <v>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SUMIF(INDIRECT("'"&amp;C4&amp;"'"&amp;"!A:A"),结果表第1!B20,INDIRECT("'"&amp;C4&amp;"'"&amp;"!B:B"))</f>
        <v>18645</v>
      </c>
      <c r="D20" s="130">
        <f ca="1">SUMIF(INDIRECT("'"&amp;D4&amp;"'"&amp;"!A:A"),结果表第1!B20,INDIRECT("'"&amp;D4&amp;"'"&amp;"!B:B"))</f>
        <v>8797</v>
      </c>
      <c r="E20" s="1633"/>
      <c r="F20" s="43" t="s">
        <v>1295</v>
      </c>
      <c r="G20" s="131">
        <f ca="1">ROUND(C20*$C$18+D20*$D$18,0)</f>
        <v>15691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1.1194877348169601</v>
      </c>
      <c r="E22" s="121"/>
      <c r="F22" s="121"/>
      <c r="G22" s="121"/>
      <c r="H22" s="121"/>
      <c r="I22" s="121"/>
    </row>
    <row r="23" spans="1:36" ht="13.5" thickBot="1">
      <c r="A23" s="646"/>
      <c r="B23" s="646"/>
      <c r="C23" s="646"/>
      <c r="D23" s="646"/>
      <c r="E23" s="121"/>
      <c r="F23" s="121"/>
      <c r="G23" s="121"/>
      <c r="H23" s="121"/>
      <c r="I23" s="121"/>
    </row>
    <row r="24" spans="1:36" ht="14.25">
      <c r="A24" s="3265" t="s">
        <v>1299</v>
      </c>
      <c r="B24" s="1631" t="s">
        <v>1291</v>
      </c>
      <c r="C24" s="128">
        <f>IF(B30=0,0,D30)</f>
        <v>0</v>
      </c>
      <c r="D24" s="1637"/>
      <c r="E24" s="121"/>
      <c r="F24" s="121"/>
      <c r="G24" s="121"/>
      <c r="H24" s="121"/>
      <c r="I24" s="121"/>
    </row>
    <row r="25" spans="1:36" ht="14.25">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15691</v>
      </c>
      <c r="D32" s="1641" t="s">
        <v>3415</v>
      </c>
      <c r="E32" s="121"/>
      <c r="F32" s="121"/>
      <c r="G32" s="121"/>
      <c r="H32" s="121"/>
      <c r="I32" s="121"/>
    </row>
    <row r="33" spans="1:15" ht="15">
      <c r="A33" s="740" t="s">
        <v>1306</v>
      </c>
      <c r="B33" s="123"/>
      <c r="C33" s="1642" t="s">
        <v>3416</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85" t="s">
        <v>1312</v>
      </c>
      <c r="B36" s="1652" t="s">
        <v>1313</v>
      </c>
      <c r="C36" s="137"/>
      <c r="D36" s="1653"/>
      <c r="E36" s="1567"/>
      <c r="F36" s="1654"/>
      <c r="G36" s="121"/>
      <c r="H36" s="121"/>
      <c r="I36" s="121"/>
    </row>
    <row r="37" spans="1:15" ht="15.75" thickBot="1">
      <c r="A37" s="3286"/>
      <c r="B37" s="1555" t="s">
        <v>1314</v>
      </c>
      <c r="C37" s="139"/>
      <c r="D37" s="1071"/>
      <c r="E37" s="1071"/>
      <c r="F37" s="1654"/>
      <c r="G37" s="121"/>
      <c r="H37" s="121"/>
      <c r="I37" s="121"/>
    </row>
    <row r="38" spans="1:15" ht="15.75" thickBot="1">
      <c r="A38" s="328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160</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5.5">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160</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45"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8</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8</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8</v>
      </c>
      <c r="E54" s="319" t="s">
        <v>1359</v>
      </c>
      <c r="F54" s="2339">
        <f>'数据-取费表'!B41</f>
        <v>5.5000000000000007E-2</v>
      </c>
      <c r="G54" s="2340"/>
      <c r="H54" s="2341"/>
      <c r="I54" s="1669"/>
      <c r="J54" s="2309">
        <v>3</v>
      </c>
      <c r="K54" s="3322" t="s">
        <v>1360</v>
      </c>
      <c r="L54" s="3322"/>
      <c r="M54" s="2311">
        <f t="shared" ca="1" si="0"/>
        <v>90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2</v>
      </c>
      <c r="N55" s="1883" t="str">
        <f>E59</f>
        <v>差额计税</v>
      </c>
      <c r="O55" s="2315">
        <f>F59</f>
        <v>0.01</v>
      </c>
    </row>
    <row r="56" spans="1:35" ht="24.75">
      <c r="A56" s="3272" t="s">
        <v>1363</v>
      </c>
      <c r="B56" s="3273"/>
      <c r="C56" s="3273"/>
      <c r="D56" s="12">
        <f ca="1">IF(H56="个人住宅",D57,D58)</f>
        <v>90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2.75">
      <c r="A57" s="2153" t="s">
        <v>1341</v>
      </c>
      <c r="B57" s="3283" t="s">
        <v>1366</v>
      </c>
      <c r="C57" s="3284"/>
      <c r="D57" s="1478">
        <v>0</v>
      </c>
      <c r="E57" s="316" t="s">
        <v>1343</v>
      </c>
      <c r="F57" s="294"/>
      <c r="G57" s="2340"/>
      <c r="H57" s="2344"/>
      <c r="I57" s="1670"/>
      <c r="J57" s="3322">
        <f>IF(AND(J55="",J56=""),4,IF(项目基本情况!K6="上海银行",结果表第1!J56+1,结果表第1!J55+1))</f>
        <v>5</v>
      </c>
      <c r="K57" s="3322" t="s">
        <v>1367</v>
      </c>
      <c r="L57" s="2316" t="s">
        <v>1368</v>
      </c>
      <c r="M57" s="2317"/>
      <c r="N57" s="2318">
        <f ca="1">SUMIF(M52:M56,"&lt;9e307")</f>
        <v>92</v>
      </c>
      <c r="O57" s="2319"/>
      <c r="P57" s="2463" t="e">
        <f ca="1">N57/M49</f>
        <v>#VALUE!</v>
      </c>
    </row>
    <row r="58" spans="1:35" ht="24.75">
      <c r="A58" s="2153" t="s">
        <v>1352</v>
      </c>
      <c r="B58" s="3283" t="s">
        <v>1369</v>
      </c>
      <c r="C58" s="3257"/>
      <c r="D58" s="12">
        <f ca="1">IF(H58="转让取得",C81,C97)</f>
        <v>90</v>
      </c>
      <c r="E58" s="1256" t="s">
        <v>1364</v>
      </c>
      <c r="F58" s="294" t="s">
        <v>28</v>
      </c>
      <c r="G58" s="2340"/>
      <c r="H58" s="2343"/>
      <c r="I58" s="1670"/>
      <c r="J58" s="3322"/>
      <c r="K58" s="3322"/>
      <c r="L58" s="2316" t="s">
        <v>1370</v>
      </c>
      <c r="M58" s="2320"/>
      <c r="N58" s="2321" t="str">
        <f ca="1">NUMBERSTRING(INT(N57*10000),2)&amp;"元整"</f>
        <v>玖拾贰万元整</v>
      </c>
      <c r="O58" s="2322"/>
    </row>
    <row r="59" spans="1:35" ht="24.75" thickBot="1">
      <c r="A59" s="3325" t="s">
        <v>1371</v>
      </c>
      <c r="B59" s="3326"/>
      <c r="C59" s="3326"/>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5"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2.75">
      <c r="A62" s="3288" t="s">
        <v>1375</v>
      </c>
      <c r="B62" s="3289"/>
      <c r="C62" s="1865"/>
      <c r="D62" s="1865" t="s">
        <v>1376</v>
      </c>
      <c r="E62" s="158" t="s">
        <v>1377</v>
      </c>
      <c r="F62" s="1670"/>
      <c r="G62" s="1670"/>
      <c r="H62" s="151"/>
      <c r="I62" s="121"/>
    </row>
    <row r="63" spans="1:35" ht="12.75">
      <c r="A63" s="165" t="s">
        <v>330</v>
      </c>
      <c r="B63" s="159" t="s">
        <v>1378</v>
      </c>
      <c r="C63" s="2349">
        <f ca="1">ROUND((C64+C65)/(1+'数据-取费表'!C42),0)</f>
        <v>152</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160</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152</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152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152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v>
      </c>
      <c r="D101" s="2371" t="str">
        <f>D4</f>
        <v>收益法 (元)1</v>
      </c>
      <c r="E101" s="3344" t="s">
        <v>1431</v>
      </c>
      <c r="F101" s="3301"/>
      <c r="G101" s="1687" t="s">
        <v>1432</v>
      </c>
      <c r="H101" s="2380">
        <f ca="1">H118</f>
        <v>160</v>
      </c>
      <c r="I101" s="121"/>
    </row>
    <row r="102" spans="1:35" ht="18.75" customHeight="1">
      <c r="A102" s="3303" t="s">
        <v>1433</v>
      </c>
      <c r="B102" s="2369" t="s">
        <v>1432</v>
      </c>
      <c r="C102" s="2370">
        <f ca="1">IF(D32="楼面单价",ROUND(C19,0),C19)</f>
        <v>190</v>
      </c>
      <c r="D102" s="2371">
        <f ca="1">IF(D32="楼面单价",ROUND(D19,0),D19)</f>
        <v>90</v>
      </c>
      <c r="E102" s="3344"/>
      <c r="F102" s="3301"/>
      <c r="G102" s="1687" t="s">
        <v>1434</v>
      </c>
      <c r="H102" s="2340">
        <f ca="1">I118</f>
        <v>15691</v>
      </c>
      <c r="I102" s="121"/>
    </row>
    <row r="103" spans="1:35" ht="42.75" customHeight="1">
      <c r="A103" s="3303"/>
      <c r="B103" s="2369" t="s">
        <v>1434</v>
      </c>
      <c r="C103" s="2372">
        <f ca="1">C20</f>
        <v>18645</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160</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15691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160</v>
      </c>
      <c r="I107" s="121"/>
    </row>
    <row r="108" spans="1:35" ht="18.75" customHeight="1">
      <c r="A108" s="121"/>
      <c r="B108" s="121"/>
      <c r="C108" s="121"/>
      <c r="D108" s="121"/>
      <c r="E108" s="3300"/>
      <c r="F108" s="3301"/>
      <c r="G108" s="1687" t="s">
        <v>1434</v>
      </c>
      <c r="H108" s="2340">
        <f ca="1">IF(H107=H101,H102,ROUND(H107*10000/'数据-汇总表'!E3,0))</f>
        <v>15691</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160</v>
      </c>
      <c r="I118" s="2150">
        <f ca="1">ROUND(IF(D32="楼面单价",C32,H118*10000/B118),0)</f>
        <v>15691</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壹佰陆拾万元整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160</v>
      </c>
      <c r="E122" s="3336"/>
      <c r="F122" s="3336"/>
      <c r="G122" s="3336"/>
      <c r="H122" s="3336"/>
      <c r="I122" s="3337"/>
      <c r="AA122" s="684"/>
    </row>
    <row r="123" spans="1:27" ht="18.75" customHeight="1">
      <c r="A123" s="3271" t="s">
        <v>1452</v>
      </c>
      <c r="B123" s="3271"/>
      <c r="C123" s="3271"/>
      <c r="D123" s="3311" t="str">
        <f ca="1">NUMBERSTRING(INT(D122*10000),2)&amp;"元整"</f>
        <v>壹佰陆拾万元整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188</v>
      </c>
      <c r="D51" s="224"/>
      <c r="E51" s="224"/>
      <c r="F51" s="256"/>
      <c r="G51" s="226" t="s">
        <v>1560</v>
      </c>
    </row>
    <row r="52" spans="1:7" s="200" customFormat="1" ht="16.5"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65" priority="3">
      <formula>$F$10="自定义"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J11">
    <cfRule type="expression" dxfId="162" priority="2">
      <formula>$M$10="自定义"</formula>
    </cfRule>
  </conditionalFormatting>
  <conditionalFormatting sqref="K55 K60">
    <cfRule type="expression" dxfId="16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3356</v>
      </c>
      <c r="E2" s="3138"/>
      <c r="F2" s="2596"/>
      <c r="G2" s="2597"/>
      <c r="H2" s="2598"/>
      <c r="I2" s="2599"/>
      <c r="J2" s="3365" t="s">
        <v>2316</v>
      </c>
      <c r="K2" s="3366"/>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367" t="s">
        <v>2326</v>
      </c>
      <c r="K3" s="3368"/>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367" t="s">
        <v>2328</v>
      </c>
      <c r="K4" s="3368"/>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373" t="s">
        <v>2332</v>
      </c>
      <c r="B6" s="3374"/>
      <c r="C6" s="3375"/>
      <c r="D6" s="2620"/>
      <c r="E6" s="2621"/>
      <c r="F6" s="2622"/>
      <c r="G6" s="2623"/>
      <c r="H6" s="2598"/>
      <c r="I6" s="2599"/>
      <c r="J6" s="3359">
        <v>1</v>
      </c>
      <c r="K6" s="3360"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359"/>
      <c r="K7" s="3361"/>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376" t="s">
        <v>2346</v>
      </c>
      <c r="C8" s="3377"/>
      <c r="D8" s="2639" t="s">
        <v>2347</v>
      </c>
      <c r="E8" s="2640" t="s">
        <v>2348</v>
      </c>
      <c r="F8" s="2641" t="s">
        <v>2349</v>
      </c>
      <c r="G8" s="2642"/>
      <c r="H8" s="2598"/>
      <c r="I8" s="2599"/>
      <c r="J8" s="3359"/>
      <c r="K8" s="3361"/>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376" t="s">
        <v>2352</v>
      </c>
      <c r="C9" s="3377"/>
      <c r="D9" s="2639">
        <f>ROUND(D6*E9,0)</f>
        <v>0</v>
      </c>
      <c r="E9" s="2643"/>
      <c r="F9" s="2644" t="s">
        <v>2353</v>
      </c>
      <c r="G9" s="2623"/>
      <c r="H9" s="2598"/>
      <c r="I9" s="2599"/>
      <c r="J9" s="3359"/>
      <c r="K9" s="3361"/>
      <c r="L9" s="2633" t="s">
        <v>2354</v>
      </c>
      <c r="M9" s="2634"/>
      <c r="N9" s="2610"/>
      <c r="O9" s="2635"/>
      <c r="P9" s="2635"/>
      <c r="Q9" s="2636">
        <v>365</v>
      </c>
      <c r="R9" s="2637">
        <f t="shared" si="0"/>
        <v>0</v>
      </c>
      <c r="S9" s="2591"/>
      <c r="T9" s="2591"/>
      <c r="U9" s="2591"/>
      <c r="V9" s="2599"/>
    </row>
    <row r="10" spans="1:22" s="2603" customFormat="1" ht="13.15" customHeight="1">
      <c r="A10" s="2638">
        <v>2</v>
      </c>
      <c r="B10" s="3376" t="s">
        <v>2355</v>
      </c>
      <c r="C10" s="3377"/>
      <c r="D10" s="2639">
        <f>ROUND(D6*E10,0)</f>
        <v>0</v>
      </c>
      <c r="E10" s="2643"/>
      <c r="F10" s="2644" t="s">
        <v>2356</v>
      </c>
      <c r="G10" s="2623"/>
      <c r="H10" s="2598"/>
      <c r="I10" s="2599"/>
      <c r="J10" s="3359"/>
      <c r="K10" s="3361"/>
      <c r="L10" s="2633" t="s">
        <v>2357</v>
      </c>
      <c r="M10" s="2634"/>
      <c r="N10" s="2610"/>
      <c r="O10" s="2635"/>
      <c r="P10" s="2635"/>
      <c r="Q10" s="2636">
        <v>365</v>
      </c>
      <c r="R10" s="2637">
        <f t="shared" si="0"/>
        <v>0</v>
      </c>
      <c r="S10" s="2591"/>
      <c r="T10" s="2591"/>
      <c r="U10" s="2591"/>
      <c r="V10" s="2599"/>
    </row>
    <row r="11" spans="1:22" s="2603" customFormat="1" ht="13.15" customHeight="1">
      <c r="A11" s="2638">
        <v>3</v>
      </c>
      <c r="B11" s="3376" t="s">
        <v>2358</v>
      </c>
      <c r="C11" s="3377"/>
      <c r="D11" s="2639">
        <f>D12+D14+D15+D16</f>
        <v>0</v>
      </c>
      <c r="E11" s="2645" t="e">
        <f>D11/D6</f>
        <v>#DIV/0!</v>
      </c>
      <c r="F11" s="2641"/>
      <c r="G11" s="2642"/>
      <c r="H11" s="2598"/>
      <c r="I11" s="2599"/>
      <c r="J11" s="3359"/>
      <c r="K11" s="3361"/>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369" t="s">
        <v>2361</v>
      </c>
      <c r="C12" s="3370"/>
      <c r="D12" s="2647">
        <f>ROUND(D13*1.2%*(1-30%),0)</f>
        <v>0</v>
      </c>
      <c r="E12" s="2648">
        <v>1.2E-2</v>
      </c>
      <c r="F12" s="2641" t="s">
        <v>2362</v>
      </c>
      <c r="G12" s="2642"/>
      <c r="H12" s="2598"/>
      <c r="I12" s="2599"/>
      <c r="J12" s="3359"/>
      <c r="K12" s="3361"/>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359"/>
      <c r="K13" s="3361"/>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369" t="s">
        <v>2367</v>
      </c>
      <c r="C14" s="3370"/>
      <c r="D14" s="2647">
        <f>ROUND(E14*B5/10000,0)</f>
        <v>0</v>
      </c>
      <c r="E14" s="2636"/>
      <c r="F14" s="2641" t="s">
        <v>2368</v>
      </c>
      <c r="G14" s="2642"/>
      <c r="H14" s="2598"/>
      <c r="I14" s="2599"/>
      <c r="J14" s="3359"/>
      <c r="K14" s="3362"/>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369" t="s">
        <v>2371</v>
      </c>
      <c r="C15" s="3370"/>
      <c r="D15" s="2647">
        <f>ROUND(D6*E15,0)</f>
        <v>0</v>
      </c>
      <c r="E15" s="2648">
        <v>5.5E-2</v>
      </c>
      <c r="F15" s="2641" t="s">
        <v>2372</v>
      </c>
      <c r="G15" s="2623"/>
      <c r="H15" s="2598"/>
      <c r="I15" s="2599"/>
      <c r="J15" s="3359">
        <v>2</v>
      </c>
      <c r="K15" s="3360"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369" t="s">
        <v>2380</v>
      </c>
      <c r="C16" s="3370"/>
      <c r="D16" s="2658">
        <f>D6*E16</f>
        <v>0</v>
      </c>
      <c r="E16" s="2659"/>
      <c r="F16" s="2644" t="s">
        <v>2381</v>
      </c>
      <c r="G16" s="2623"/>
      <c r="H16" s="2598"/>
      <c r="I16" s="2599"/>
      <c r="J16" s="3359"/>
      <c r="K16" s="3361"/>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371" t="s">
        <v>2383</v>
      </c>
      <c r="C17" s="3372"/>
      <c r="D17" s="2661">
        <f>ROUND(D6*E17,0)</f>
        <v>0</v>
      </c>
      <c r="E17" s="2662"/>
      <c r="F17" s="2663" t="s">
        <v>2384</v>
      </c>
      <c r="G17" s="2623"/>
      <c r="H17" s="2598"/>
      <c r="I17" s="2599"/>
      <c r="J17" s="3359"/>
      <c r="K17" s="3361"/>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359"/>
      <c r="K18" s="3361"/>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359"/>
      <c r="K19" s="3362"/>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9">
        <v>3</v>
      </c>
      <c r="K20" s="3360"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359"/>
      <c r="K21" s="3361"/>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359"/>
      <c r="K22" s="3361"/>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359"/>
      <c r="K23" s="3361"/>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359"/>
      <c r="K24" s="3362"/>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363">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36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365" t="s">
        <v>2316</v>
      </c>
      <c r="K32" s="3366"/>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367" t="s">
        <v>2326</v>
      </c>
      <c r="K33" s="3368"/>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367" t="s">
        <v>2328</v>
      </c>
      <c r="K34" s="336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359">
        <v>1</v>
      </c>
      <c r="K36" s="3360"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359"/>
      <c r="K37" s="3361"/>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9"/>
      <c r="K38" s="3361"/>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359"/>
      <c r="K39" s="3361"/>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359"/>
      <c r="K40" s="3362"/>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3">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36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469.68639999999994</v>
      </c>
      <c r="C2" s="1729" t="s">
        <v>1651</v>
      </c>
      <c r="D2" s="1730" t="s">
        <v>1652</v>
      </c>
      <c r="E2" s="2392">
        <f>SUM(E6:E13)</f>
        <v>533.92000000000007</v>
      </c>
      <c r="F2" s="2478"/>
      <c r="G2" s="459"/>
      <c r="H2" s="459"/>
      <c r="I2" s="459"/>
      <c r="J2" s="459"/>
      <c r="K2" s="459"/>
      <c r="L2" s="459"/>
      <c r="M2" s="459"/>
      <c r="N2" s="459"/>
      <c r="O2" s="459"/>
      <c r="P2" s="459"/>
      <c r="Q2" s="459"/>
      <c r="R2" s="459"/>
      <c r="S2" s="459"/>
    </row>
    <row r="3" spans="1:22" ht="15.75">
      <c r="A3" s="1728" t="s">
        <v>686</v>
      </c>
      <c r="B3" s="2386">
        <f ca="1">ROUND(B2*10000/E2,0)</f>
        <v>8797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c r="A6" s="2389" t="str">
        <f>'数据-取费表'!AN6</f>
        <v>收益法 (元)1</v>
      </c>
      <c r="B6" s="2387">
        <f ca="1">IF(F6="是",'数据-取费表'!AO6,0)</f>
        <v>89.851900000000001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c r="A7" s="2389" t="str">
        <f>'数据-取费表'!AN7</f>
        <v>收益法 (元)2</v>
      </c>
      <c r="B7" s="2387">
        <f ca="1">IF(F7="是",'数据-取费表'!AO7,0)</f>
        <v>191.3253</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c r="A8" s="2389" t="str">
        <f>'数据-取费表'!AN8</f>
        <v>收益法 (元)3</v>
      </c>
      <c r="B8" s="2387">
        <f ca="1">IF(F8="是",'数据-取费表'!AO8,0)</f>
        <v>188.50919999999999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ht="15">
      <c r="A5" s="348"/>
      <c r="B5" s="349"/>
      <c r="C5" s="3416" t="s">
        <v>1673</v>
      </c>
      <c r="D5" s="3417"/>
      <c r="E5" s="3423" t="s">
        <v>1674</v>
      </c>
      <c r="F5" s="3424"/>
      <c r="G5" s="3416" t="s">
        <v>1675</v>
      </c>
      <c r="H5" s="3417"/>
      <c r="I5" s="3416" t="s">
        <v>1676</v>
      </c>
      <c r="J5" s="3417"/>
      <c r="K5" s="1745"/>
      <c r="L5" s="2485"/>
      <c r="M5" s="2486"/>
      <c r="N5" s="2486"/>
      <c r="O5" s="2486"/>
      <c r="P5" s="3404"/>
      <c r="Q5" s="3405"/>
      <c r="R5" s="3410"/>
      <c r="S5" s="3411"/>
      <c r="T5" s="3410"/>
      <c r="U5" s="3411"/>
      <c r="V5" s="3384"/>
      <c r="W5" s="3384"/>
      <c r="X5" s="1265"/>
      <c r="Y5" s="3410"/>
      <c r="Z5" s="3411"/>
      <c r="AA5" s="3396"/>
      <c r="AB5" s="3396"/>
      <c r="AC5" s="3396"/>
    </row>
    <row r="6" spans="1:29" ht="15.75" thickBot="1">
      <c r="A6" s="350"/>
      <c r="B6" s="351"/>
      <c r="C6" s="3414" t="s">
        <v>1677</v>
      </c>
      <c r="D6" s="3415"/>
      <c r="E6" s="3421" t="s">
        <v>1677</v>
      </c>
      <c r="F6" s="3422"/>
      <c r="G6" s="3414" t="s">
        <v>1677</v>
      </c>
      <c r="H6" s="3415"/>
      <c r="I6" s="3414" t="s">
        <v>1677</v>
      </c>
      <c r="J6" s="3415"/>
      <c r="K6" s="1745" t="s">
        <v>1678</v>
      </c>
      <c r="L6" s="2485"/>
      <c r="M6" s="2486"/>
      <c r="N6" s="2486"/>
      <c r="O6" s="2486"/>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3"/>
      <c r="Q16" s="1263"/>
      <c r="R16" s="667"/>
      <c r="S16" s="668"/>
      <c r="T16" s="667"/>
      <c r="U16" s="668"/>
      <c r="V16" s="667"/>
      <c r="W16" s="668"/>
      <c r="X16" s="1265"/>
      <c r="Y16" s="3386"/>
      <c r="Z16" s="1264"/>
      <c r="AA16" s="1264">
        <v>1</v>
      </c>
      <c r="AB16" s="1264">
        <v>1</v>
      </c>
      <c r="AC16" s="1264">
        <v>1</v>
      </c>
    </row>
    <row r="17" spans="1:29" ht="85.5">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3"/>
      <c r="Q18" s="1263"/>
      <c r="R18" s="667"/>
      <c r="S18" s="668"/>
      <c r="T18" s="667"/>
      <c r="U18" s="668"/>
      <c r="V18" s="667"/>
      <c r="W18" s="668"/>
      <c r="X18" s="1265"/>
      <c r="Y18" s="3386"/>
      <c r="Z18" s="1264"/>
      <c r="AA18" s="1264">
        <v>1</v>
      </c>
      <c r="AB18" s="1264">
        <v>1</v>
      </c>
      <c r="AC18" s="1264">
        <v>1</v>
      </c>
    </row>
    <row r="19" spans="1:29" ht="114">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3"/>
      <c r="Q20" s="1263"/>
      <c r="R20" s="667"/>
      <c r="S20" s="668"/>
      <c r="T20" s="667"/>
      <c r="U20" s="668"/>
      <c r="V20" s="667"/>
      <c r="W20" s="668"/>
      <c r="X20" s="1265"/>
      <c r="Y20" s="3386"/>
      <c r="Z20" s="1264"/>
      <c r="AA20" s="1264">
        <v>1</v>
      </c>
      <c r="AB20" s="1264">
        <v>1</v>
      </c>
      <c r="AC20" s="1264">
        <v>1</v>
      </c>
    </row>
    <row r="21" spans="1:29" ht="28.5">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3"/>
      <c r="Q22" s="1263"/>
      <c r="R22" s="667"/>
      <c r="S22" s="668"/>
      <c r="T22" s="667"/>
      <c r="U22" s="668"/>
      <c r="V22" s="667"/>
      <c r="W22" s="668"/>
      <c r="X22" s="1265"/>
      <c r="Y22" s="3386"/>
      <c r="Z22" s="1264"/>
      <c r="AA22" s="1264">
        <v>1</v>
      </c>
      <c r="AB22" s="1264">
        <v>1</v>
      </c>
      <c r="AC22" s="1264">
        <v>1</v>
      </c>
    </row>
    <row r="23" spans="1:29" ht="71.25">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60" priority="14"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F7:F46 H7:H46 J7:J46">
    <cfRule type="cellIs" dxfId="157" priority="1" operator="notEqual">
      <formula>100</formula>
    </cfRule>
  </conditionalFormatting>
  <conditionalFormatting sqref="F48">
    <cfRule type="expression" dxfId="156" priority="4">
      <formula>$D$48="简单平均"</formula>
    </cfRule>
  </conditionalFormatting>
  <conditionalFormatting sqref="F52:F54 H52:H54 J52:J54">
    <cfRule type="containsText" dxfId="155" priority="15" stopIfTrue="1" operator="containsText" text="超过">
      <formula>NOT(ISERROR(SEARCH("超过",F52)))</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G54">
    <cfRule type="expression" dxfId="152" priority="12" stopIfTrue="1">
      <formula>$H$54="超过30%"</formula>
    </cfRule>
  </conditionalFormatting>
  <conditionalFormatting sqref="H48">
    <cfRule type="expression" dxfId="151" priority="3">
      <formula>$D$48="简单平均"</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J48">
    <cfRule type="expression" dxfId="14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N27" sqref="N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3512</v>
      </c>
      <c r="E1" s="3123" t="s">
        <v>3468</v>
      </c>
      <c r="F1" s="1735" t="s">
        <v>3469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190.44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18645</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ht="15">
      <c r="A5" s="348"/>
      <c r="B5" s="349"/>
      <c r="C5" s="3425" t="s">
        <v>3518</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7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7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75" thickBot="1">
      <c r="A8" s="352" t="s">
        <v>1681</v>
      </c>
      <c r="B8" s="353"/>
      <c r="C8" s="358" t="s">
        <v>3477</v>
      </c>
      <c r="D8" s="355">
        <v>100</v>
      </c>
      <c r="E8" s="358" t="s">
        <v>3478</v>
      </c>
      <c r="F8" s="357">
        <f>SUMIF(61:61,E8,62:62)-SUMIF(61:61,C8,62:62)+100</f>
        <v>105</v>
      </c>
      <c r="G8" s="358" t="s">
        <v>3478</v>
      </c>
      <c r="H8" s="355">
        <f>SUMIF(61:61,G8,62:62)-SUMIF(61:61,C8,62:62)+100</f>
        <v>105</v>
      </c>
      <c r="I8" s="358" t="s">
        <v>3478</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51" t="s">
        <v>3480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8.25">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3533</v>
      </c>
      <c r="F15" s="382">
        <f>SUMIF(76:76,E16,77:77)-SUMIF(76:76,C16,77:77)+100</f>
        <v>97</v>
      </c>
      <c r="G15" s="3158" t="s">
        <v>3533</v>
      </c>
      <c r="H15" s="380">
        <f>SUMIF(76:76,G16,77:77)-SUMIF(76:76,C16,77:77)+100</f>
        <v>97</v>
      </c>
      <c r="I15" s="3158" t="s">
        <v>3536</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3505</v>
      </c>
      <c r="F16" s="388"/>
      <c r="G16" s="386" t="s">
        <v>3505</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5.5">
      <c r="A17" s="367"/>
      <c r="B17" s="390" t="s">
        <v>1259</v>
      </c>
      <c r="C17" s="1754" t="str">
        <f>估价对象房地状况!C6</f>
        <v>估价对象距15号线南法信站约698米，周边有顺2、顺27、顺28路，综合评价交通便捷度一般</v>
      </c>
      <c r="D17" s="389">
        <v>100</v>
      </c>
      <c r="E17" s="3159" t="s">
        <v>3532</v>
      </c>
      <c r="F17" s="392">
        <f>SUMIF(78:78,E18,79:79)-SUMIF(78:78,C18,79:79)+100</f>
        <v>100</v>
      </c>
      <c r="G17" s="3159" t="s">
        <v>3532</v>
      </c>
      <c r="H17" s="394">
        <f>SUMIF(78:78,G18,79:79)-SUMIF(78:78,C18,79:79)+100</f>
        <v>100</v>
      </c>
      <c r="I17" s="3159" t="s">
        <v>3535</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42.5">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3534</v>
      </c>
      <c r="F19" s="397">
        <f>SUMIF(80:80,E20,81:81)-SUMIF(80:80,C20,81:81)+100</f>
        <v>100</v>
      </c>
      <c r="G19" s="3160" t="s">
        <v>3534</v>
      </c>
      <c r="H19" s="389">
        <f>SUMIF(80:80,G20,81:81)-SUMIF(80:80,C20,81:81)+100</f>
        <v>100</v>
      </c>
      <c r="I19" s="3160" t="s">
        <v>3537</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2.75">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3539</v>
      </c>
      <c r="D22" s="387"/>
      <c r="E22" s="386" t="s">
        <v>3539</v>
      </c>
      <c r="F22" s="388"/>
      <c r="G22" s="386" t="s">
        <v>3539</v>
      </c>
      <c r="H22" s="387"/>
      <c r="I22" s="386" t="s">
        <v>3539</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5.5">
      <c r="A23" s="367"/>
      <c r="B23" s="390" t="s">
        <v>1261</v>
      </c>
      <c r="C23" s="1806" t="str">
        <f>估价对象房地状况!C9</f>
        <v>区域自然环境：无；人文环境：北京开放大学（顺义分校）；综合评价环境状况一般</v>
      </c>
      <c r="D23" s="389">
        <v>100</v>
      </c>
      <c r="E23" s="3161" t="s">
        <v>3506</v>
      </c>
      <c r="F23" s="392">
        <f>SUMIF(84:84,E24,85:85)-SUMIF(84:84,C24,85:85)+100</f>
        <v>100</v>
      </c>
      <c r="G23" s="3161" t="s">
        <v>3506</v>
      </c>
      <c r="H23" s="389">
        <f>SUMIF(84:84,G24,85:85)-SUMIF(84:84,C24,85:85)+100</f>
        <v>100</v>
      </c>
      <c r="I23" s="3161" t="s">
        <v>3538</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3467</v>
      </c>
      <c r="D28" s="374">
        <v>100</v>
      </c>
      <c r="E28" s="542" t="s">
        <v>3467</v>
      </c>
      <c r="F28" s="400">
        <f>SUMIF(92:92,E28,93:93)-SUMIF(92:92,C28,93:93)+100</f>
        <v>100</v>
      </c>
      <c r="G28" s="542" t="s">
        <v>3467</v>
      </c>
      <c r="H28" s="374">
        <f>SUMIF(92:92,G28,93:93)-SUMIF(92:92,C28,93:93)+100</f>
        <v>100</v>
      </c>
      <c r="I28" s="542" t="s">
        <v>3467</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3481</v>
      </c>
      <c r="C29" s="3153" t="s">
        <v>3482</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3483</v>
      </c>
      <c r="D32" s="405">
        <v>100</v>
      </c>
      <c r="E32" s="1764" t="s">
        <v>3483</v>
      </c>
      <c r="F32" s="400">
        <f>SUMIF(100:100,E32,101:101)-SUMIF(100:100,C32,101:101)+100</f>
        <v>100</v>
      </c>
      <c r="G32" s="1764" t="s">
        <v>3483</v>
      </c>
      <c r="H32" s="374">
        <f>SUMIF(100:100,G32,101:101)-SUMIF(100:100,C32,101:101)+100</f>
        <v>100</v>
      </c>
      <c r="I32" s="1764" t="s">
        <v>3483</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388"/>
      <c r="Q33" s="531" t="str">
        <f t="shared" si="11"/>
        <v>项目建筑规模</v>
      </c>
      <c r="R33" s="669" t="s">
        <v>14</v>
      </c>
      <c r="S33" s="670">
        <f t="shared" si="12"/>
        <v>102</v>
      </c>
      <c r="T33" s="669" t="s">
        <v>14</v>
      </c>
      <c r="U33" s="670">
        <f t="shared" si="13"/>
        <v>100</v>
      </c>
      <c r="V33" s="669" t="s">
        <v>14</v>
      </c>
      <c r="W33" s="670">
        <f t="shared" si="14"/>
        <v>102</v>
      </c>
      <c r="X33" s="671"/>
      <c r="Y33" s="3390"/>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3499</v>
      </c>
      <c r="D38" s="374">
        <v>100</v>
      </c>
      <c r="E38" s="1760" t="s">
        <v>3499</v>
      </c>
      <c r="F38" s="400">
        <f>SUMIF(114:114,E38,115:115)-SUMIF(114:114,C38,115:115)+100</f>
        <v>100</v>
      </c>
      <c r="G38" s="1760" t="s">
        <v>3499</v>
      </c>
      <c r="H38" s="374">
        <f>SUMIF(114:114,G38,115:115)-SUMIF(114:114,C38,115:115)+100</f>
        <v>100</v>
      </c>
      <c r="I38" s="1760" t="s">
        <v>3499</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3527</v>
      </c>
      <c r="H42" s="374">
        <f>SUMIF(122:122,G42,123:123)-SUMIF(122:122,C42,123:123)+100</f>
        <v>102</v>
      </c>
      <c r="I42" s="1760" t="s">
        <v>3527</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5">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75" thickBot="1">
      <c r="A48" s="423" t="s">
        <v>1793</v>
      </c>
      <c r="B48" s="424"/>
      <c r="C48" s="1082">
        <f>R49</f>
        <v>18645</v>
      </c>
      <c r="D48" s="2141" t="s">
        <v>2137</v>
      </c>
      <c r="E48" s="1083">
        <f>R48</f>
        <v>17159</v>
      </c>
      <c r="F48" s="2142"/>
      <c r="G48" s="1082">
        <f>T48</f>
        <v>18798</v>
      </c>
      <c r="H48" s="2142"/>
      <c r="I48" s="1083">
        <f>V48</f>
        <v>19977</v>
      </c>
      <c r="J48" s="2142"/>
      <c r="K48" s="2144">
        <f>F48+H48+J48</f>
        <v>0</v>
      </c>
      <c r="L48" s="2493"/>
      <c r="M48" s="2486"/>
      <c r="N48" s="2486"/>
      <c r="O48" s="2486"/>
      <c r="P48" s="3383" t="str">
        <f>A48</f>
        <v>比较价值（元/平方米）</v>
      </c>
      <c r="Q48" s="3383"/>
      <c r="R48" s="3384">
        <f>IF(F1="售价",ROUND(PRODUCT(R47,AA7:AA46),0),ROUND(PRODUCT(R47,AA7:AA46),1))</f>
        <v>17159</v>
      </c>
      <c r="S48" s="3384"/>
      <c r="T48" s="3384">
        <f>IF(F1="售价",ROUND(PRODUCT(T47,AB7:AB46),0),ROUND(PRODUCT(T47,AB7:AB46),1))</f>
        <v>18798</v>
      </c>
      <c r="U48" s="3384"/>
      <c r="V48" s="3384">
        <f>IF(F1="售价",ROUND(PRODUCT(V47,AC7:AC46),0),ROUND(PRODUCT(V47,AC7:AC46),1))</f>
        <v>19977</v>
      </c>
      <c r="W48" s="3384"/>
      <c r="X48" s="385"/>
      <c r="Y48" s="385"/>
      <c r="Z48" s="385"/>
      <c r="AA48" s="385"/>
      <c r="AB48" s="385"/>
      <c r="AC48" s="385"/>
    </row>
    <row r="49" spans="1:29" ht="15.75" thickBot="1">
      <c r="A49" s="427" t="s">
        <v>1794</v>
      </c>
      <c r="B49" s="428"/>
      <c r="C49" s="351">
        <f>R49</f>
        <v>18645</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18645</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5.9677137362317056E-2</v>
      </c>
      <c r="F52" s="435" t="str">
        <f>IF(OR(E52&gt;=0.3,E52&lt;=-0.3),"超过30%","")</f>
        <v/>
      </c>
      <c r="G52" s="434">
        <f>IF(G47&lt;G48,G48/G47-1,G47/G48-1)</f>
        <v>5.9634003617406117E-2</v>
      </c>
      <c r="H52" s="435" t="str">
        <f>IF(OR(G52&gt;=0.3,G52&lt;=-0.3),"超过30%","")</f>
        <v/>
      </c>
      <c r="I52" s="434">
        <f>IF(I47&lt;I48,I48/I47-1,I47/I48-1)</f>
        <v>0.13655704059668627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9.5518386852380566E-2</v>
      </c>
      <c r="F53" s="435" t="str">
        <f>IF(OR(E53&gt;=0.2,E53&lt;=-0.2),"超过20%","")</f>
        <v/>
      </c>
      <c r="G53" s="434">
        <f>IF(G48&lt;I48,I48/G48-1,G48/I48-1)</f>
        <v>6.2719438238110437E-2</v>
      </c>
      <c r="H53" s="435" t="str">
        <f>IF(OR(G53&gt;=0.2,G53&lt;=-0.2),"超过20%","")</f>
        <v/>
      </c>
      <c r="I53" s="434">
        <f>IF(I48&lt;E48,E48/I48-1,I48/E48-1)</f>
        <v>0.16422868465528295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50" t="s">
        <v>3479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3501</v>
      </c>
      <c r="D92" s="485" t="s">
        <v>3502</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t="str">
        <f>B29</f>
        <v>临街状况</v>
      </c>
      <c r="C94" s="3154" t="s">
        <v>3482</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55" t="s">
        <v>3484</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3485</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3486</v>
      </c>
      <c r="D112" s="3154" t="s">
        <v>3487</v>
      </c>
      <c r="E112" s="3154" t="s">
        <v>3488</v>
      </c>
      <c r="F112" s="3154" t="s">
        <v>3489</v>
      </c>
      <c r="G112" s="3154" t="s">
        <v>3490</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3498</v>
      </c>
      <c r="D114" s="3154" t="s">
        <v>3500</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3491</v>
      </c>
      <c r="D122" s="3154" t="s">
        <v>3492</v>
      </c>
      <c r="E122" s="3154" t="s">
        <v>3493</v>
      </c>
      <c r="F122" s="3156" t="s">
        <v>3495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ht="15">
      <c r="A5" s="348"/>
      <c r="B5" s="349"/>
      <c r="C5" s="3416" t="s">
        <v>1673</v>
      </c>
      <c r="D5" s="3417"/>
      <c r="E5" s="3423" t="s">
        <v>1674</v>
      </c>
      <c r="F5" s="3424"/>
      <c r="G5" s="3416" t="s">
        <v>1675</v>
      </c>
      <c r="H5" s="3417"/>
      <c r="I5" s="3416" t="s">
        <v>1676</v>
      </c>
      <c r="J5" s="3417"/>
      <c r="K5" s="537"/>
      <c r="L5" s="2485"/>
      <c r="M5" s="2486"/>
      <c r="N5" s="2486"/>
      <c r="O5" s="2486"/>
      <c r="P5" s="3435"/>
      <c r="Q5" s="3405"/>
      <c r="R5" s="3410"/>
      <c r="S5" s="3411"/>
      <c r="T5" s="3410"/>
      <c r="U5" s="3411"/>
      <c r="V5" s="3384"/>
      <c r="W5" s="3384"/>
      <c r="X5" s="1265"/>
      <c r="Y5" s="3410"/>
      <c r="Z5" s="3411"/>
      <c r="AA5" s="3396"/>
      <c r="AB5" s="3396"/>
      <c r="AC5" s="3431"/>
    </row>
    <row r="6" spans="1:29" ht="15.75" thickBot="1">
      <c r="A6" s="350"/>
      <c r="B6" s="351"/>
      <c r="C6" s="3414" t="s">
        <v>1677</v>
      </c>
      <c r="D6" s="3415"/>
      <c r="E6" s="3421" t="s">
        <v>1677</v>
      </c>
      <c r="F6" s="3422"/>
      <c r="G6" s="3414" t="s">
        <v>1677</v>
      </c>
      <c r="H6" s="3415"/>
      <c r="I6" s="3414" t="s">
        <v>1677</v>
      </c>
      <c r="J6" s="3415"/>
      <c r="K6" s="537" t="s">
        <v>1678</v>
      </c>
      <c r="L6" s="2485"/>
      <c r="M6" s="2486"/>
      <c r="N6" s="2486"/>
      <c r="O6" s="2486"/>
      <c r="P6" s="3436"/>
      <c r="Q6" s="3407"/>
      <c r="R6" s="3410"/>
      <c r="S6" s="3411"/>
      <c r="T6" s="3412"/>
      <c r="U6" s="3413"/>
      <c r="V6" s="3384"/>
      <c r="W6" s="3384"/>
      <c r="X6" s="1265"/>
      <c r="Y6" s="3412"/>
      <c r="Z6" s="3413"/>
      <c r="AA6" s="3397"/>
      <c r="AB6" s="3397"/>
      <c r="AC6" s="3432"/>
    </row>
    <row r="7" spans="1:29" s="102" customFormat="1" ht="15.7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3"/>
      <c r="Q16" s="1263"/>
      <c r="R16" s="667"/>
      <c r="S16" s="668"/>
      <c r="T16" s="667"/>
      <c r="U16" s="668"/>
      <c r="V16" s="667"/>
      <c r="W16" s="668"/>
      <c r="X16" s="1265"/>
      <c r="Y16" s="3386"/>
      <c r="Z16" s="1264"/>
      <c r="AA16" s="1264">
        <v>1</v>
      </c>
      <c r="AB16" s="1264">
        <v>1</v>
      </c>
      <c r="AC16" s="1812">
        <v>1</v>
      </c>
    </row>
    <row r="17" spans="1:29" ht="85.5">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3"/>
      <c r="Q18" s="1263"/>
      <c r="R18" s="667"/>
      <c r="S18" s="668"/>
      <c r="T18" s="667"/>
      <c r="U18" s="668"/>
      <c r="V18" s="667"/>
      <c r="W18" s="668"/>
      <c r="X18" s="1265"/>
      <c r="Y18" s="3386"/>
      <c r="Z18" s="1264"/>
      <c r="AA18" s="1264">
        <v>1</v>
      </c>
      <c r="AB18" s="1264">
        <v>1</v>
      </c>
      <c r="AC18" s="1812">
        <v>1</v>
      </c>
    </row>
    <row r="19" spans="1:29" ht="114">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3"/>
      <c r="Q20" s="1263"/>
      <c r="R20" s="667"/>
      <c r="S20" s="668"/>
      <c r="T20" s="667"/>
      <c r="U20" s="668"/>
      <c r="V20" s="667"/>
      <c r="W20" s="668"/>
      <c r="X20" s="1265"/>
      <c r="Y20" s="3386"/>
      <c r="Z20" s="1264"/>
      <c r="AA20" s="1264">
        <v>1</v>
      </c>
      <c r="AB20" s="1264">
        <v>1</v>
      </c>
      <c r="AC20" s="1812">
        <v>1</v>
      </c>
    </row>
    <row r="21" spans="1:29" ht="28.5">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3"/>
      <c r="Q22" s="1263"/>
      <c r="R22" s="667"/>
      <c r="S22" s="668"/>
      <c r="T22" s="667"/>
      <c r="U22" s="668"/>
      <c r="V22" s="667"/>
      <c r="W22" s="668"/>
      <c r="X22" s="1265"/>
      <c r="Y22" s="3386"/>
      <c r="Z22" s="1264"/>
      <c r="AA22" s="1264">
        <v>1</v>
      </c>
      <c r="AB22" s="1264">
        <v>1</v>
      </c>
      <c r="AC22" s="1812">
        <v>1</v>
      </c>
    </row>
    <row r="23" spans="1:29" ht="71.25">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3"/>
      <c r="Q24" s="1263"/>
      <c r="R24" s="667"/>
      <c r="S24" s="668"/>
      <c r="T24" s="667"/>
      <c r="U24" s="668"/>
      <c r="V24" s="667"/>
      <c r="W24" s="668"/>
      <c r="X24" s="1265"/>
      <c r="Y24" s="338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3"/>
      <c r="Q26" s="1263"/>
      <c r="R26" s="667"/>
      <c r="S26" s="668"/>
      <c r="T26" s="667"/>
      <c r="U26" s="668"/>
      <c r="V26" s="667"/>
      <c r="W26" s="668"/>
      <c r="X26" s="1265"/>
      <c r="Y26" s="33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3"/>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8"/>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F7:F40 H7:H40 J7:J40">
    <cfRule type="cellIs" dxfId="113" priority="1" operator="notEqual">
      <formula>100</formula>
    </cfRule>
  </conditionalFormatting>
  <conditionalFormatting sqref="F42">
    <cfRule type="expression" dxfId="112" priority="4">
      <formula>$D$42="简单平均"</formula>
    </cfRule>
  </conditionalFormatting>
  <conditionalFormatting sqref="F46:F48 H46:H48">
    <cfRule type="containsText" dxfId="111" priority="17" stopIfTrue="1" operator="containsText" text="超过">
      <formula>NOT(ISERROR(SEARCH("超过",F46)))</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G48">
    <cfRule type="expression" dxfId="108" priority="13" stopIfTrue="1">
      <formula>$H$48="超过30%"</formula>
    </cfRule>
  </conditionalFormatting>
  <conditionalFormatting sqref="H42">
    <cfRule type="expression" dxfId="107" priority="3">
      <formula>$D$42="简单平均"</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J42">
    <cfRule type="expression" dxfId="103" priority="2">
      <formula>$D$42="简单平均"</formula>
    </cfRule>
  </conditionalFormatting>
  <conditionalFormatting sqref="J46:J48">
    <cfRule type="containsText" dxfId="10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受贵公司委托，我公司对北京市顺义区华英园9号进行了预评估。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7.75">
      <c r="A8" s="1385" t="s">
        <v>901</v>
      </c>
    </row>
    <row r="9" spans="1:1" ht="18.75">
      <c r="A9" s="1384" t="s">
        <v>902</v>
      </c>
    </row>
    <row r="10" spans="1:1" ht="5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"本次评估采用的主估价方法为"&amp;结果表第1!K4&amp;"和"&amp;结果表第1!L4&amp;"。"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6"/>
      <c r="Q15" s="1263"/>
      <c r="R15" s="667"/>
      <c r="S15" s="668"/>
      <c r="T15" s="667"/>
      <c r="U15" s="668"/>
      <c r="V15" s="667"/>
      <c r="W15" s="668"/>
      <c r="X15" s="1265"/>
      <c r="Y15" s="3386"/>
      <c r="Z15" s="1264"/>
      <c r="AA15" s="1264">
        <v>1</v>
      </c>
      <c r="AB15" s="1264">
        <v>1</v>
      </c>
      <c r="AC15" s="1264">
        <v>1</v>
      </c>
    </row>
    <row r="16" spans="1:29" ht="142.5">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6"/>
      <c r="Q17" s="1263"/>
      <c r="R17" s="667"/>
      <c r="S17" s="668"/>
      <c r="T17" s="667"/>
      <c r="U17" s="668"/>
      <c r="V17" s="667"/>
      <c r="W17" s="668"/>
      <c r="X17" s="1265"/>
      <c r="Y17" s="3386"/>
      <c r="Z17" s="1264"/>
      <c r="AA17" s="1264">
        <v>1</v>
      </c>
      <c r="AB17" s="1264">
        <v>1</v>
      </c>
      <c r="AC17" s="1264">
        <v>1</v>
      </c>
    </row>
    <row r="18" spans="1:29" ht="42.75">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6"/>
      <c r="Q19" s="1263"/>
      <c r="R19" s="667"/>
      <c r="S19" s="668"/>
      <c r="T19" s="667"/>
      <c r="U19" s="668"/>
      <c r="V19" s="667"/>
      <c r="W19" s="668"/>
      <c r="X19" s="1265"/>
      <c r="Y19" s="3386"/>
      <c r="Z19" s="1264"/>
      <c r="AA19" s="1264">
        <v>1</v>
      </c>
      <c r="AB19" s="1264">
        <v>1</v>
      </c>
      <c r="AC19" s="1264">
        <v>1</v>
      </c>
    </row>
    <row r="20" spans="1:29" ht="85.5">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6"/>
      <c r="Q21" s="1263"/>
      <c r="R21" s="667"/>
      <c r="S21" s="668"/>
      <c r="T21" s="667"/>
      <c r="U21" s="668"/>
      <c r="V21" s="667"/>
      <c r="W21" s="668"/>
      <c r="X21" s="1265"/>
      <c r="Y21" s="33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3"/>
      <c r="M37" s="2486"/>
      <c r="N37" s="2486"/>
      <c r="O37" s="2486"/>
      <c r="P37" s="3383" t="str">
        <f>A37</f>
        <v>成交单价</v>
      </c>
      <c r="Q37" s="3383"/>
      <c r="R37" s="3384">
        <f>E37</f>
        <v>0</v>
      </c>
      <c r="S37" s="3384"/>
      <c r="T37" s="3384">
        <f>G37</f>
        <v>0</v>
      </c>
      <c r="U37" s="3384"/>
      <c r="V37" s="3384">
        <f>I37</f>
        <v>0</v>
      </c>
      <c r="W37" s="338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01" priority="13" stopIfTrue="1">
      <formula>$F$42="超过30%"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F7:F36 H7:H36 J7:J36">
    <cfRule type="cellIs" dxfId="98" priority="1" operator="notEqual">
      <formula>100</formula>
    </cfRule>
  </conditionalFormatting>
  <conditionalFormatting sqref="F38">
    <cfRule type="expression" dxfId="97" priority="4">
      <formula>$D$38="简单平均"</formula>
    </cfRule>
  </conditionalFormatting>
  <conditionalFormatting sqref="F42:F44 H42:H44 J42:J44">
    <cfRule type="containsText" dxfId="96" priority="14" stopIfTrue="1" operator="containsText" text="超过">
      <formula>NOT(ISERROR(SEARCH("超过",F42)))</formula>
    </cfRule>
  </conditionalFormatting>
  <conditionalFormatting sqref="G42">
    <cfRule type="expression" dxfId="95" priority="9" stopIfTrue="1">
      <formula>$H$52+$H$42="超过30%"</formula>
    </cfRule>
  </conditionalFormatting>
  <conditionalFormatting sqref="G43">
    <cfRule type="expression" dxfId="94" priority="8" stopIfTrue="1">
      <formula>$H$43="超过20%"</formula>
    </cfRule>
  </conditionalFormatting>
  <conditionalFormatting sqref="G44">
    <cfRule type="expression" dxfId="93" priority="12" stopIfTrue="1">
      <formula>$H$54+$H$44="超过30%"</formula>
    </cfRule>
  </conditionalFormatting>
  <conditionalFormatting sqref="H38">
    <cfRule type="expression" dxfId="92" priority="3">
      <formula>$D$38="简单平均"</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J38">
    <cfRule type="expression" dxfId="8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6"/>
      <c r="Q15" s="1263"/>
      <c r="R15" s="667"/>
      <c r="S15" s="668"/>
      <c r="T15" s="667"/>
      <c r="U15" s="668"/>
      <c r="V15" s="667"/>
      <c r="W15" s="668"/>
      <c r="X15" s="1265"/>
      <c r="Y15" s="3386"/>
      <c r="Z15" s="1264"/>
      <c r="AA15" s="1264">
        <v>1</v>
      </c>
      <c r="AB15" s="1264">
        <v>1</v>
      </c>
      <c r="AC15" s="1264">
        <v>1</v>
      </c>
    </row>
    <row r="16" spans="1:29" ht="142.5">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6"/>
      <c r="Q17" s="1263"/>
      <c r="R17" s="667"/>
      <c r="S17" s="668"/>
      <c r="T17" s="667"/>
      <c r="U17" s="668"/>
      <c r="V17" s="667"/>
      <c r="W17" s="668"/>
      <c r="X17" s="1265"/>
      <c r="Y17" s="3386"/>
      <c r="Z17" s="1264"/>
      <c r="AA17" s="1264">
        <v>1</v>
      </c>
      <c r="AB17" s="1264">
        <v>1</v>
      </c>
      <c r="AC17" s="1264">
        <v>1</v>
      </c>
    </row>
    <row r="18" spans="1:29" ht="42.75">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6"/>
      <c r="Q19" s="1263"/>
      <c r="R19" s="667"/>
      <c r="S19" s="668"/>
      <c r="T19" s="667"/>
      <c r="U19" s="668"/>
      <c r="V19" s="667"/>
      <c r="W19" s="668"/>
      <c r="X19" s="1265"/>
      <c r="Y19" s="3386"/>
      <c r="Z19" s="1264"/>
      <c r="AA19" s="1264">
        <v>1</v>
      </c>
      <c r="AB19" s="1264">
        <v>1</v>
      </c>
      <c r="AC19" s="1264">
        <v>1</v>
      </c>
    </row>
    <row r="20" spans="1:29" ht="85.5">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6"/>
      <c r="Q21" s="1263"/>
      <c r="R21" s="667"/>
      <c r="S21" s="668"/>
      <c r="T21" s="667"/>
      <c r="U21" s="668"/>
      <c r="V21" s="667"/>
      <c r="W21" s="668"/>
      <c r="X21" s="1265"/>
      <c r="Y21" s="33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87" priority="13" stopIfTrue="1">
      <formula>$F$40="超过30%"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F7:F34 H7:H34 J7:J34">
    <cfRule type="cellIs" dxfId="84" priority="1" operator="notEqual">
      <formula>100</formula>
    </cfRule>
  </conditionalFormatting>
  <conditionalFormatting sqref="F36">
    <cfRule type="expression" dxfId="83" priority="4">
      <formula>$D$36="简单平均"</formula>
    </cfRule>
  </conditionalFormatting>
  <conditionalFormatting sqref="F40:F42 H40:H42 J40:J42">
    <cfRule type="containsText" dxfId="82" priority="14" stopIfTrue="1" operator="containsText" text="超过">
      <formula>NOT(ISERROR(SEARCH("超过",F40)))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G42">
    <cfRule type="expression" dxfId="79" priority="12" stopIfTrue="1">
      <formula>$H$54+$H$42="超过30%"</formula>
    </cfRule>
  </conditionalFormatting>
  <conditionalFormatting sqref="H36">
    <cfRule type="expression" dxfId="78" priority="3">
      <formula>$D$36="简单平均"</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J36">
    <cfRule type="expression" dxfId="7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128.25">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6"/>
      <c r="Q20" s="1263"/>
      <c r="R20" s="667"/>
      <c r="S20" s="668"/>
      <c r="T20" s="667"/>
      <c r="U20" s="668"/>
      <c r="V20" s="667"/>
      <c r="W20" s="668"/>
      <c r="X20" s="1265"/>
      <c r="Y20" s="3386"/>
      <c r="Z20" s="1264"/>
      <c r="AA20" s="1264">
        <v>1</v>
      </c>
      <c r="AB20" s="1264">
        <v>1</v>
      </c>
      <c r="AC20" s="1264">
        <v>1</v>
      </c>
    </row>
    <row r="21" spans="1:29" ht="85.5">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6"/>
      <c r="Q24" s="1263"/>
      <c r="R24" s="667"/>
      <c r="S24" s="668"/>
      <c r="T24" s="667"/>
      <c r="U24" s="668"/>
      <c r="V24" s="667"/>
      <c r="W24" s="668"/>
      <c r="X24" s="1265"/>
      <c r="Y24" s="3386"/>
      <c r="Z24" s="1264"/>
      <c r="AA24" s="1264"/>
      <c r="AB24" s="1264"/>
      <c r="AC24" s="1264"/>
    </row>
    <row r="25" spans="1:29" ht="85.5">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6"/>
      <c r="Q26" s="1263"/>
      <c r="R26" s="667"/>
      <c r="S26" s="668"/>
      <c r="T26" s="667"/>
      <c r="U26" s="668"/>
      <c r="V26" s="667"/>
      <c r="W26" s="668"/>
      <c r="X26" s="1265"/>
      <c r="Y26" s="3386"/>
      <c r="Z26" s="1264"/>
      <c r="AA26" s="1264">
        <v>1</v>
      </c>
      <c r="AB26" s="1264">
        <v>1</v>
      </c>
      <c r="AC26" s="1264">
        <v>1</v>
      </c>
    </row>
    <row r="27" spans="1:29" s="102" customFormat="1" ht="142.5">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6"/>
      <c r="Q28" s="530"/>
      <c r="R28" s="664"/>
      <c r="S28" s="665"/>
      <c r="T28" s="664"/>
      <c r="U28" s="665"/>
      <c r="V28" s="664"/>
      <c r="W28" s="665"/>
      <c r="X28" s="666"/>
      <c r="Y28" s="3386"/>
      <c r="Z28" s="50"/>
      <c r="AA28" s="1264">
        <v>1</v>
      </c>
      <c r="AB28" s="1264">
        <v>1</v>
      </c>
      <c r="AC28" s="1264">
        <v>1</v>
      </c>
    </row>
    <row r="29" spans="1:29" s="102" customFormat="1" ht="42.75">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6"/>
      <c r="Q30" s="530"/>
      <c r="R30" s="664"/>
      <c r="S30" s="665"/>
      <c r="T30" s="664"/>
      <c r="U30" s="665"/>
      <c r="V30" s="664"/>
      <c r="W30" s="665"/>
      <c r="X30" s="666"/>
      <c r="Y30" s="33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6"/>
      <c r="Q33" s="1263"/>
      <c r="R33" s="667"/>
      <c r="S33" s="668"/>
      <c r="T33" s="667"/>
      <c r="U33" s="668"/>
      <c r="V33" s="667"/>
      <c r="W33" s="668"/>
      <c r="X33" s="1265"/>
      <c r="Y33" s="33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83" t="str">
        <f>A46</f>
        <v>成交单价</v>
      </c>
      <c r="Q46" s="3383"/>
      <c r="R46" s="3384">
        <f>E46</f>
        <v>0</v>
      </c>
      <c r="S46" s="3384"/>
      <c r="T46" s="3384">
        <f>G46</f>
        <v>0</v>
      </c>
      <c r="U46" s="3384"/>
      <c r="V46" s="3384">
        <f>I46</f>
        <v>0</v>
      </c>
      <c r="W46" s="338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3" t="str">
        <f>A47</f>
        <v>比较价值（元/平方米）</v>
      </c>
      <c r="Q47" s="3383"/>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4"/>
      <c r="H56" s="338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73" priority="13" stopIfTrue="1">
      <formula>$F$51="超过30%"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F7:F45 H7:H45 J7:J45">
    <cfRule type="cellIs" dxfId="70" priority="1" operator="notEqual">
      <formula>100</formula>
    </cfRule>
  </conditionalFormatting>
  <conditionalFormatting sqref="F47">
    <cfRule type="expression" dxfId="69" priority="4">
      <formula>$D$47="简单平均"</formula>
    </cfRule>
  </conditionalFormatting>
  <conditionalFormatting sqref="F51:F53 H51:H53 J51:J53">
    <cfRule type="containsText" dxfId="68" priority="14" stopIfTrue="1" operator="containsText" text="超过">
      <formula>NOT(ISERROR(SEARCH("超过",F51)))</formula>
    </cfRule>
  </conditionalFormatting>
  <conditionalFormatting sqref="G51">
    <cfRule type="expression" dxfId="67" priority="9" stopIfTrue="1">
      <formula>$H$53+$H$51="超过30%"</formula>
    </cfRule>
  </conditionalFormatting>
  <conditionalFormatting sqref="G52">
    <cfRule type="expression" dxfId="66" priority="8" stopIfTrue="1">
      <formula>$H$52="超过20%"</formula>
    </cfRule>
  </conditionalFormatting>
  <conditionalFormatting sqref="G53">
    <cfRule type="expression" dxfId="65" priority="12" stopIfTrue="1">
      <formula>$H$53="超过30%"</formula>
    </cfRule>
  </conditionalFormatting>
  <conditionalFormatting sqref="H47">
    <cfRule type="expression" dxfId="64" priority="3">
      <formula>$D$47="简单平均"</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J47">
    <cfRule type="expression" dxfId="6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75" thickBot="1">
      <c r="A6" s="350"/>
      <c r="B6" s="351"/>
      <c r="C6" s="3447" t="s">
        <v>1919</v>
      </c>
      <c r="D6" s="3448"/>
      <c r="E6" s="3449" t="s">
        <v>1919</v>
      </c>
      <c r="F6" s="3450"/>
      <c r="G6" s="3447" t="s">
        <v>1919</v>
      </c>
      <c r="H6" s="3448"/>
      <c r="I6" s="3447" t="s">
        <v>1919</v>
      </c>
      <c r="J6" s="3448"/>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7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6"/>
      <c r="Q20" s="1263"/>
      <c r="R20" s="667"/>
      <c r="S20" s="668"/>
      <c r="T20" s="667"/>
      <c r="U20" s="668"/>
      <c r="V20" s="667"/>
      <c r="W20" s="668"/>
      <c r="X20" s="1265"/>
      <c r="Y20" s="338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6"/>
      <c r="Q24" s="530"/>
      <c r="R24" s="664"/>
      <c r="S24" s="665"/>
      <c r="T24" s="664"/>
      <c r="U24" s="665"/>
      <c r="V24" s="664"/>
      <c r="W24" s="665"/>
      <c r="X24" s="666"/>
      <c r="Y24" s="338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6"/>
      <c r="Q29" s="1263"/>
      <c r="R29" s="667"/>
      <c r="S29" s="668"/>
      <c r="T29" s="667"/>
      <c r="U29" s="668"/>
      <c r="V29" s="667"/>
      <c r="W29" s="668"/>
      <c r="X29" s="1265"/>
      <c r="Y29" s="33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83" t="str">
        <f>A41</f>
        <v>成交单价</v>
      </c>
      <c r="Q41" s="3383"/>
      <c r="R41" s="3384">
        <f>E41</f>
        <v>0</v>
      </c>
      <c r="S41" s="3384"/>
      <c r="T41" s="3384">
        <f>G41</f>
        <v>0</v>
      </c>
      <c r="U41" s="3384"/>
      <c r="V41" s="3384">
        <f>I41</f>
        <v>0</v>
      </c>
      <c r="W41" s="338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83" t="str">
        <f>A42</f>
        <v>比较价值（元/平方米）</v>
      </c>
      <c r="Q42" s="3383"/>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8"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4"/>
      <c r="H51" s="338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59" priority="13" stopIfTrue="1">
      <formula>$F$46="超过30%"</formula>
    </cfRule>
  </conditionalFormatting>
  <conditionalFormatting sqref="E47">
    <cfRule type="expression" dxfId="58" priority="53" stopIfTrue="1">
      <formula>#REF!+$F$47="超过20%"</formula>
    </cfRule>
  </conditionalFormatting>
  <conditionalFormatting sqref="E48">
    <cfRule type="expression" dxfId="57" priority="10"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J46:J48">
    <cfRule type="containsText" dxfId="54" priority="14" stopIfTrue="1" operator="containsText" text="超过">
      <formula>NOT(ISERROR(SEARCH("超过",F46)))</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G48">
    <cfRule type="expression" dxfId="51" priority="12"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1" t="s">
        <v>27</v>
      </c>
      <c r="D22" s="3452"/>
      <c r="E22" s="3452"/>
      <c r="F22" s="3452"/>
      <c r="G22" s="3452"/>
      <c r="H22" s="3452"/>
      <c r="I22" s="3452"/>
      <c r="J22" s="3452"/>
      <c r="K22" s="3452"/>
      <c r="L22" s="3452"/>
      <c r="M22" s="3452"/>
      <c r="N22" s="3452"/>
      <c r="O22" s="3452"/>
      <c r="P22" s="3452"/>
      <c r="Q22" s="3453"/>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3512</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89.851900000000001</v>
      </c>
      <c r="C2" s="1289" t="s">
        <v>879</v>
      </c>
      <c r="D2" s="1375">
        <f ca="1">C40+J29+L46</f>
        <v>898519</v>
      </c>
      <c r="E2" s="1295" t="s">
        <v>880</v>
      </c>
      <c r="F2" s="1296"/>
      <c r="G2" s="2477"/>
      <c r="H2" s="2467"/>
      <c r="I2" s="2467"/>
      <c r="J2" s="2467"/>
      <c r="K2" s="2468"/>
      <c r="L2" s="2467"/>
      <c r="M2" s="2467"/>
    </row>
    <row r="3" spans="1:37" ht="18" customHeight="1" thickBot="1">
      <c r="A3" s="1297" t="s">
        <v>881</v>
      </c>
      <c r="B3" s="1298">
        <f ca="1">IF(ISERROR(D2/F43),0,ROUND(D2/F43,0))</f>
        <v>8797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75159</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359330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359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66940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836248</v>
      </c>
      <c r="D40" s="316" t="s">
        <v>758</v>
      </c>
      <c r="E40" s="294" t="s">
        <v>759</v>
      </c>
      <c r="F40" s="304">
        <f ca="1">INDIRECT("'数据-取费表'!I"&amp;$G$1)</f>
        <v>5.5E-2</v>
      </c>
      <c r="G40" s="1292"/>
      <c r="H40" s="1366">
        <f ca="1">C39/C5</f>
        <v>0.88953264321688175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-86.808400000000006</v>
      </c>
      <c r="D45" s="3129" t="s">
        <v>3350</v>
      </c>
      <c r="E45" s="1307"/>
      <c r="F45" s="1307"/>
      <c r="O45" s="1310" t="s">
        <v>808</v>
      </c>
      <c r="P45" s="1366"/>
      <c r="Q45" s="1366"/>
      <c r="R45" s="1366"/>
    </row>
    <row r="46" spans="1:18" s="1292" customFormat="1" ht="13.5" thickBot="1">
      <c r="A46" s="1311" t="s">
        <v>809</v>
      </c>
      <c r="C46" s="1312">
        <f ca="1">ROUND(C45,0)</f>
        <v>-87</v>
      </c>
      <c r="D46" s="1313" t="str">
        <f>C2</f>
        <v>万元</v>
      </c>
      <c r="I46" s="1314" t="s">
        <v>810</v>
      </c>
      <c r="J46" s="1315"/>
      <c r="K46" s="1316"/>
      <c r="L46" s="1317">
        <f ca="1">IF(M47="住宅",0,IF(L48&gt;J51,L60,J60))</f>
        <v>62271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836248</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62271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513328</v>
      </c>
      <c r="R49" s="1327" t="s">
        <v>818</v>
      </c>
    </row>
    <row r="50" spans="1:18" s="1292" customFormat="1" ht="13.5"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728062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898519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359330</v>
      </c>
      <c r="D56" s="1352"/>
      <c r="E56" s="1353"/>
      <c r="F56" s="1345"/>
      <c r="I56" s="1354" t="s">
        <v>842</v>
      </c>
      <c r="J56" s="1355" t="s">
        <v>3388</v>
      </c>
      <c r="K56" s="1328" t="s">
        <v>843</v>
      </c>
      <c r="L56" s="1331" t="str">
        <f ca="1">IF(L48&lt;J51,"——",L48-J51)</f>
        <v>——</v>
      </c>
      <c r="O56" s="1325" t="s">
        <v>403</v>
      </c>
      <c r="P56" s="1326" t="s">
        <v>817</v>
      </c>
      <c r="Q56" s="1327">
        <f ca="1">C40+J29</f>
        <v>836248</v>
      </c>
      <c r="R56" s="1327" t="s">
        <v>818</v>
      </c>
    </row>
    <row r="57" spans="1:18" s="1292" customFormat="1" ht="24.75" thickBot="1">
      <c r="A57" s="1356"/>
      <c r="B57" s="896" t="s">
        <v>767</v>
      </c>
      <c r="C57" s="230">
        <f ca="1">C29</f>
        <v>513328</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2926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213544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62271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836248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359</v>
      </c>
      <c r="D65" s="910" t="s">
        <v>743</v>
      </c>
      <c r="E65" s="896" t="s">
        <v>744</v>
      </c>
      <c r="F65" s="321">
        <f t="shared" ca="1" si="0"/>
        <v>1E-3</v>
      </c>
      <c r="I65" s="1367" t="s">
        <v>867</v>
      </c>
      <c r="J65" s="610">
        <v>40</v>
      </c>
      <c r="K65" s="610">
        <v>30</v>
      </c>
      <c r="L65" s="610">
        <v>50</v>
      </c>
      <c r="M65" s="1369">
        <v>0.02</v>
      </c>
      <c r="O65" s="1325" t="s">
        <v>403</v>
      </c>
      <c r="P65" s="1326" t="s">
        <v>868</v>
      </c>
      <c r="Q65" s="1327">
        <f ca="1">C40+J29</f>
        <v>836248</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-2926</v>
      </c>
      <c r="D67" s="909" t="s">
        <v>753</v>
      </c>
      <c r="E67" s="914"/>
      <c r="F67" s="915"/>
      <c r="O67" s="1334" t="s">
        <v>405</v>
      </c>
      <c r="P67" s="1326" t="s">
        <v>850</v>
      </c>
      <c r="Q67" s="1370">
        <f ca="1">L51</f>
        <v>728062</v>
      </c>
      <c r="R67" s="1327" t="s">
        <v>870</v>
      </c>
    </row>
    <row r="68" spans="1:18" s="1292" customFormat="1" ht="16.5" thickBot="1">
      <c r="A68" s="893" t="s">
        <v>395</v>
      </c>
      <c r="B68" s="894" t="s">
        <v>774</v>
      </c>
      <c r="C68" s="293">
        <f ca="1">ROUND(C67*(1-((1+F70)/(1+F68))^F69)/(F68-F70),0)</f>
        <v>-31836</v>
      </c>
      <c r="D68" s="911" t="s">
        <v>758</v>
      </c>
      <c r="E68" s="896" t="s">
        <v>759</v>
      </c>
      <c r="F68" s="304">
        <f ca="1">F40</f>
        <v>5.5E-2</v>
      </c>
      <c r="O68" s="1334" t="s">
        <v>406</v>
      </c>
      <c r="P68" s="1371" t="s">
        <v>871</v>
      </c>
      <c r="Q68" s="1327">
        <f ca="1">ROUND(Q69-Q70*Q71,0)</f>
        <v>41787</v>
      </c>
      <c r="R68" s="1327" t="s">
        <v>414</v>
      </c>
    </row>
    <row r="69" spans="1:18" s="1292" customFormat="1" ht="13.5" thickBot="1">
      <c r="A69" s="897"/>
      <c r="B69" s="898"/>
      <c r="C69" s="298"/>
      <c r="D69" s="916" t="s">
        <v>762</v>
      </c>
      <c r="E69" s="896" t="s">
        <v>763</v>
      </c>
      <c r="F69" s="324">
        <f ca="1">F41</f>
        <v>17.04</v>
      </c>
      <c r="O69" s="1334" t="s">
        <v>411</v>
      </c>
      <c r="P69" s="1371" t="s">
        <v>872</v>
      </c>
      <c r="Q69" s="1327">
        <f ca="1">C39</f>
        <v>66940</v>
      </c>
      <c r="R69" s="1327" t="s">
        <v>818</v>
      </c>
    </row>
    <row r="70" spans="1:18" s="1292" customFormat="1" ht="13.5" thickBot="1">
      <c r="A70" s="900"/>
      <c r="B70" s="901"/>
      <c r="C70" s="302"/>
      <c r="D70" s="912"/>
      <c r="E70" s="896" t="s">
        <v>766</v>
      </c>
      <c r="F70" s="991"/>
      <c r="O70" s="1334" t="s">
        <v>412</v>
      </c>
      <c r="P70" s="1371" t="s">
        <v>873</v>
      </c>
      <c r="Q70" s="1327">
        <f ca="1">C13</f>
        <v>359330</v>
      </c>
      <c r="R70" s="1327" t="s">
        <v>818</v>
      </c>
    </row>
    <row r="71" spans="1:18" s="1292" customFormat="1" ht="13.5" thickBot="1">
      <c r="A71" s="917" t="s">
        <v>396</v>
      </c>
      <c r="B71" s="918" t="s">
        <v>776</v>
      </c>
      <c r="C71" s="327">
        <f ca="1">ROUND(C68/F71,0)</f>
        <v>-312</v>
      </c>
      <c r="D71" s="919" t="s">
        <v>777</v>
      </c>
      <c r="E71" s="920" t="s">
        <v>778</v>
      </c>
      <c r="F71" s="330">
        <f ca="1">F43</f>
        <v>102.14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25153</v>
      </c>
      <c r="D75" s="1292"/>
      <c r="E75" s="1292"/>
      <c r="F75" s="1292"/>
      <c r="K75" s="1309"/>
      <c r="L75" s="1292"/>
      <c r="O75" s="1325" t="s">
        <v>409</v>
      </c>
      <c r="P75" s="1326" t="s">
        <v>838</v>
      </c>
      <c r="Q75" s="1327">
        <f ca="1">Q65+Q66</f>
        <v>836248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
      <formula>$J$51&gt;$L$48</formula>
    </cfRule>
  </conditionalFormatting>
  <conditionalFormatting sqref="J11">
    <cfRule type="expression" dxfId="41" priority="2">
      <formula>$M$10="自定义"</formula>
    </cfRule>
  </conditionalFormatting>
  <conditionalFormatting sqref="K55 K60">
    <cfRule type="expression" dxfId="4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3512</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122.4246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1" t="s">
        <v>1591</v>
      </c>
    </row>
    <row r="43" spans="1:7" ht="13.5" customHeight="1">
      <c r="A43" s="734" t="s">
        <v>347</v>
      </c>
      <c r="B43" s="207" t="s">
        <v>1545</v>
      </c>
      <c r="C43" s="230">
        <f ca="1">ROUND(IF('数据-取费表'!B22&lt;=1,C39*F22*'数据-取费表'!B20/2,C39*(POWER((1+F22),'数据-取费表'!B20/2)-1)),0)</f>
        <v>198</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359330</v>
      </c>
      <c r="D51" s="224"/>
      <c r="E51" s="224"/>
      <c r="F51" s="256"/>
      <c r="G51" s="226" t="s">
        <v>1560</v>
      </c>
    </row>
    <row r="52" spans="1:7" s="200" customFormat="1" ht="16.5" thickBot="1">
      <c r="A52" s="257" t="s">
        <v>1561</v>
      </c>
      <c r="B52" s="258"/>
      <c r="C52" s="259">
        <f ca="1">C31+C51</f>
        <v>1224246</v>
      </c>
      <c r="D52" s="258"/>
      <c r="E52" s="258"/>
      <c r="F52" s="258"/>
      <c r="G52" s="260"/>
    </row>
    <row r="55" spans="1:7" ht="15">
      <c r="B55" s="262" t="s">
        <v>1562</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7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5.5">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3.75">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6.75">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63.75">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63.75">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63.75">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1">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63.75">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5" t="s">
        <v>2606</v>
      </c>
      <c r="B20" s="3480" t="s">
        <v>2627</v>
      </c>
      <c r="C20" s="2841" t="s">
        <v>2438</v>
      </c>
      <c r="D20" s="2842"/>
      <c r="E20" s="2843">
        <v>1</v>
      </c>
      <c r="F20" s="2844" t="s">
        <v>2439</v>
      </c>
      <c r="G20" s="2844"/>
    </row>
    <row r="21" spans="1:13" ht="19.5" customHeight="1">
      <c r="A21" s="3486"/>
      <c r="B21" s="3479"/>
      <c r="C21" s="2845" t="s">
        <v>2440</v>
      </c>
      <c r="D21" s="2846"/>
      <c r="E21" s="2847">
        <v>1</v>
      </c>
      <c r="F21" s="2844" t="s">
        <v>2441</v>
      </c>
      <c r="G21" s="2844"/>
    </row>
    <row r="22" spans="1:13" ht="19.5" customHeight="1">
      <c r="A22" s="3486"/>
      <c r="B22" s="3479"/>
      <c r="C22" s="2845" t="s">
        <v>2442</v>
      </c>
      <c r="D22" s="2846"/>
      <c r="E22" s="2847">
        <v>0.9</v>
      </c>
      <c r="F22" s="2844" t="s">
        <v>2443</v>
      </c>
      <c r="G22" s="2844"/>
    </row>
    <row r="23" spans="1:13" ht="19.5" customHeight="1">
      <c r="A23" s="3486"/>
      <c r="B23" s="3479"/>
      <c r="C23" s="2845" t="s">
        <v>2444</v>
      </c>
      <c r="D23" s="2846"/>
      <c r="E23" s="2847">
        <v>0.9</v>
      </c>
      <c r="F23" s="2844" t="s">
        <v>2445</v>
      </c>
      <c r="G23" s="2844"/>
    </row>
    <row r="24" spans="1:13" ht="19.5" customHeight="1">
      <c r="A24" s="3486"/>
      <c r="B24" s="3479"/>
      <c r="C24" s="2845" t="s">
        <v>2446</v>
      </c>
      <c r="D24" s="2846"/>
      <c r="E24" s="2847">
        <v>0.8</v>
      </c>
      <c r="F24" s="2844" t="s">
        <v>2447</v>
      </c>
      <c r="G24" s="2844"/>
    </row>
    <row r="25" spans="1:13" ht="19.5" customHeight="1" thickBot="1">
      <c r="A25" s="3487"/>
      <c r="B25" s="3481"/>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2" t="s">
        <v>2630</v>
      </c>
      <c r="B27" s="3480" t="s">
        <v>2611</v>
      </c>
      <c r="C27" s="2841" t="s">
        <v>2451</v>
      </c>
      <c r="D27" s="2842"/>
      <c r="E27" s="2843">
        <v>1</v>
      </c>
      <c r="F27" s="2844" t="s">
        <v>2452</v>
      </c>
      <c r="G27" s="2844"/>
    </row>
    <row r="28" spans="1:13" ht="19.5" customHeight="1">
      <c r="A28" s="3483"/>
      <c r="B28" s="3479"/>
      <c r="C28" s="2845" t="s">
        <v>2453</v>
      </c>
      <c r="D28" s="2846"/>
      <c r="E28" s="2847">
        <v>1</v>
      </c>
      <c r="F28" s="2844" t="s">
        <v>2454</v>
      </c>
      <c r="G28" s="2844"/>
    </row>
    <row r="29" spans="1:13" ht="19.5" customHeight="1">
      <c r="A29" s="3483"/>
      <c r="B29" s="3479"/>
      <c r="C29" s="2845" t="s">
        <v>2455</v>
      </c>
      <c r="D29" s="2846"/>
      <c r="E29" s="2847">
        <v>0.8</v>
      </c>
      <c r="F29" s="2844" t="s">
        <v>2456</v>
      </c>
      <c r="G29" s="2844"/>
    </row>
    <row r="30" spans="1:13" ht="19.5" customHeight="1">
      <c r="A30" s="3483"/>
      <c r="B30" s="3479"/>
      <c r="C30" s="2845" t="s">
        <v>2457</v>
      </c>
      <c r="D30" s="2846"/>
      <c r="E30" s="2847">
        <v>0.8</v>
      </c>
      <c r="F30" s="2844" t="s">
        <v>2458</v>
      </c>
      <c r="G30" s="2844"/>
    </row>
    <row r="31" spans="1:13" ht="19.5" customHeight="1">
      <c r="A31" s="3483"/>
      <c r="B31" s="3479"/>
      <c r="C31" s="2845" t="s">
        <v>2459</v>
      </c>
      <c r="D31" s="2846"/>
      <c r="E31" s="2847">
        <v>0.8</v>
      </c>
      <c r="F31" s="2844" t="s">
        <v>2460</v>
      </c>
      <c r="G31" s="2844"/>
    </row>
    <row r="32" spans="1:13" ht="19.5" customHeight="1">
      <c r="A32" s="3483"/>
      <c r="B32" s="3479"/>
      <c r="C32" s="2845" t="s">
        <v>2461</v>
      </c>
      <c r="D32" s="2846"/>
      <c r="E32" s="2847">
        <v>0.7</v>
      </c>
      <c r="F32" s="2844" t="s">
        <v>2462</v>
      </c>
      <c r="G32" s="2844"/>
    </row>
    <row r="33" spans="1:7" ht="19.5" customHeight="1">
      <c r="A33" s="3483"/>
      <c r="B33" s="3479"/>
      <c r="C33" s="2845" t="s">
        <v>2463</v>
      </c>
      <c r="D33" s="2846"/>
      <c r="E33" s="2847">
        <v>0.8</v>
      </c>
      <c r="F33" s="2844" t="s">
        <v>2464</v>
      </c>
      <c r="G33" s="2844"/>
    </row>
    <row r="34" spans="1:7" ht="19.5" customHeight="1">
      <c r="A34" s="3483"/>
      <c r="B34" s="3479"/>
      <c r="C34" s="2845" t="s">
        <v>2465</v>
      </c>
      <c r="D34" s="2846"/>
      <c r="E34" s="2847">
        <v>0.6</v>
      </c>
      <c r="F34" s="2844" t="s">
        <v>2466</v>
      </c>
      <c r="G34" s="2844"/>
    </row>
    <row r="35" spans="1:7" ht="19.5" customHeight="1">
      <c r="A35" s="3483"/>
      <c r="B35" s="3479"/>
      <c r="C35" s="2845" t="s">
        <v>2467</v>
      </c>
      <c r="D35" s="2846"/>
      <c r="E35" s="2847">
        <v>0.2</v>
      </c>
      <c r="F35" s="2844" t="s">
        <v>2468</v>
      </c>
      <c r="G35" s="2844"/>
    </row>
    <row r="36" spans="1:7" ht="19.5" customHeight="1">
      <c r="A36" s="3483"/>
      <c r="B36" s="3479"/>
      <c r="C36" s="2845" t="s">
        <v>2469</v>
      </c>
      <c r="D36" s="2846"/>
      <c r="E36" s="2847">
        <v>0.2</v>
      </c>
      <c r="F36" s="2844" t="s">
        <v>2470</v>
      </c>
      <c r="G36" s="2844"/>
    </row>
    <row r="37" spans="1:7" ht="19.5" customHeight="1">
      <c r="A37" s="3483"/>
      <c r="B37" s="3477" t="s">
        <v>2631</v>
      </c>
      <c r="C37" s="2845" t="s">
        <v>2471</v>
      </c>
      <c r="D37" s="2846"/>
      <c r="E37" s="2847">
        <v>0.6</v>
      </c>
      <c r="F37" s="2844" t="s">
        <v>2472</v>
      </c>
      <c r="G37" s="2844"/>
    </row>
    <row r="38" spans="1:7" ht="19.5" customHeight="1">
      <c r="A38" s="3483"/>
      <c r="B38" s="3479"/>
      <c r="C38" s="2845" t="s">
        <v>2473</v>
      </c>
      <c r="D38" s="2846"/>
      <c r="E38" s="2847">
        <v>0.6</v>
      </c>
      <c r="F38" s="2844" t="s">
        <v>2474</v>
      </c>
      <c r="G38" s="2844"/>
    </row>
    <row r="39" spans="1:7" ht="19.5" customHeight="1" thickBot="1">
      <c r="A39" s="3484"/>
      <c r="B39" s="3481"/>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5" t="s">
        <v>2609</v>
      </c>
      <c r="B41" s="3480" t="s">
        <v>2633</v>
      </c>
      <c r="C41" s="2841" t="s">
        <v>2478</v>
      </c>
      <c r="D41" s="2842"/>
      <c r="E41" s="2843">
        <v>1</v>
      </c>
      <c r="F41" s="2844" t="s">
        <v>2479</v>
      </c>
      <c r="G41" s="2844"/>
    </row>
    <row r="42" spans="1:7" ht="19.5" customHeight="1">
      <c r="A42" s="3486"/>
      <c r="B42" s="3479"/>
      <c r="C42" s="2845" t="s">
        <v>2480</v>
      </c>
      <c r="D42" s="2846"/>
      <c r="E42" s="2847">
        <v>1</v>
      </c>
      <c r="F42" s="2844" t="s">
        <v>2481</v>
      </c>
      <c r="G42" s="2844"/>
    </row>
    <row r="43" spans="1:7" ht="19.5" customHeight="1">
      <c r="A43" s="3486"/>
      <c r="B43" s="3478"/>
      <c r="C43" s="2845" t="s">
        <v>2482</v>
      </c>
      <c r="D43" s="2846"/>
      <c r="E43" s="2847">
        <v>1.5</v>
      </c>
      <c r="F43" s="2844" t="s">
        <v>2483</v>
      </c>
      <c r="G43" s="2844"/>
    </row>
    <row r="44" spans="1:7" ht="19.5" customHeight="1">
      <c r="A44" s="3486"/>
      <c r="B44" s="2856" t="s">
        <v>2634</v>
      </c>
      <c r="C44" s="2845" t="s">
        <v>2635</v>
      </c>
      <c r="D44" s="2846"/>
      <c r="E44" s="2847">
        <v>2</v>
      </c>
      <c r="F44" s="2844" t="s">
        <v>2484</v>
      </c>
      <c r="G44" s="2844"/>
    </row>
    <row r="45" spans="1:7" ht="19.5" customHeight="1">
      <c r="A45" s="3486"/>
      <c r="B45" s="3477" t="s">
        <v>2636</v>
      </c>
      <c r="C45" s="2845" t="s">
        <v>2485</v>
      </c>
      <c r="D45" s="2846"/>
      <c r="E45" s="2847">
        <v>1</v>
      </c>
      <c r="F45" s="2844" t="s">
        <v>2486</v>
      </c>
      <c r="G45" s="2844"/>
    </row>
    <row r="46" spans="1:7" ht="19.5" customHeight="1">
      <c r="A46" s="3486"/>
      <c r="B46" s="3479"/>
      <c r="C46" s="2845" t="s">
        <v>2487</v>
      </c>
      <c r="D46" s="2846"/>
      <c r="E46" s="2847">
        <v>1</v>
      </c>
      <c r="F46" s="2844" t="s">
        <v>2488</v>
      </c>
      <c r="G46" s="2844"/>
    </row>
    <row r="47" spans="1:7" ht="19.5" customHeight="1">
      <c r="A47" s="3486"/>
      <c r="B47" s="3479"/>
      <c r="C47" s="2845" t="s">
        <v>2489</v>
      </c>
      <c r="D47" s="2846"/>
      <c r="E47" s="2847">
        <v>1</v>
      </c>
      <c r="F47" s="2844" t="s">
        <v>2490</v>
      </c>
      <c r="G47" s="2844"/>
    </row>
    <row r="48" spans="1:7" ht="19.5" customHeight="1">
      <c r="A48" s="3486"/>
      <c r="B48" s="3479"/>
      <c r="C48" s="2845" t="s">
        <v>2491</v>
      </c>
      <c r="D48" s="2846"/>
      <c r="E48" s="2847">
        <v>1</v>
      </c>
      <c r="F48" s="2844" t="s">
        <v>2492</v>
      </c>
      <c r="G48" s="2844"/>
    </row>
    <row r="49" spans="1:7" ht="19.5" customHeight="1">
      <c r="A49" s="3486"/>
      <c r="B49" s="3479"/>
      <c r="C49" s="2845" t="s">
        <v>2493</v>
      </c>
      <c r="D49" s="2846"/>
      <c r="E49" s="2847">
        <v>1</v>
      </c>
      <c r="F49" s="2844" t="s">
        <v>2494</v>
      </c>
      <c r="G49" s="2844"/>
    </row>
    <row r="50" spans="1:7" ht="19.5" customHeight="1">
      <c r="A50" s="3486"/>
      <c r="B50" s="3479"/>
      <c r="C50" s="2845" t="s">
        <v>2495</v>
      </c>
      <c r="D50" s="2846"/>
      <c r="E50" s="2847">
        <v>1</v>
      </c>
      <c r="F50" s="2844" t="s">
        <v>2496</v>
      </c>
      <c r="G50" s="2844"/>
    </row>
    <row r="51" spans="1:7" ht="19.5" customHeight="1" thickBot="1">
      <c r="A51" s="3487"/>
      <c r="B51" s="3481"/>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3.5">
      <c r="A72" s="2856"/>
      <c r="B72" s="2856"/>
      <c r="C72" s="2856" t="s">
        <v>2649</v>
      </c>
      <c r="D72" s="2856"/>
      <c r="E72" s="2856" t="s">
        <v>2620</v>
      </c>
      <c r="F72" s="2856" t="s">
        <v>2620</v>
      </c>
    </row>
    <row r="73" spans="1:7" ht="13.5">
      <c r="A73" s="2856">
        <v>1</v>
      </c>
      <c r="B73" s="3477" t="s">
        <v>2650</v>
      </c>
      <c r="C73" s="2830" t="s">
        <v>2651</v>
      </c>
      <c r="D73" s="2830" t="s">
        <v>2652</v>
      </c>
      <c r="E73" s="2856">
        <v>0.2</v>
      </c>
      <c r="F73" s="2856">
        <v>25</v>
      </c>
    </row>
    <row r="74" spans="1:7" ht="24">
      <c r="A74" s="2856">
        <v>2</v>
      </c>
      <c r="B74" s="3479"/>
      <c r="C74" s="2830" t="s">
        <v>2653</v>
      </c>
      <c r="D74" s="2830" t="s">
        <v>2654</v>
      </c>
      <c r="E74" s="2856">
        <v>0.2</v>
      </c>
      <c r="F74" s="2856">
        <v>25</v>
      </c>
    </row>
    <row r="75" spans="1:7" ht="24">
      <c r="A75" s="2856">
        <v>3</v>
      </c>
      <c r="B75" s="3479"/>
      <c r="C75" s="2830" t="s">
        <v>2655</v>
      </c>
      <c r="D75" s="2830" t="s">
        <v>2656</v>
      </c>
      <c r="E75" s="2856">
        <v>0.2</v>
      </c>
      <c r="F75" s="2856">
        <v>25</v>
      </c>
    </row>
    <row r="76" spans="1:7" ht="13.5">
      <c r="A76" s="2856">
        <v>4</v>
      </c>
      <c r="B76" s="3479"/>
      <c r="C76" s="2830" t="s">
        <v>2657</v>
      </c>
      <c r="D76" s="2830" t="s">
        <v>2658</v>
      </c>
      <c r="E76" s="2856">
        <v>0.15</v>
      </c>
      <c r="F76" s="2856">
        <v>20</v>
      </c>
    </row>
    <row r="77" spans="1:7" ht="24">
      <c r="A77" s="2856">
        <v>5</v>
      </c>
      <c r="B77" s="3479"/>
      <c r="C77" s="2830" t="s">
        <v>2659</v>
      </c>
      <c r="D77" s="2830" t="s">
        <v>2660</v>
      </c>
      <c r="E77" s="2856">
        <v>0.15</v>
      </c>
      <c r="F77" s="2856">
        <v>20</v>
      </c>
    </row>
    <row r="78" spans="1:7" ht="24">
      <c r="A78" s="2856">
        <v>6</v>
      </c>
      <c r="B78" s="3479"/>
      <c r="C78" s="2830" t="s">
        <v>2661</v>
      </c>
      <c r="D78" s="2830" t="s">
        <v>2662</v>
      </c>
      <c r="E78" s="2856">
        <v>0.15</v>
      </c>
      <c r="F78" s="2856">
        <v>20</v>
      </c>
    </row>
    <row r="79" spans="1:7" ht="24">
      <c r="A79" s="2856">
        <v>7</v>
      </c>
      <c r="B79" s="3479"/>
      <c r="C79" s="2830" t="s">
        <v>2663</v>
      </c>
      <c r="D79" s="2830" t="s">
        <v>2664</v>
      </c>
      <c r="E79" s="2856">
        <v>0.15</v>
      </c>
      <c r="F79" s="2856">
        <v>20</v>
      </c>
    </row>
    <row r="80" spans="1:7" ht="24">
      <c r="A80" s="2856">
        <v>8</v>
      </c>
      <c r="B80" s="3479"/>
      <c r="C80" s="2830" t="s">
        <v>2665</v>
      </c>
      <c r="D80" s="2830" t="s">
        <v>2666</v>
      </c>
      <c r="E80" s="2856">
        <v>0.1</v>
      </c>
      <c r="F80" s="2856">
        <v>15</v>
      </c>
    </row>
    <row r="81" spans="1:6" ht="24">
      <c r="A81" s="2856">
        <v>9</v>
      </c>
      <c r="B81" s="3479"/>
      <c r="C81" s="2830" t="s">
        <v>2667</v>
      </c>
      <c r="D81" s="2830" t="s">
        <v>2668</v>
      </c>
      <c r="E81" s="2856">
        <v>0.1</v>
      </c>
      <c r="F81" s="2856">
        <v>15</v>
      </c>
    </row>
    <row r="82" spans="1:6" ht="24">
      <c r="A82" s="2856">
        <v>10</v>
      </c>
      <c r="B82" s="3479"/>
      <c r="C82" s="2830" t="s">
        <v>2669</v>
      </c>
      <c r="D82" s="2830" t="s">
        <v>2670</v>
      </c>
      <c r="E82" s="2856">
        <v>0.1</v>
      </c>
      <c r="F82" s="2856">
        <v>15</v>
      </c>
    </row>
    <row r="83" spans="1:6" ht="24">
      <c r="A83" s="2856">
        <v>11</v>
      </c>
      <c r="B83" s="3479"/>
      <c r="C83" s="2830" t="s">
        <v>2671</v>
      </c>
      <c r="D83" s="2830" t="s">
        <v>2672</v>
      </c>
      <c r="E83" s="2856">
        <v>0.1</v>
      </c>
      <c r="F83" s="2856">
        <v>15</v>
      </c>
    </row>
    <row r="84" spans="1:6" ht="24">
      <c r="A84" s="2856">
        <v>12</v>
      </c>
      <c r="B84" s="3479"/>
      <c r="C84" s="2830" t="s">
        <v>2673</v>
      </c>
      <c r="D84" s="2830" t="s">
        <v>2674</v>
      </c>
      <c r="E84" s="2856">
        <v>0.1</v>
      </c>
      <c r="F84" s="2856">
        <v>15</v>
      </c>
    </row>
    <row r="85" spans="1:6" ht="13.5">
      <c r="A85" s="2856">
        <v>13</v>
      </c>
      <c r="B85" s="3479"/>
      <c r="C85" s="2830" t="s">
        <v>2675</v>
      </c>
      <c r="D85" s="2830" t="s">
        <v>2676</v>
      </c>
      <c r="E85" s="2856">
        <v>0.1</v>
      </c>
      <c r="F85" s="2856">
        <v>15</v>
      </c>
    </row>
    <row r="86" spans="1:6" ht="13.5">
      <c r="A86" s="2856">
        <v>14</v>
      </c>
      <c r="B86" s="3479"/>
      <c r="C86" s="2830" t="s">
        <v>2677</v>
      </c>
      <c r="D86" s="2830" t="s">
        <v>2678</v>
      </c>
      <c r="E86" s="2856">
        <v>0.1</v>
      </c>
      <c r="F86" s="2856">
        <v>15</v>
      </c>
    </row>
    <row r="87" spans="1:6" ht="13.5">
      <c r="A87" s="2856">
        <v>15</v>
      </c>
      <c r="B87" s="3479"/>
      <c r="C87" s="2830" t="s">
        <v>2679</v>
      </c>
      <c r="D87" s="2830" t="s">
        <v>2680</v>
      </c>
      <c r="E87" s="2856">
        <v>0.1</v>
      </c>
      <c r="F87" s="2856">
        <v>15</v>
      </c>
    </row>
    <row r="88" spans="1:6" ht="24">
      <c r="A88" s="2856">
        <v>16</v>
      </c>
      <c r="B88" s="3479"/>
      <c r="C88" s="2830" t="s">
        <v>2681</v>
      </c>
      <c r="D88" s="2830" t="s">
        <v>2682</v>
      </c>
      <c r="E88" s="2856">
        <v>0.1</v>
      </c>
      <c r="F88" s="2856">
        <v>15</v>
      </c>
    </row>
    <row r="89" spans="1:6" ht="24">
      <c r="A89" s="2856">
        <v>17</v>
      </c>
      <c r="B89" s="3478"/>
      <c r="C89" s="2830" t="s">
        <v>2683</v>
      </c>
      <c r="D89" s="2830" t="s">
        <v>2684</v>
      </c>
      <c r="E89" s="2856">
        <v>0.1</v>
      </c>
      <c r="F89" s="2856">
        <v>15</v>
      </c>
    </row>
    <row r="90" spans="1:6" ht="13.5">
      <c r="A90" s="2856">
        <v>18</v>
      </c>
      <c r="B90" s="3477" t="s">
        <v>2685</v>
      </c>
      <c r="C90" s="2830" t="s">
        <v>2686</v>
      </c>
      <c r="D90" s="2830" t="s">
        <v>2687</v>
      </c>
      <c r="E90" s="2856">
        <v>0.2</v>
      </c>
      <c r="F90" s="2856">
        <v>25</v>
      </c>
    </row>
    <row r="91" spans="1:6" ht="24">
      <c r="A91" s="2856">
        <v>19</v>
      </c>
      <c r="B91" s="3479"/>
      <c r="C91" s="2830" t="s">
        <v>2688</v>
      </c>
      <c r="D91" s="2830" t="s">
        <v>2689</v>
      </c>
      <c r="E91" s="2856">
        <v>0.2</v>
      </c>
      <c r="F91" s="2856">
        <v>25</v>
      </c>
    </row>
    <row r="92" spans="1:6" ht="13.5">
      <c r="A92" s="2856">
        <v>20</v>
      </c>
      <c r="B92" s="3479"/>
      <c r="C92" s="2830" t="s">
        <v>2690</v>
      </c>
      <c r="D92" s="2830" t="s">
        <v>2691</v>
      </c>
      <c r="E92" s="2856">
        <v>0.15</v>
      </c>
      <c r="F92" s="2856">
        <v>20</v>
      </c>
    </row>
    <row r="93" spans="1:6" ht="13.5">
      <c r="A93" s="2856">
        <v>21</v>
      </c>
      <c r="B93" s="3479"/>
      <c r="C93" s="2830" t="s">
        <v>2692</v>
      </c>
      <c r="D93" s="2830" t="s">
        <v>2693</v>
      </c>
      <c r="E93" s="2856">
        <v>0.15</v>
      </c>
      <c r="F93" s="2856">
        <v>20</v>
      </c>
    </row>
    <row r="94" spans="1:6" ht="13.5">
      <c r="A94" s="2856">
        <v>22</v>
      </c>
      <c r="B94" s="3479"/>
      <c r="C94" s="2830" t="s">
        <v>2694</v>
      </c>
      <c r="D94" s="2830" t="s">
        <v>2695</v>
      </c>
      <c r="E94" s="2856">
        <v>0.15</v>
      </c>
      <c r="F94" s="2856">
        <v>20</v>
      </c>
    </row>
    <row r="95" spans="1:6" ht="36">
      <c r="A95" s="2856">
        <v>23</v>
      </c>
      <c r="B95" s="3479"/>
      <c r="C95" s="2830" t="s">
        <v>2696</v>
      </c>
      <c r="D95" s="2830" t="s">
        <v>2697</v>
      </c>
      <c r="E95" s="2856">
        <v>0.15</v>
      </c>
      <c r="F95" s="2856">
        <v>20</v>
      </c>
    </row>
    <row r="96" spans="1:6" ht="13.5">
      <c r="A96" s="2856">
        <v>24</v>
      </c>
      <c r="B96" s="3479"/>
      <c r="C96" s="2830" t="s">
        <v>2698</v>
      </c>
      <c r="D96" s="2830" t="s">
        <v>2699</v>
      </c>
      <c r="E96" s="2856">
        <v>0.1</v>
      </c>
      <c r="F96" s="2856">
        <v>15</v>
      </c>
    </row>
    <row r="97" spans="1:6" ht="13.5">
      <c r="A97" s="2856">
        <v>25</v>
      </c>
      <c r="B97" s="3479"/>
      <c r="C97" s="2830" t="s">
        <v>2700</v>
      </c>
      <c r="D97" s="2830" t="s">
        <v>2701</v>
      </c>
      <c r="E97" s="2856">
        <v>0.1</v>
      </c>
      <c r="F97" s="2856">
        <v>15</v>
      </c>
    </row>
    <row r="98" spans="1:6" ht="24">
      <c r="A98" s="2856">
        <v>26</v>
      </c>
      <c r="B98" s="3479"/>
      <c r="C98" s="2830" t="s">
        <v>2702</v>
      </c>
      <c r="D98" s="2830" t="s">
        <v>2703</v>
      </c>
      <c r="E98" s="2856">
        <v>0.1</v>
      </c>
      <c r="F98" s="2856">
        <v>15</v>
      </c>
    </row>
    <row r="99" spans="1:6" ht="24">
      <c r="A99" s="2856">
        <v>27</v>
      </c>
      <c r="B99" s="3479"/>
      <c r="C99" s="2830" t="s">
        <v>2704</v>
      </c>
      <c r="D99" s="2830" t="s">
        <v>2705</v>
      </c>
      <c r="E99" s="2856">
        <v>0.1</v>
      </c>
      <c r="F99" s="2856">
        <v>15</v>
      </c>
    </row>
    <row r="100" spans="1:6" ht="13.5">
      <c r="A100" s="2856">
        <v>28</v>
      </c>
      <c r="B100" s="3479"/>
      <c r="C100" s="2830" t="s">
        <v>2706</v>
      </c>
      <c r="D100" s="2830" t="s">
        <v>2707</v>
      </c>
      <c r="E100" s="2856">
        <v>0.1</v>
      </c>
      <c r="F100" s="2856">
        <v>15</v>
      </c>
    </row>
    <row r="101" spans="1:6" ht="13.5">
      <c r="A101" s="2856">
        <v>29</v>
      </c>
      <c r="B101" s="3479"/>
      <c r="C101" s="2830" t="s">
        <v>2708</v>
      </c>
      <c r="D101" s="2830" t="s">
        <v>2709</v>
      </c>
      <c r="E101" s="2856">
        <v>0.1</v>
      </c>
      <c r="F101" s="2856">
        <v>15</v>
      </c>
    </row>
    <row r="102" spans="1:6" ht="13.5">
      <c r="A102" s="2856">
        <v>30</v>
      </c>
      <c r="B102" s="3479"/>
      <c r="C102" s="2830" t="s">
        <v>2710</v>
      </c>
      <c r="D102" s="2830" t="s">
        <v>2711</v>
      </c>
      <c r="E102" s="2856">
        <v>0.1</v>
      </c>
      <c r="F102" s="2856">
        <v>15</v>
      </c>
    </row>
    <row r="103" spans="1:6" ht="24">
      <c r="A103" s="2856">
        <v>31</v>
      </c>
      <c r="B103" s="3479"/>
      <c r="C103" s="2830" t="s">
        <v>2712</v>
      </c>
      <c r="D103" s="2830" t="s">
        <v>2713</v>
      </c>
      <c r="E103" s="2856">
        <v>0.1</v>
      </c>
      <c r="F103" s="2856">
        <v>15</v>
      </c>
    </row>
    <row r="104" spans="1:6" ht="24">
      <c r="A104" s="2856">
        <v>32</v>
      </c>
      <c r="B104" s="3479"/>
      <c r="C104" s="2830" t="s">
        <v>2714</v>
      </c>
      <c r="D104" s="2830" t="s">
        <v>2715</v>
      </c>
      <c r="E104" s="2856">
        <v>0.1</v>
      </c>
      <c r="F104" s="2856">
        <v>15</v>
      </c>
    </row>
    <row r="105" spans="1:6" ht="24">
      <c r="A105" s="2856">
        <v>33</v>
      </c>
      <c r="B105" s="3479"/>
      <c r="C105" s="2830" t="s">
        <v>2716</v>
      </c>
      <c r="D105" s="2830" t="s">
        <v>2717</v>
      </c>
      <c r="E105" s="2856">
        <v>0.1</v>
      </c>
      <c r="F105" s="2856">
        <v>15</v>
      </c>
    </row>
    <row r="106" spans="1:6" ht="24">
      <c r="A106" s="2856">
        <v>34</v>
      </c>
      <c r="B106" s="3478"/>
      <c r="C106" s="2830" t="s">
        <v>2718</v>
      </c>
      <c r="D106" s="2830" t="s">
        <v>2719</v>
      </c>
      <c r="E106" s="2856">
        <v>0.1</v>
      </c>
      <c r="F106" s="2856">
        <v>15</v>
      </c>
    </row>
    <row r="107" spans="1:6" ht="24">
      <c r="A107" s="2856">
        <v>35</v>
      </c>
      <c r="B107" s="3477" t="s">
        <v>2720</v>
      </c>
      <c r="C107" s="2856" t="s">
        <v>2721</v>
      </c>
      <c r="D107" s="2830" t="s">
        <v>2722</v>
      </c>
      <c r="E107" s="2856">
        <v>0.15</v>
      </c>
      <c r="F107" s="2856">
        <v>20</v>
      </c>
    </row>
    <row r="108" spans="1:6" ht="13.5">
      <c r="A108" s="2856">
        <v>36</v>
      </c>
      <c r="B108" s="3479"/>
      <c r="C108" s="2856" t="s">
        <v>2723</v>
      </c>
      <c r="D108" s="2830" t="s">
        <v>2724</v>
      </c>
      <c r="E108" s="2856">
        <v>0.15</v>
      </c>
      <c r="F108" s="2856">
        <v>20</v>
      </c>
    </row>
    <row r="109" spans="1:6" ht="13.5">
      <c r="A109" s="2856">
        <v>37</v>
      </c>
      <c r="B109" s="3479"/>
      <c r="C109" s="2856" t="s">
        <v>2725</v>
      </c>
      <c r="D109" s="2830" t="s">
        <v>2726</v>
      </c>
      <c r="E109" s="2856">
        <v>0.15</v>
      </c>
      <c r="F109" s="2856">
        <v>20</v>
      </c>
    </row>
    <row r="110" spans="1:6" ht="13.5">
      <c r="A110" s="2856">
        <v>38</v>
      </c>
      <c r="B110" s="3479"/>
      <c r="C110" s="2856" t="s">
        <v>2727</v>
      </c>
      <c r="D110" s="2830" t="s">
        <v>2728</v>
      </c>
      <c r="E110" s="2856">
        <v>0.1</v>
      </c>
      <c r="F110" s="2856">
        <v>15</v>
      </c>
    </row>
    <row r="111" spans="1:6" ht="24">
      <c r="A111" s="2856">
        <v>39</v>
      </c>
      <c r="B111" s="3479"/>
      <c r="C111" s="2856" t="s">
        <v>2729</v>
      </c>
      <c r="D111" s="2830" t="s">
        <v>2730</v>
      </c>
      <c r="E111" s="2856">
        <v>0.1</v>
      </c>
      <c r="F111" s="2856">
        <v>15</v>
      </c>
    </row>
    <row r="112" spans="1:6" ht="24">
      <c r="A112" s="2856">
        <v>40</v>
      </c>
      <c r="B112" s="3478"/>
      <c r="C112" s="2856" t="s">
        <v>2731</v>
      </c>
      <c r="D112" s="2830" t="s">
        <v>2732</v>
      </c>
      <c r="E112" s="2856">
        <v>0.1</v>
      </c>
      <c r="F112" s="2856">
        <v>15</v>
      </c>
    </row>
    <row r="113" spans="1:6" ht="13.5">
      <c r="A113" s="2856">
        <v>41</v>
      </c>
      <c r="B113" s="3476" t="s">
        <v>2733</v>
      </c>
      <c r="C113" s="2856" t="s">
        <v>2734</v>
      </c>
      <c r="D113" s="2830" t="s">
        <v>2735</v>
      </c>
      <c r="E113" s="2856">
        <v>0.1</v>
      </c>
      <c r="F113" s="2856">
        <v>15</v>
      </c>
    </row>
    <row r="114" spans="1:6" ht="13.5">
      <c r="A114" s="2856">
        <v>42</v>
      </c>
      <c r="B114" s="3476"/>
      <c r="C114" s="2856" t="s">
        <v>2736</v>
      </c>
      <c r="D114" s="2830" t="s">
        <v>2737</v>
      </c>
      <c r="E114" s="2856">
        <v>0.1</v>
      </c>
      <c r="F114" s="2856">
        <v>15</v>
      </c>
    </row>
    <row r="115" spans="1:6" ht="24">
      <c r="A115" s="2856">
        <v>43</v>
      </c>
      <c r="B115" s="3476"/>
      <c r="C115" s="2856" t="s">
        <v>2738</v>
      </c>
      <c r="D115" s="2830" t="s">
        <v>2739</v>
      </c>
      <c r="E115" s="2856">
        <v>0.1</v>
      </c>
      <c r="F115" s="2856">
        <v>15</v>
      </c>
    </row>
    <row r="116" spans="1:6" ht="13.5">
      <c r="A116" s="2856">
        <v>44</v>
      </c>
      <c r="B116" s="3477" t="s">
        <v>2740</v>
      </c>
      <c r="C116" s="2856" t="s">
        <v>2741</v>
      </c>
      <c r="D116" s="2830" t="s">
        <v>2742</v>
      </c>
      <c r="E116" s="2856">
        <v>0.1</v>
      </c>
      <c r="F116" s="2856">
        <v>15</v>
      </c>
    </row>
    <row r="117" spans="1:6" ht="24">
      <c r="A117" s="2856">
        <v>45</v>
      </c>
      <c r="B117" s="3478"/>
      <c r="C117" s="2830" t="s">
        <v>2743</v>
      </c>
      <c r="D117" s="2830" t="s">
        <v>2744</v>
      </c>
      <c r="E117" s="2856">
        <v>0.1</v>
      </c>
      <c r="F117" s="2856">
        <v>15</v>
      </c>
    </row>
    <row r="118" spans="1:6" ht="24">
      <c r="A118" s="2856">
        <v>46</v>
      </c>
      <c r="B118" s="3477" t="s">
        <v>2745</v>
      </c>
      <c r="C118" s="2856" t="s">
        <v>2746</v>
      </c>
      <c r="D118" s="2830" t="s">
        <v>2747</v>
      </c>
      <c r="E118" s="2856">
        <v>0.1</v>
      </c>
      <c r="F118" s="2856">
        <v>15</v>
      </c>
    </row>
    <row r="119" spans="1:6" ht="24">
      <c r="A119" s="2856">
        <v>47</v>
      </c>
      <c r="B119" s="3478"/>
      <c r="C119" s="2856" t="s">
        <v>2748</v>
      </c>
      <c r="D119" s="2830" t="s">
        <v>2749</v>
      </c>
      <c r="E119" s="2856">
        <v>0.1</v>
      </c>
      <c r="F119" s="2856">
        <v>15</v>
      </c>
    </row>
    <row r="120" spans="1:6" ht="13.5">
      <c r="A120" s="2856">
        <v>48</v>
      </c>
      <c r="B120" s="3477" t="s">
        <v>2750</v>
      </c>
      <c r="C120" s="2856" t="s">
        <v>2751</v>
      </c>
      <c r="D120" s="2830" t="s">
        <v>2752</v>
      </c>
      <c r="E120" s="2856">
        <v>0.1</v>
      </c>
      <c r="F120" s="2856">
        <v>15</v>
      </c>
    </row>
    <row r="121" spans="1:6" ht="13.5">
      <c r="A121" s="2856">
        <v>49</v>
      </c>
      <c r="B121" s="3478"/>
      <c r="C121" s="2856" t="s">
        <v>2753</v>
      </c>
      <c r="D121" s="2830" t="s">
        <v>2754</v>
      </c>
      <c r="E121" s="2856">
        <v>0.1</v>
      </c>
      <c r="F121" s="2856">
        <v>15</v>
      </c>
    </row>
    <row r="122" spans="1:6" ht="24">
      <c r="A122" s="2856">
        <v>50</v>
      </c>
      <c r="B122" s="3476" t="s">
        <v>2755</v>
      </c>
      <c r="C122" s="2856" t="s">
        <v>2756</v>
      </c>
      <c r="D122" s="2830" t="s">
        <v>2757</v>
      </c>
      <c r="E122" s="2856">
        <v>0.1</v>
      </c>
      <c r="F122" s="2856">
        <v>15</v>
      </c>
    </row>
    <row r="123" spans="1:6" ht="24">
      <c r="A123" s="2856">
        <v>51</v>
      </c>
      <c r="B123" s="3476"/>
      <c r="C123" s="2856" t="s">
        <v>2758</v>
      </c>
      <c r="D123" s="2830" t="s">
        <v>2759</v>
      </c>
      <c r="E123" s="2856">
        <v>0.1</v>
      </c>
      <c r="F123" s="2856">
        <v>15</v>
      </c>
    </row>
    <row r="124" spans="1:6" ht="24">
      <c r="A124" s="2856">
        <v>52</v>
      </c>
      <c r="B124" s="3476" t="s">
        <v>2760</v>
      </c>
      <c r="C124" s="2856" t="s">
        <v>2761</v>
      </c>
      <c r="D124" s="2830" t="s">
        <v>2762</v>
      </c>
      <c r="E124" s="2856">
        <v>0.1</v>
      </c>
      <c r="F124" s="2856">
        <v>15</v>
      </c>
    </row>
    <row r="125" spans="1:6" ht="24">
      <c r="A125" s="2856">
        <v>53</v>
      </c>
      <c r="B125" s="3476"/>
      <c r="C125" s="2856" t="s">
        <v>2763</v>
      </c>
      <c r="D125" s="2830" t="s">
        <v>2764</v>
      </c>
      <c r="E125" s="2856">
        <v>0.1</v>
      </c>
      <c r="F125" s="2856">
        <v>15</v>
      </c>
    </row>
    <row r="126" spans="1:6" ht="13.5">
      <c r="A126" s="2856">
        <v>54</v>
      </c>
      <c r="B126" s="2856" t="s">
        <v>2765</v>
      </c>
      <c r="C126" s="2856" t="s">
        <v>2766</v>
      </c>
      <c r="D126" s="2830" t="s">
        <v>2767</v>
      </c>
      <c r="E126" s="2856">
        <v>0.1</v>
      </c>
      <c r="F126" s="2856">
        <v>15</v>
      </c>
    </row>
    <row r="127" spans="1:6" ht="13.5">
      <c r="A127" s="2856">
        <v>55</v>
      </c>
      <c r="B127" s="3476" t="s">
        <v>2768</v>
      </c>
      <c r="C127" s="2856" t="s">
        <v>2769</v>
      </c>
      <c r="D127" s="2830" t="s">
        <v>2770</v>
      </c>
      <c r="E127" s="2856">
        <v>0.1</v>
      </c>
      <c r="F127" s="2856">
        <v>15</v>
      </c>
    </row>
    <row r="128" spans="1:6" ht="13.5">
      <c r="A128" s="2856">
        <v>56</v>
      </c>
      <c r="B128" s="3476"/>
      <c r="C128" s="2856" t="s">
        <v>2771</v>
      </c>
      <c r="D128" s="2830" t="s">
        <v>2772</v>
      </c>
      <c r="E128" s="2856">
        <v>0.1</v>
      </c>
      <c r="F128" s="2856">
        <v>15</v>
      </c>
    </row>
    <row r="129" spans="1:6" ht="24">
      <c r="A129" s="2856">
        <v>57</v>
      </c>
      <c r="B129" s="3476"/>
      <c r="C129" s="2856" t="s">
        <v>2773</v>
      </c>
      <c r="D129" s="2830" t="s">
        <v>2774</v>
      </c>
      <c r="E129" s="2856">
        <v>0.1</v>
      </c>
      <c r="F129" s="2856">
        <v>15</v>
      </c>
    </row>
    <row r="130" spans="1:6" ht="24">
      <c r="A130" s="2856">
        <v>58</v>
      </c>
      <c r="B130" s="3476" t="s">
        <v>2775</v>
      </c>
      <c r="C130" s="2856" t="s">
        <v>2776</v>
      </c>
      <c r="D130" s="2830" t="s">
        <v>2777</v>
      </c>
      <c r="E130" s="2856">
        <v>0.1</v>
      </c>
      <c r="F130" s="2856">
        <v>15</v>
      </c>
    </row>
    <row r="131" spans="1:6" ht="13.5">
      <c r="A131" s="2856">
        <v>59</v>
      </c>
      <c r="B131" s="3476"/>
      <c r="C131" s="2856" t="s">
        <v>2778</v>
      </c>
      <c r="D131" s="2830" t="s">
        <v>2779</v>
      </c>
      <c r="E131" s="2856">
        <v>0.1</v>
      </c>
      <c r="F131" s="2856">
        <v>15</v>
      </c>
    </row>
    <row r="132" spans="1:6" ht="13.5">
      <c r="A132" s="2856">
        <v>60</v>
      </c>
      <c r="B132" s="3477" t="s">
        <v>2780</v>
      </c>
      <c r="C132" s="2856" t="s">
        <v>2781</v>
      </c>
      <c r="D132" s="2830" t="s">
        <v>2782</v>
      </c>
      <c r="E132" s="2856">
        <v>0.1</v>
      </c>
      <c r="F132" s="2856">
        <v>15</v>
      </c>
    </row>
    <row r="133" spans="1:6" ht="13.5">
      <c r="A133" s="2856">
        <v>61</v>
      </c>
      <c r="B133" s="3478"/>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13.5">
      <c r="A135" s="2856">
        <v>63</v>
      </c>
      <c r="B135" s="3476" t="s">
        <v>2788</v>
      </c>
      <c r="C135" s="2856" t="s">
        <v>2789</v>
      </c>
      <c r="D135" s="2830" t="s">
        <v>2790</v>
      </c>
      <c r="E135" s="2856">
        <v>0.1</v>
      </c>
      <c r="F135" s="2856">
        <v>15</v>
      </c>
    </row>
    <row r="136" spans="1:6" ht="13.5">
      <c r="A136" s="2856">
        <v>64</v>
      </c>
      <c r="B136" s="3476"/>
      <c r="C136" s="2856" t="s">
        <v>2791</v>
      </c>
      <c r="D136" s="2830" t="s">
        <v>2792</v>
      </c>
      <c r="E136" s="2856">
        <v>0.1</v>
      </c>
      <c r="F136" s="2856">
        <v>15</v>
      </c>
    </row>
    <row r="137" spans="1:6" ht="13.5">
      <c r="A137" s="2856">
        <v>65</v>
      </c>
      <c r="B137" s="2856" t="s">
        <v>2793</v>
      </c>
      <c r="C137" s="2856" t="s">
        <v>2794</v>
      </c>
      <c r="D137" s="2830" t="s">
        <v>2795</v>
      </c>
      <c r="E137" s="2856">
        <v>0.1</v>
      </c>
      <c r="F137" s="2856">
        <v>15</v>
      </c>
    </row>
    <row r="138" spans="1:6" ht="13.5">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1"/>
      <c r="B4" s="3171" t="s">
        <v>917</v>
      </c>
      <c r="C4" s="3171"/>
      <c r="D4" s="3171"/>
      <c r="E4" s="1391"/>
    </row>
    <row r="5" spans="1:5" ht="16.5" thickTop="1">
      <c r="B5" s="3169" t="s">
        <v>909</v>
      </c>
      <c r="C5" s="1392" t="s">
        <v>910</v>
      </c>
      <c r="D5" s="797">
        <f ca="1">结果表第1!H101</f>
        <v>160</v>
      </c>
    </row>
    <row r="6" spans="1:5" ht="15.75">
      <c r="B6" s="3169"/>
      <c r="C6" s="1392" t="s">
        <v>911</v>
      </c>
      <c r="D6" s="797" t="str">
        <f ca="1">NUMBERSTRING(INT(D5*10000),2)&amp;"元整"</f>
        <v>壹佰陆拾万元整</v>
      </c>
    </row>
    <row r="7" spans="1:5" ht="15.75">
      <c r="B7" s="3174"/>
      <c r="C7" s="1393" t="s">
        <v>912</v>
      </c>
      <c r="D7" s="798">
        <f ca="1">结果表第1!H102</f>
        <v>15691</v>
      </c>
    </row>
    <row r="8" spans="1:5" ht="15.75">
      <c r="B8" s="3175" t="str">
        <f>结果表第1!E103</f>
        <v>2.估价师知悉的法定优先受偿款</v>
      </c>
      <c r="C8" s="1394" t="s">
        <v>913</v>
      </c>
      <c r="D8" s="798">
        <f>结果表第1!H103</f>
        <v>0</v>
      </c>
    </row>
    <row r="9" spans="1:5" ht="15.75">
      <c r="B9" s="3177"/>
      <c r="C9" s="1392" t="s">
        <v>911</v>
      </c>
      <c r="D9" s="797" t="str">
        <f>NUMBERSTRING(INT(D8*10000),2)&amp;"元整"</f>
        <v>零元整</v>
      </c>
    </row>
    <row r="10" spans="1:5" ht="15">
      <c r="B10" s="1395" t="s">
        <v>916</v>
      </c>
      <c r="C10" s="1396" t="s">
        <v>914</v>
      </c>
      <c r="D10" s="799">
        <f>结果表第1!H104</f>
        <v>0</v>
      </c>
    </row>
    <row r="11" spans="1:5" ht="15">
      <c r="B11" s="1395" t="s">
        <v>918</v>
      </c>
      <c r="C11" s="1396" t="s">
        <v>919</v>
      </c>
      <c r="D11" s="799">
        <f>结果表第1!H105</f>
        <v>0</v>
      </c>
    </row>
    <row r="12" spans="1:5" ht="15">
      <c r="B12" s="1395" t="s">
        <v>920</v>
      </c>
      <c r="C12" s="1396" t="s">
        <v>919</v>
      </c>
      <c r="D12" s="799">
        <f>结果表第1!H106</f>
        <v>0</v>
      </c>
    </row>
    <row r="13" spans="1:5" ht="15.75">
      <c r="B13" s="3168" t="str">
        <f>结果表第1!E107</f>
        <v>3.房地产抵押价值</v>
      </c>
      <c r="C13" s="1397" t="s">
        <v>910</v>
      </c>
      <c r="D13" s="800">
        <f ca="1">结果表第1!H107</f>
        <v>160</v>
      </c>
    </row>
    <row r="14" spans="1:5" ht="15.75">
      <c r="B14" s="3169"/>
      <c r="C14" s="1392" t="s">
        <v>911</v>
      </c>
      <c r="D14" s="797" t="str">
        <f ca="1">NUMBERSTRING(INT(D13*10000),2)&amp;"元整"</f>
        <v>壹佰陆拾万元整</v>
      </c>
    </row>
    <row r="15" spans="1:5" ht="15">
      <c r="B15" s="3174"/>
      <c r="C15" s="1393" t="s">
        <v>921</v>
      </c>
      <c r="D15" s="806">
        <f ca="1">结果表第1!H108</f>
        <v>15691</v>
      </c>
    </row>
    <row r="16" spans="1:5" ht="15">
      <c r="B16" s="3175" t="str">
        <f>结果表第1!E109</f>
        <v>——</v>
      </c>
      <c r="C16" s="1397" t="s">
        <v>922</v>
      </c>
      <c r="D16" s="1398" t="str">
        <f>结果表第1!H109</f>
        <v>——</v>
      </c>
    </row>
    <row r="17" spans="1:5" ht="15.75">
      <c r="B17" s="3176"/>
      <c r="C17" s="1392" t="s">
        <v>923</v>
      </c>
      <c r="D17" s="797" t="e">
        <f>NUMBERSTRING(INT(D16*10000),2)&amp;"元整"</f>
        <v>#VALUE!</v>
      </c>
    </row>
    <row r="18" spans="1:5" ht="15">
      <c r="B18" s="3177"/>
      <c r="C18" s="1393" t="s">
        <v>912</v>
      </c>
      <c r="D18" s="806" t="str">
        <f>结果表第1!H110</f>
        <v>——</v>
      </c>
    </row>
    <row r="19" spans="1:5" ht="15.75">
      <c r="B19" s="3168" t="str">
        <f>结果表第1!E111</f>
        <v>——</v>
      </c>
      <c r="C19" s="1397" t="s">
        <v>910</v>
      </c>
      <c r="D19" s="798" t="str">
        <f>结果表第1!H111</f>
        <v>——</v>
      </c>
    </row>
    <row r="20" spans="1:5" ht="15.75">
      <c r="B20" s="3169"/>
      <c r="C20" s="1392" t="s">
        <v>923</v>
      </c>
      <c r="D20" s="797" t="e">
        <f>NUMBERSTRING(INT(D19*10000),2)&amp;"元整"</f>
        <v>#VALUE!</v>
      </c>
    </row>
    <row r="21" spans="1:5" ht="15.75" thickBot="1">
      <c r="B21" s="3170"/>
      <c r="C21" s="1399" t="s">
        <v>921</v>
      </c>
      <c r="D21" s="807" t="str">
        <f>结果表第1!H112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27504</v>
      </c>
      <c r="C2" s="2" t="s">
        <v>106</v>
      </c>
      <c r="D2" s="191"/>
      <c r="E2" s="191"/>
      <c r="F2" s="191"/>
      <c r="G2" s="191"/>
    </row>
    <row r="3" spans="1:7" s="192" customFormat="1" ht="18" customHeight="1" thickBot="1">
      <c r="A3" s="195" t="s">
        <v>58</v>
      </c>
      <c r="B3" s="196">
        <f ca="1">ROUND(B2*10000/'数据-汇总表'!E3,0)</f>
        <v>515133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188</v>
      </c>
      <c r="D51" s="224"/>
      <c r="E51" s="224"/>
      <c r="F51" s="256"/>
      <c r="G51" s="226" t="s">
        <v>37</v>
      </c>
    </row>
    <row r="52" spans="1:7" s="200" customFormat="1" ht="16.5" thickBot="1">
      <c r="A52" s="257" t="s">
        <v>38</v>
      </c>
      <c r="B52" s="258"/>
      <c r="C52" s="259">
        <f ca="1">C31+C51</f>
        <v>27504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3517</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4" t="s">
        <v>1265</v>
      </c>
      <c r="B4" s="1625" t="s">
        <v>1266</v>
      </c>
      <c r="C4" s="1626" t="s">
        <v>3451</v>
      </c>
      <c r="D4" s="1626" t="s">
        <v>3450</v>
      </c>
      <c r="E4" s="3297" t="s">
        <v>1267</v>
      </c>
      <c r="F4" s="3298"/>
      <c r="G4" s="3298"/>
      <c r="H4" s="3298"/>
      <c r="I4" s="3299"/>
      <c r="K4" s="138" t="str">
        <f>IF(ISNUMBER(FIND("比较法",结果表第2!C4)),"比较法",IF(ISNUMBER(FIND("成本法",结果表第2!C4)),"成本法",IF(ISNUMBER(FIND("假设开发法",结果表第2!C4)),"假设开发法",IF(ISNUMBER(FIND("收益法",结果表第2!C4)),"收益法","基准地价系数修正法"))))</f>
        <v>成本法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2.75">
      <c r="A5" s="3271" t="s">
        <v>1268</v>
      </c>
      <c r="B5" s="3258">
        <v>25</v>
      </c>
      <c r="C5" s="3274"/>
      <c r="D5" s="3294"/>
      <c r="E5" s="123" t="s">
        <v>1269</v>
      </c>
      <c r="F5" s="1627"/>
      <c r="G5" s="1627"/>
      <c r="H5" s="1627"/>
      <c r="I5" s="1281"/>
    </row>
    <row r="6" spans="1:12" ht="12.75">
      <c r="A6" s="3271"/>
      <c r="B6" s="3258"/>
      <c r="C6" s="3275"/>
      <c r="D6" s="3294"/>
      <c r="E6" s="123" t="s">
        <v>1270</v>
      </c>
      <c r="F6" s="1627"/>
      <c r="G6" s="1627"/>
      <c r="H6" s="1627"/>
      <c r="I6" s="1281"/>
    </row>
    <row r="7" spans="1:12" ht="12.75">
      <c r="A7" s="3271"/>
      <c r="B7" s="3258"/>
      <c r="C7" s="3276"/>
      <c r="D7" s="3294"/>
      <c r="E7" s="123" t="s">
        <v>1271</v>
      </c>
      <c r="F7" s="1627"/>
      <c r="G7" s="1627"/>
      <c r="H7" s="1627"/>
      <c r="I7" s="1281"/>
    </row>
    <row r="8" spans="1:12" ht="12.75">
      <c r="A8" s="3271" t="s">
        <v>1272</v>
      </c>
      <c r="B8" s="3258">
        <v>15</v>
      </c>
      <c r="C8" s="3274"/>
      <c r="D8" s="3294"/>
      <c r="E8" s="123" t="s">
        <v>1273</v>
      </c>
      <c r="F8" s="1627"/>
      <c r="G8" s="1627"/>
      <c r="H8" s="1627"/>
      <c r="I8" s="1281"/>
    </row>
    <row r="9" spans="1:12" ht="12.75">
      <c r="A9" s="3271"/>
      <c r="B9" s="3258"/>
      <c r="C9" s="3276"/>
      <c r="D9" s="3294"/>
      <c r="E9" s="123" t="s">
        <v>1274</v>
      </c>
      <c r="F9" s="1627"/>
      <c r="G9" s="1627"/>
      <c r="H9" s="1627"/>
      <c r="I9" s="1281"/>
    </row>
    <row r="10" spans="1:12" ht="12.75">
      <c r="A10" s="3271" t="s">
        <v>1275</v>
      </c>
      <c r="B10" s="3258">
        <v>15</v>
      </c>
      <c r="C10" s="3274"/>
      <c r="D10" s="3294"/>
      <c r="E10" s="123" t="s">
        <v>1276</v>
      </c>
      <c r="F10" s="1627"/>
      <c r="G10" s="1627"/>
      <c r="H10" s="1627"/>
      <c r="I10" s="1281"/>
    </row>
    <row r="11" spans="1:12" ht="12.75">
      <c r="A11" s="3271"/>
      <c r="B11" s="3258"/>
      <c r="C11" s="3276"/>
      <c r="D11" s="3294"/>
      <c r="E11" s="123" t="s">
        <v>1277</v>
      </c>
      <c r="F11" s="1627"/>
      <c r="G11" s="1627"/>
      <c r="H11" s="1627"/>
      <c r="I11" s="1281"/>
    </row>
    <row r="12" spans="1:12" ht="12.75">
      <c r="A12" s="3271" t="s">
        <v>1278</v>
      </c>
      <c r="B12" s="3258">
        <v>15</v>
      </c>
      <c r="C12" s="3274"/>
      <c r="D12" s="3294"/>
      <c r="E12" s="123" t="s">
        <v>1279</v>
      </c>
      <c r="F12" s="1627"/>
      <c r="G12" s="1627"/>
      <c r="H12" s="1627"/>
      <c r="I12" s="1281"/>
    </row>
    <row r="13" spans="1:12" ht="12.75">
      <c r="A13" s="3271"/>
      <c r="B13" s="3258"/>
      <c r="C13" s="3276"/>
      <c r="D13" s="3294"/>
      <c r="E13" s="123" t="s">
        <v>1280</v>
      </c>
      <c r="F13" s="1627"/>
      <c r="G13" s="1627"/>
      <c r="H13" s="1627"/>
      <c r="I13" s="1281"/>
    </row>
    <row r="14" spans="1:12" ht="12.75">
      <c r="A14" s="3271" t="s">
        <v>1281</v>
      </c>
      <c r="B14" s="3258">
        <v>30</v>
      </c>
      <c r="C14" s="3274">
        <v>4</v>
      </c>
      <c r="D14" s="3294">
        <v>6</v>
      </c>
      <c r="E14" s="123" t="s">
        <v>1282</v>
      </c>
      <c r="F14" s="1627"/>
      <c r="G14" s="1627"/>
      <c r="H14" s="1627"/>
      <c r="I14" s="1281"/>
    </row>
    <row r="15" spans="1:12" ht="12.75">
      <c r="A15" s="3271"/>
      <c r="B15" s="3258"/>
      <c r="C15" s="3275"/>
      <c r="D15" s="3294"/>
      <c r="E15" s="123" t="s">
        <v>1283</v>
      </c>
      <c r="F15" s="1627"/>
      <c r="G15" s="1627"/>
      <c r="H15" s="1627"/>
      <c r="I15" s="1281"/>
    </row>
    <row r="16" spans="1:12" ht="12.75">
      <c r="A16" s="3271"/>
      <c r="B16" s="3258"/>
      <c r="C16" s="3276"/>
      <c r="D16" s="3294"/>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1" t="s">
        <v>2130</v>
      </c>
      <c r="F18" s="3282"/>
      <c r="G18" s="3282"/>
      <c r="H18" s="3282"/>
      <c r="I18" s="3282"/>
      <c r="K18" s="294" t="s">
        <v>1289</v>
      </c>
      <c r="L18" s="294">
        <f>IF(C1="",'数据-汇总表'!E3,SUMIF(项目类型,C1,'数据-汇总表'!E17:E26)+SUMIF(项目类型,C1,'数据-汇总表'!I17:I26))</f>
        <v>217.49</v>
      </c>
      <c r="M18" s="294">
        <f>IF(C1="",'数据-汇总表'!E3,SUMIF(项目类型,C1,'数据-汇总表'!E17:E26))</f>
        <v>217.49</v>
      </c>
    </row>
    <row r="19" spans="1:36" ht="15">
      <c r="A19" s="1630" t="s">
        <v>1290</v>
      </c>
      <c r="B19" s="1631" t="s">
        <v>1291</v>
      </c>
      <c r="C19" s="126" t="e">
        <f ca="1">SUMIF(INDIRECT("'"&amp;C4&amp;"'"&amp;"!A:A"),结果表第2!B19,INDIRECT("'"&amp;C4&amp;"'"&amp;"!B:B"))</f>
        <v>#N/A</v>
      </c>
      <c r="D19" s="127">
        <f ca="1">SUMIF(INDIRECT("'"&amp;D4&amp;"'"&amp;"!A:A"),结果表第2!B19,INDIRECT("'"&amp;D4&amp;"'"&amp;"!B:B"))</f>
        <v>191.3253</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SUMIF(INDIRECT("'"&amp;C4&amp;"'"&amp;"!A:A"),结果表第2!B20,INDIRECT("'"&amp;C4&amp;"'"&amp;"!B:B"))</f>
        <v>#N/A</v>
      </c>
      <c r="D20" s="130">
        <f ca="1">SUMIF(INDIRECT("'"&amp;D4&amp;"'"&amp;"!A:A"),结果表第2!B20,INDIRECT("'"&amp;D4&amp;"'"&amp;"!B:B"))</f>
        <v>8797</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265" t="s">
        <v>1299</v>
      </c>
      <c r="B24" s="1631" t="s">
        <v>1291</v>
      </c>
      <c r="C24" s="128">
        <f>IF(B30=0,0,D30)</f>
        <v>0</v>
      </c>
      <c r="D24" s="1637"/>
      <c r="E24" s="121"/>
      <c r="F24" s="121"/>
      <c r="G24" s="121"/>
      <c r="H24" s="121"/>
      <c r="I24" s="121"/>
    </row>
    <row r="25" spans="1:36" ht="14.25">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#N/A</v>
      </c>
      <c r="D32" s="1641" t="s">
        <v>3415</v>
      </c>
      <c r="E32" s="121"/>
      <c r="F32" s="121"/>
      <c r="G32" s="121"/>
      <c r="H32" s="121"/>
      <c r="I32" s="121"/>
    </row>
    <row r="33" spans="1:15" ht="15">
      <c r="A33" s="740" t="s">
        <v>1306</v>
      </c>
      <c r="B33" s="123"/>
      <c r="C33" s="1642" t="s">
        <v>3416</v>
      </c>
      <c r="D33" s="1643"/>
      <c r="E33" s="1644" t="s">
        <v>1307</v>
      </c>
      <c r="F33" s="1645" t="str">
        <f>IF(D32="楼面单价","取值（单价）","取值（总价）")</f>
        <v>取值（单价）</v>
      </c>
      <c r="G33" s="121"/>
      <c r="H33" s="121"/>
      <c r="I33" s="121"/>
    </row>
    <row r="34" spans="1:15" ht="15">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7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75" thickBot="1">
      <c r="A36" s="3285" t="s">
        <v>1312</v>
      </c>
      <c r="B36" s="1652" t="s">
        <v>1313</v>
      </c>
      <c r="C36" s="137"/>
      <c r="D36" s="1653"/>
      <c r="E36" s="1567"/>
      <c r="F36" s="1654"/>
      <c r="G36" s="121"/>
      <c r="H36" s="121"/>
      <c r="I36" s="121"/>
    </row>
    <row r="37" spans="1:15" ht="15.75" thickBot="1">
      <c r="A37" s="3286"/>
      <c r="B37" s="1555" t="s">
        <v>1314</v>
      </c>
      <c r="C37" s="139"/>
      <c r="D37" s="1071"/>
      <c r="E37" s="1071"/>
      <c r="F37" s="1654"/>
      <c r="G37" s="121"/>
      <c r="H37" s="121"/>
      <c r="I37" s="121"/>
    </row>
    <row r="38" spans="1:15" ht="15.75" thickBot="1">
      <c r="A38" s="3287"/>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#N/A</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5.5">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t="e">
        <f ca="1">H101</f>
        <v>#N/A</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45"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#N/A</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t="e">
        <f ca="1">ROUND(D45*'数据-取费表'!B41/(1+'数据-取费表'!C42),0)</f>
        <v>#N/A</v>
      </c>
      <c r="E53" s="1256" t="s">
        <v>1354</v>
      </c>
      <c r="F53" s="2339">
        <f>'数据-取费表'!B41</f>
        <v>5.5000000000000007E-2</v>
      </c>
      <c r="G53" s="2340"/>
      <c r="H53" s="2330"/>
      <c r="I53" s="1669"/>
      <c r="J53" s="2309">
        <v>2</v>
      </c>
      <c r="K53" s="3322" t="s">
        <v>1357</v>
      </c>
      <c r="L53" s="3322"/>
      <c r="M53" s="2311" t="e">
        <f t="shared" ref="M53:O54" ca="1" si="0">D55</f>
        <v>#N/A</v>
      </c>
      <c r="N53" s="2309" t="str">
        <f t="shared" si="0"/>
        <v>销售额×税（费）率</v>
      </c>
      <c r="O53" s="2312" t="str">
        <f t="shared" si="0"/>
        <v>免征</v>
      </c>
    </row>
    <row r="54" spans="1:35" ht="12" customHeight="1">
      <c r="A54" s="2153" t="s">
        <v>1358</v>
      </c>
      <c r="B54" s="3283" t="s">
        <v>2289</v>
      </c>
      <c r="C54" s="3284"/>
      <c r="D54" s="1024" t="e">
        <f ca="1">C68</f>
        <v>#N/A</v>
      </c>
      <c r="E54" s="319" t="s">
        <v>1359</v>
      </c>
      <c r="F54" s="2339">
        <f>'数据-取费表'!B41</f>
        <v>5.5000000000000007E-2</v>
      </c>
      <c r="G54" s="2340"/>
      <c r="H54" s="2341"/>
      <c r="I54" s="1669"/>
      <c r="J54" s="2309">
        <v>3</v>
      </c>
      <c r="K54" s="3322" t="s">
        <v>1360</v>
      </c>
      <c r="L54" s="3322"/>
      <c r="M54" s="2311" t="e">
        <f t="shared" ca="1" si="0"/>
        <v>#N/A</v>
      </c>
      <c r="N54" s="2309" t="str">
        <f t="shared" si="0"/>
        <v>增值额×税（费）率</v>
      </c>
      <c r="O54" s="2313" t="str">
        <f t="shared" si="0"/>
        <v>免征</v>
      </c>
    </row>
    <row r="55" spans="1:35" ht="24" customHeight="1">
      <c r="A55" s="3272" t="s">
        <v>1361</v>
      </c>
      <c r="B55" s="3273"/>
      <c r="C55" s="3273"/>
      <c r="D55" s="12" t="e">
        <f ca="1">IF(H55="个人住宅",0,ROUND(D45*I55,0))</f>
        <v>#N/A</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#N/A</v>
      </c>
      <c r="N55" s="1883" t="str">
        <f>E59</f>
        <v>差额计税</v>
      </c>
      <c r="O55" s="2315">
        <f>F59</f>
        <v>0.01</v>
      </c>
    </row>
    <row r="56" spans="1:35" ht="24.75">
      <c r="A56" s="3272" t="s">
        <v>1363</v>
      </c>
      <c r="B56" s="3273"/>
      <c r="C56" s="3273"/>
      <c r="D56" s="12" t="e">
        <f ca="1">IF(H56="个人住宅",D57,D58)</f>
        <v>#N/A</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2.75">
      <c r="A57" s="2153" t="s">
        <v>1341</v>
      </c>
      <c r="B57" s="3283" t="s">
        <v>1366</v>
      </c>
      <c r="C57" s="3284"/>
      <c r="D57" s="1478">
        <v>0</v>
      </c>
      <c r="E57" s="316" t="s">
        <v>1343</v>
      </c>
      <c r="F57" s="294"/>
      <c r="G57" s="2340"/>
      <c r="H57" s="2344"/>
      <c r="I57" s="1670"/>
      <c r="J57" s="3322">
        <f>IF(AND(J55="",J56=""),4,IF(项目基本情况!K6="上海银行",结果表第2!J56+1,结果表第2!J55+1))</f>
        <v>5</v>
      </c>
      <c r="K57" s="3322" t="s">
        <v>1367</v>
      </c>
      <c r="L57" s="2316" t="s">
        <v>1368</v>
      </c>
      <c r="M57" s="2317"/>
      <c r="N57" s="2318">
        <f ca="1">SUMIF(M52:M56,"&lt;9e307")</f>
        <v>0</v>
      </c>
      <c r="O57" s="2319"/>
      <c r="P57" s="2463" t="e">
        <f ca="1">N57/M49</f>
        <v>#VALUE!</v>
      </c>
    </row>
    <row r="58" spans="1:35" ht="24.75">
      <c r="A58" s="2153" t="s">
        <v>1352</v>
      </c>
      <c r="B58" s="3283" t="s">
        <v>1369</v>
      </c>
      <c r="C58" s="3257"/>
      <c r="D58" s="12" t="e">
        <f ca="1">IF(H58="转让取得",C81,C97)</f>
        <v>#N/A</v>
      </c>
      <c r="E58" s="1256" t="s">
        <v>1364</v>
      </c>
      <c r="F58" s="294" t="s">
        <v>28</v>
      </c>
      <c r="G58" s="2340"/>
      <c r="H58" s="2343"/>
      <c r="I58" s="1670"/>
      <c r="J58" s="3322"/>
      <c r="K58" s="3322"/>
      <c r="L58" s="2316" t="s">
        <v>1370</v>
      </c>
      <c r="M58" s="2320"/>
      <c r="N58" s="2321" t="str">
        <f ca="1">NUMBERSTRING(INT(N57*10000),2)&amp;"元整"</f>
        <v>零元整</v>
      </c>
      <c r="O58" s="2322"/>
    </row>
    <row r="59" spans="1:35" ht="24.75" thickBot="1">
      <c r="A59" s="3325" t="s">
        <v>1371</v>
      </c>
      <c r="B59" s="3326"/>
      <c r="C59" s="3326"/>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5"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2.75">
      <c r="A62" s="3288" t="s">
        <v>1375</v>
      </c>
      <c r="B62" s="3289"/>
      <c r="C62" s="1865"/>
      <c r="D62" s="1865" t="s">
        <v>1376</v>
      </c>
      <c r="E62" s="158" t="s">
        <v>1377</v>
      </c>
      <c r="F62" s="1670"/>
      <c r="G62" s="1670"/>
      <c r="H62" s="151"/>
      <c r="I62" s="121"/>
    </row>
    <row r="63" spans="1:35" ht="12.75">
      <c r="A63" s="165" t="s">
        <v>330</v>
      </c>
      <c r="B63" s="159" t="s">
        <v>1378</v>
      </c>
      <c r="C63" s="2349" t="e">
        <f ca="1">ROUND((C64+C65)/(1+'数据-取费表'!C42),0)</f>
        <v>#N/A</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成本法 (元) 2</v>
      </c>
      <c r="D101" s="2371" t="str">
        <f>D4</f>
        <v>收益法 (元)2</v>
      </c>
      <c r="E101" s="3344" t="s">
        <v>1431</v>
      </c>
      <c r="F101" s="3301"/>
      <c r="G101" s="1687" t="s">
        <v>1432</v>
      </c>
      <c r="H101" s="2380" t="e">
        <f ca="1">H118</f>
        <v>#N/A</v>
      </c>
      <c r="I101" s="121"/>
    </row>
    <row r="102" spans="1:35" ht="18.75" customHeight="1">
      <c r="A102" s="3303" t="s">
        <v>1433</v>
      </c>
      <c r="B102" s="2369" t="s">
        <v>1432</v>
      </c>
      <c r="C102" s="2370" t="e">
        <f ca="1">IF(D32="楼面单价",ROUND(C19,0),C19)</f>
        <v>#N/A</v>
      </c>
      <c r="D102" s="2371">
        <f ca="1">IF(D32="楼面单价",ROUND(D19,0),D19)</f>
        <v>191</v>
      </c>
      <c r="E102" s="3344"/>
      <c r="F102" s="3301"/>
      <c r="G102" s="1687" t="s">
        <v>1434</v>
      </c>
      <c r="H102" s="2340" t="e">
        <f ca="1">I118</f>
        <v>#N/A</v>
      </c>
      <c r="I102" s="121"/>
    </row>
    <row r="103" spans="1:35" ht="42.75" customHeight="1">
      <c r="A103" s="3303"/>
      <c r="B103" s="2369" t="s">
        <v>1434</v>
      </c>
      <c r="C103" s="2372" t="e">
        <f ca="1">C20</f>
        <v>#N/A</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#N/A</v>
      </c>
      <c r="I107" s="121"/>
    </row>
    <row r="108" spans="1:35" ht="18.75" customHeight="1">
      <c r="A108" s="121"/>
      <c r="B108" s="121"/>
      <c r="C108" s="121"/>
      <c r="D108" s="121"/>
      <c r="E108" s="3300"/>
      <c r="F108" s="3301"/>
      <c r="G108" s="1687" t="s">
        <v>1434</v>
      </c>
      <c r="H108" s="2340" t="e">
        <f ca="1">IF(H107=H101,H102,ROUND(H107*10000/'数据-汇总表'!E3,0))</f>
        <v>#N/A</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e">
        <f ca="1">NUMBERSTRING(INT(H118*10000),2)&amp;"元整"</f>
        <v>#N/A</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t="e">
        <f ca="1">H107</f>
        <v>#N/A</v>
      </c>
      <c r="E122" s="3336"/>
      <c r="F122" s="3336"/>
      <c r="G122" s="3336"/>
      <c r="H122" s="3336"/>
      <c r="I122" s="3337"/>
      <c r="AA122" s="684"/>
    </row>
    <row r="123" spans="1:27" ht="18.75" customHeight="1">
      <c r="A123" s="3271" t="s">
        <v>1452</v>
      </c>
      <c r="B123" s="3271"/>
      <c r="C123" s="3271"/>
      <c r="D123" s="3311" t="e">
        <f ca="1">NUMBERSTRING(INT(D122*10000),2)&amp;"元整"</f>
        <v>#N/A</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D7">
    <cfRule type="cellIs" dxfId="31" priority="6" stopIfTrue="1" operator="equal">
      <formula>25</formula>
    </cfRule>
  </conditionalFormatting>
  <conditionalFormatting sqref="C8:D13">
    <cfRule type="cellIs" dxfId="30" priority="5" stopIfTrue="1" operator="equal">
      <formula>15</formula>
    </cfRule>
  </conditionalFormatting>
  <conditionalFormatting sqref="C14:D16">
    <cfRule type="cellIs" dxfId="29" priority="4" stopIfTrue="1" operator="equal">
      <formula>30</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U4" sqref="U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7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5.5">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3.75">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6.75">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63.75">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63.75">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63.75">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1">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63.75">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7" priority="6" stopIfTrue="1" operator="notEqual">
      <formula>"——"</formula>
    </cfRule>
  </conditionalFormatting>
  <conditionalFormatting sqref="F61">
    <cfRule type="cellIs" dxfId="26" priority="5" stopIfTrue="1" operator="notEqual">
      <formula>"——"</formula>
    </cfRule>
  </conditionalFormatting>
  <conditionalFormatting sqref="F72">
    <cfRule type="cellIs" dxfId="25" priority="4" stopIfTrue="1" operator="notEqual">
      <formula>"——"</formula>
    </cfRule>
  </conditionalFormatting>
  <conditionalFormatting sqref="F83">
    <cfRule type="cellIs" dxfId="24" priority="3" stopIfTrue="1" operator="notEqual">
      <formula>"——"</formula>
    </cfRule>
  </conditionalFormatting>
  <conditionalFormatting sqref="H50:H58 H61:H69 H72:H80 H83:H91">
    <cfRule type="cellIs" dxfId="23" priority="2" operator="notEqual">
      <formula>"——"</formula>
    </cfRule>
  </conditionalFormatting>
  <conditionalFormatting sqref="H93:H101">
    <cfRule type="cellIs" dxfId="2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3517</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191.3253</v>
      </c>
      <c r="C2" s="1289" t="s">
        <v>805</v>
      </c>
      <c r="D2" s="1375">
        <f ca="1">C40+J29+L46</f>
        <v>1913253</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160038</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17700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765</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142538</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1780657</v>
      </c>
      <c r="D40" s="316" t="s">
        <v>758</v>
      </c>
      <c r="E40" s="294" t="s">
        <v>759</v>
      </c>
      <c r="F40" s="304">
        <f ca="1">INDIRECT("'数据-取费表'!I"&amp;$G$1)</f>
        <v>5.5E-2</v>
      </c>
      <c r="G40" s="1292"/>
      <c r="H40" s="1366">
        <f ca="1">C39/C5</f>
        <v>0.88953931027596456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-184.8441</v>
      </c>
      <c r="D45" s="3129" t="s">
        <v>3350</v>
      </c>
      <c r="E45" s="1307"/>
      <c r="F45" s="1307"/>
      <c r="O45" s="1310" t="s">
        <v>808</v>
      </c>
      <c r="P45" s="1366"/>
      <c r="Q45" s="1366"/>
      <c r="R45" s="1366"/>
    </row>
    <row r="46" spans="1:18" s="1292" customFormat="1" ht="13.5" thickBot="1">
      <c r="A46" s="1311" t="s">
        <v>809</v>
      </c>
      <c r="C46" s="1312">
        <f ca="1">ROUND(C45,0)</f>
        <v>-185</v>
      </c>
      <c r="D46" s="1313" t="str">
        <f>C2</f>
        <v>万元</v>
      </c>
      <c r="I46" s="1314" t="s">
        <v>810</v>
      </c>
      <c r="J46" s="1315"/>
      <c r="K46" s="1316"/>
      <c r="L46" s="1317">
        <f ca="1">IF(M47="住宅",0,IF(L48&gt;J51,L60,J60))</f>
        <v>132596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1780657</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132596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1093043</v>
      </c>
      <c r="R49" s="1327" t="s">
        <v>818</v>
      </c>
    </row>
    <row r="50" spans="1:18" s="1292" customFormat="1" ht="13.5"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1550298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1913253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765130</v>
      </c>
      <c r="D56" s="1352"/>
      <c r="E56" s="1353"/>
      <c r="F56" s="1345"/>
      <c r="I56" s="1354" t="s">
        <v>842</v>
      </c>
      <c r="J56" s="1355" t="s">
        <v>3388</v>
      </c>
      <c r="K56" s="1328" t="s">
        <v>843</v>
      </c>
      <c r="L56" s="1331" t="str">
        <f ca="1">IF(L48&lt;J51,"——",L48-J51)</f>
        <v>——</v>
      </c>
      <c r="O56" s="1325" t="s">
        <v>403</v>
      </c>
      <c r="P56" s="1326" t="s">
        <v>817</v>
      </c>
      <c r="Q56" s="1327">
        <f ca="1">C40+J29</f>
        <v>1780657</v>
      </c>
      <c r="R56" s="1327" t="s">
        <v>818</v>
      </c>
    </row>
    <row r="57" spans="1:18" s="1292" customFormat="1" ht="24.75" thickBot="1">
      <c r="A57" s="1356"/>
      <c r="B57" s="896" t="s">
        <v>767</v>
      </c>
      <c r="C57" s="230">
        <f ca="1">C29</f>
        <v>1093043</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6230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132596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1780657</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765</v>
      </c>
      <c r="D65" s="910" t="s">
        <v>743</v>
      </c>
      <c r="E65" s="896" t="s">
        <v>712</v>
      </c>
      <c r="F65" s="321">
        <f t="shared" ca="1" si="0"/>
        <v>1E-3</v>
      </c>
      <c r="I65" s="1367" t="s">
        <v>867</v>
      </c>
      <c r="J65" s="610">
        <v>40</v>
      </c>
      <c r="K65" s="610">
        <v>30</v>
      </c>
      <c r="L65" s="610">
        <v>50</v>
      </c>
      <c r="M65" s="1369">
        <v>0.02</v>
      </c>
      <c r="O65" s="1325" t="s">
        <v>403</v>
      </c>
      <c r="P65" s="1326" t="s">
        <v>817</v>
      </c>
      <c r="Q65" s="1327">
        <f ca="1">C40+J29</f>
        <v>1780657</v>
      </c>
      <c r="R65" s="1327" t="s">
        <v>818</v>
      </c>
    </row>
    <row r="66" spans="1:18" s="1292" customFormat="1" ht="16.5"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-6230</v>
      </c>
      <c r="D67" s="909" t="s">
        <v>753</v>
      </c>
      <c r="E67" s="914"/>
      <c r="F67" s="915"/>
      <c r="O67" s="1334" t="s">
        <v>405</v>
      </c>
      <c r="P67" s="1326" t="s">
        <v>850</v>
      </c>
      <c r="Q67" s="1370">
        <f ca="1">L51</f>
        <v>1550298</v>
      </c>
      <c r="R67" s="1327" t="s">
        <v>870</v>
      </c>
    </row>
    <row r="68" spans="1:18" s="1292" customFormat="1" ht="16.5" thickBot="1">
      <c r="A68" s="893" t="s">
        <v>395</v>
      </c>
      <c r="B68" s="894" t="s">
        <v>774</v>
      </c>
      <c r="C68" s="293">
        <f ca="1">ROUND(C67*(1-((1+F70)/(1+F68))^F69)/(F68-F70),0)</f>
        <v>-67784</v>
      </c>
      <c r="D68" s="911" t="s">
        <v>758</v>
      </c>
      <c r="E68" s="896" t="s">
        <v>759</v>
      </c>
      <c r="F68" s="304">
        <f ca="1">F40</f>
        <v>5.5E-2</v>
      </c>
      <c r="O68" s="1334" t="s">
        <v>406</v>
      </c>
      <c r="P68" s="1371" t="s">
        <v>871</v>
      </c>
      <c r="Q68" s="1327">
        <f ca="1">ROUND(Q69-Q70*Q71,0)</f>
        <v>88979</v>
      </c>
      <c r="R68" s="1327" t="s">
        <v>414</v>
      </c>
    </row>
    <row r="69" spans="1:18" s="1292" customFormat="1" ht="13.5" thickBot="1">
      <c r="A69" s="897"/>
      <c r="B69" s="898"/>
      <c r="C69" s="298"/>
      <c r="D69" s="916" t="s">
        <v>762</v>
      </c>
      <c r="E69" s="896" t="s">
        <v>763</v>
      </c>
      <c r="F69" s="324">
        <f ca="1">F41</f>
        <v>17.04</v>
      </c>
      <c r="O69" s="1334" t="s">
        <v>411</v>
      </c>
      <c r="P69" s="1371" t="s">
        <v>872</v>
      </c>
      <c r="Q69" s="1327">
        <f ca="1">C39</f>
        <v>142538</v>
      </c>
      <c r="R69" s="1327" t="s">
        <v>818</v>
      </c>
    </row>
    <row r="70" spans="1:18" s="1292" customFormat="1" ht="13.5" thickBot="1">
      <c r="A70" s="900"/>
      <c r="B70" s="901"/>
      <c r="C70" s="302"/>
      <c r="D70" s="912"/>
      <c r="E70" s="896" t="s">
        <v>766</v>
      </c>
      <c r="F70" s="991"/>
      <c r="O70" s="1334" t="s">
        <v>412</v>
      </c>
      <c r="P70" s="1371" t="s">
        <v>873</v>
      </c>
      <c r="Q70" s="1327">
        <f ca="1">C13</f>
        <v>765130</v>
      </c>
      <c r="R70" s="1327" t="s">
        <v>818</v>
      </c>
    </row>
    <row r="71" spans="1:18" s="1292" customFormat="1" ht="13.5" thickBot="1">
      <c r="A71" s="917" t="s">
        <v>396</v>
      </c>
      <c r="B71" s="918" t="s">
        <v>776</v>
      </c>
      <c r="C71" s="327">
        <f ca="1">ROUND(C68/F71,0)</f>
        <v>-312</v>
      </c>
      <c r="D71" s="919" t="s">
        <v>777</v>
      </c>
      <c r="E71" s="920" t="s">
        <v>778</v>
      </c>
      <c r="F71" s="330">
        <f ca="1">F43</f>
        <v>217.49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53559</v>
      </c>
      <c r="D75" s="1292"/>
      <c r="E75" s="1292"/>
      <c r="F75" s="1292"/>
      <c r="K75" s="1309"/>
      <c r="L75" s="1292"/>
      <c r="O75" s="1325" t="s">
        <v>409</v>
      </c>
      <c r="P75" s="1326" t="s">
        <v>838</v>
      </c>
      <c r="Q75" s="1327">
        <f ca="1">Q65+Q66</f>
        <v>1780657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4" t="s">
        <v>1265</v>
      </c>
      <c r="B4" s="1625" t="s">
        <v>1266</v>
      </c>
      <c r="C4" s="1626" t="s">
        <v>3455</v>
      </c>
      <c r="D4" s="1626" t="s">
        <v>3457</v>
      </c>
      <c r="E4" s="3297" t="s">
        <v>1267</v>
      </c>
      <c r="F4" s="3298"/>
      <c r="G4" s="3298"/>
      <c r="H4" s="3298"/>
      <c r="I4" s="3299"/>
      <c r="K4" s="138" t="str">
        <f>IF(ISNUMBER(FIND("比较法",结果表第3!C4)),"比较法",IF(ISNUMBER(FIND("成本法",结果表第3!C4)),"成本法",IF(ISNUMBER(FIND("假设开发法",结果表第3!C4)),"假设开发法",IF(ISNUMBER(FIND("收益法",结果表第3!C4)),"收益法","基准地价系数修正法"))))</f>
        <v>成本法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2.75">
      <c r="A5" s="3271" t="s">
        <v>1268</v>
      </c>
      <c r="B5" s="3258">
        <v>25</v>
      </c>
      <c r="C5" s="3274"/>
      <c r="D5" s="3294"/>
      <c r="E5" s="123" t="s">
        <v>1269</v>
      </c>
      <c r="F5" s="1627"/>
      <c r="G5" s="1627"/>
      <c r="H5" s="1627"/>
      <c r="I5" s="1281"/>
    </row>
    <row r="6" spans="1:12" ht="12.75">
      <c r="A6" s="3271"/>
      <c r="B6" s="3258"/>
      <c r="C6" s="3275"/>
      <c r="D6" s="3294"/>
      <c r="E6" s="123" t="s">
        <v>1270</v>
      </c>
      <c r="F6" s="1627"/>
      <c r="G6" s="1627"/>
      <c r="H6" s="1627"/>
      <c r="I6" s="1281"/>
    </row>
    <row r="7" spans="1:12" ht="12.75">
      <c r="A7" s="3271"/>
      <c r="B7" s="3258"/>
      <c r="C7" s="3276"/>
      <c r="D7" s="3294"/>
      <c r="E7" s="123" t="s">
        <v>1271</v>
      </c>
      <c r="F7" s="1627"/>
      <c r="G7" s="1627"/>
      <c r="H7" s="1627"/>
      <c r="I7" s="1281"/>
    </row>
    <row r="8" spans="1:12" ht="12.75">
      <c r="A8" s="3271" t="s">
        <v>1272</v>
      </c>
      <c r="B8" s="3258">
        <v>15</v>
      </c>
      <c r="C8" s="3274"/>
      <c r="D8" s="3294"/>
      <c r="E8" s="123" t="s">
        <v>1273</v>
      </c>
      <c r="F8" s="1627"/>
      <c r="G8" s="1627"/>
      <c r="H8" s="1627"/>
      <c r="I8" s="1281"/>
    </row>
    <row r="9" spans="1:12" ht="12.75">
      <c r="A9" s="3271"/>
      <c r="B9" s="3258"/>
      <c r="C9" s="3276"/>
      <c r="D9" s="3294"/>
      <c r="E9" s="123" t="s">
        <v>1274</v>
      </c>
      <c r="F9" s="1627"/>
      <c r="G9" s="1627"/>
      <c r="H9" s="1627"/>
      <c r="I9" s="1281"/>
    </row>
    <row r="10" spans="1:12" ht="12.75">
      <c r="A10" s="3271" t="s">
        <v>1275</v>
      </c>
      <c r="B10" s="3258">
        <v>15</v>
      </c>
      <c r="C10" s="3274"/>
      <c r="D10" s="3294"/>
      <c r="E10" s="123" t="s">
        <v>1276</v>
      </c>
      <c r="F10" s="1627"/>
      <c r="G10" s="1627"/>
      <c r="H10" s="1627"/>
      <c r="I10" s="1281"/>
    </row>
    <row r="11" spans="1:12" ht="12.75">
      <c r="A11" s="3271"/>
      <c r="B11" s="3258"/>
      <c r="C11" s="3276"/>
      <c r="D11" s="3294"/>
      <c r="E11" s="123" t="s">
        <v>1277</v>
      </c>
      <c r="F11" s="1627"/>
      <c r="G11" s="1627"/>
      <c r="H11" s="1627"/>
      <c r="I11" s="1281"/>
    </row>
    <row r="12" spans="1:12" ht="12.75">
      <c r="A12" s="3271" t="s">
        <v>1278</v>
      </c>
      <c r="B12" s="3258">
        <v>15</v>
      </c>
      <c r="C12" s="3274"/>
      <c r="D12" s="3294"/>
      <c r="E12" s="123" t="s">
        <v>1279</v>
      </c>
      <c r="F12" s="1627"/>
      <c r="G12" s="1627"/>
      <c r="H12" s="1627"/>
      <c r="I12" s="1281"/>
    </row>
    <row r="13" spans="1:12" ht="12.75">
      <c r="A13" s="3271"/>
      <c r="B13" s="3258"/>
      <c r="C13" s="3276"/>
      <c r="D13" s="3294"/>
      <c r="E13" s="123" t="s">
        <v>1280</v>
      </c>
      <c r="F13" s="1627"/>
      <c r="G13" s="1627"/>
      <c r="H13" s="1627"/>
      <c r="I13" s="1281"/>
    </row>
    <row r="14" spans="1:12" ht="12.75">
      <c r="A14" s="3271" t="s">
        <v>1281</v>
      </c>
      <c r="B14" s="3258">
        <v>30</v>
      </c>
      <c r="C14" s="3274">
        <v>4</v>
      </c>
      <c r="D14" s="3294">
        <v>6</v>
      </c>
      <c r="E14" s="123" t="s">
        <v>1282</v>
      </c>
      <c r="F14" s="1627"/>
      <c r="G14" s="1627"/>
      <c r="H14" s="1627"/>
      <c r="I14" s="1281"/>
    </row>
    <row r="15" spans="1:12" ht="12.75">
      <c r="A15" s="3271"/>
      <c r="B15" s="3258"/>
      <c r="C15" s="3275"/>
      <c r="D15" s="3294"/>
      <c r="E15" s="123" t="s">
        <v>1283</v>
      </c>
      <c r="F15" s="1627"/>
      <c r="G15" s="1627"/>
      <c r="H15" s="1627"/>
      <c r="I15" s="1281"/>
    </row>
    <row r="16" spans="1:12" ht="12.75">
      <c r="A16" s="3271"/>
      <c r="B16" s="3258"/>
      <c r="C16" s="3276"/>
      <c r="D16" s="3294"/>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1" t="s">
        <v>2130</v>
      </c>
      <c r="F18" s="3282"/>
      <c r="G18" s="3282"/>
      <c r="H18" s="3282"/>
      <c r="I18" s="3282"/>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5">
      <c r="A19" s="1630" t="s">
        <v>1290</v>
      </c>
      <c r="B19" s="1631" t="s">
        <v>1291</v>
      </c>
      <c r="C19" s="126" t="e">
        <f ca="1">SUMIF(INDIRECT("'"&amp;C4&amp;"'"&amp;"!A:A"),结果表第3!B19,INDIRECT("'"&amp;C4&amp;"'"&amp;"!B:B"))</f>
        <v>#N/A</v>
      </c>
      <c r="D19" s="127">
        <f ca="1">SUMIF(INDIRECT("'"&amp;D4&amp;"'"&amp;"!A:A"),结果表第3!B19,INDIRECT("'"&amp;D4&amp;"'"&amp;"!B:B"))</f>
        <v>188.50919999999999</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SUMIF(INDIRECT("'"&amp;C4&amp;"'"&amp;"!A:A"),结果表第3!B20,INDIRECT("'"&amp;C4&amp;"'"&amp;"!B:B"))</f>
        <v>#N/A</v>
      </c>
      <c r="D20" s="130">
        <f ca="1">SUMIF(INDIRECT("'"&amp;D4&amp;"'"&amp;"!A:A"),结果表第3!B20,INDIRECT("'"&amp;D4&amp;"'"&amp;"!B:B"))</f>
        <v>8797</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265" t="s">
        <v>1299</v>
      </c>
      <c r="B24" s="1631" t="s">
        <v>1291</v>
      </c>
      <c r="C24" s="128">
        <f>IF(B30=0,0,D30)</f>
        <v>0</v>
      </c>
      <c r="D24" s="1637"/>
      <c r="E24" s="121"/>
      <c r="F24" s="121"/>
      <c r="G24" s="121"/>
      <c r="H24" s="121"/>
      <c r="I24" s="121"/>
    </row>
    <row r="25" spans="1:36" ht="14.25">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#N/A</v>
      </c>
      <c r="D32" s="1641" t="s">
        <v>3415</v>
      </c>
      <c r="E32" s="121"/>
      <c r="F32" s="121"/>
      <c r="G32" s="121"/>
      <c r="H32" s="121"/>
      <c r="I32" s="121"/>
    </row>
    <row r="33" spans="1:15" ht="15">
      <c r="A33" s="740" t="s">
        <v>1306</v>
      </c>
      <c r="B33" s="123"/>
      <c r="C33" s="1642" t="s">
        <v>3416</v>
      </c>
      <c r="D33" s="1643"/>
      <c r="E33" s="1644" t="s">
        <v>1307</v>
      </c>
      <c r="F33" s="1645" t="str">
        <f>IF(D32="楼面单价","取值（单价）","取值（总价）")</f>
        <v>取值（单价）</v>
      </c>
      <c r="G33" s="121"/>
      <c r="H33" s="121"/>
      <c r="I33" s="121"/>
    </row>
    <row r="34" spans="1:15" ht="15">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7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75" thickBot="1">
      <c r="A36" s="3285" t="s">
        <v>1312</v>
      </c>
      <c r="B36" s="1652" t="s">
        <v>1313</v>
      </c>
      <c r="C36" s="137"/>
      <c r="D36" s="1653"/>
      <c r="E36" s="1567"/>
      <c r="F36" s="1654"/>
      <c r="G36" s="121"/>
      <c r="H36" s="121"/>
      <c r="I36" s="121"/>
    </row>
    <row r="37" spans="1:15" ht="15.75" thickBot="1">
      <c r="A37" s="3286"/>
      <c r="B37" s="1555" t="s">
        <v>1314</v>
      </c>
      <c r="C37" s="139"/>
      <c r="D37" s="1071"/>
      <c r="E37" s="1071"/>
      <c r="F37" s="1654"/>
      <c r="G37" s="121"/>
      <c r="H37" s="121"/>
      <c r="I37" s="121"/>
    </row>
    <row r="38" spans="1:15" ht="15.75" thickBot="1">
      <c r="A38" s="3287"/>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#N/A</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5.5">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t="e">
        <f ca="1">H101</f>
        <v>#N/A</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45"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#N/A</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t="e">
        <f ca="1">ROUND(D45*'数据-取费表'!B41/(1+'数据-取费表'!C42),0)</f>
        <v>#N/A</v>
      </c>
      <c r="E53" s="1256" t="s">
        <v>1354</v>
      </c>
      <c r="F53" s="2339">
        <f>'数据-取费表'!B41</f>
        <v>5.5000000000000007E-2</v>
      </c>
      <c r="G53" s="2340"/>
      <c r="H53" s="2330"/>
      <c r="I53" s="1669"/>
      <c r="J53" s="2309">
        <v>2</v>
      </c>
      <c r="K53" s="3322" t="s">
        <v>1357</v>
      </c>
      <c r="L53" s="3322"/>
      <c r="M53" s="2311" t="e">
        <f t="shared" ref="M53:O54" ca="1" si="0">D55</f>
        <v>#N/A</v>
      </c>
      <c r="N53" s="2309" t="str">
        <f t="shared" si="0"/>
        <v>销售额×税（费）率</v>
      </c>
      <c r="O53" s="2312" t="str">
        <f t="shared" si="0"/>
        <v>免征</v>
      </c>
    </row>
    <row r="54" spans="1:35" ht="12" customHeight="1">
      <c r="A54" s="2153" t="s">
        <v>1358</v>
      </c>
      <c r="B54" s="3283" t="s">
        <v>2289</v>
      </c>
      <c r="C54" s="3284"/>
      <c r="D54" s="1024" t="e">
        <f ca="1">C68</f>
        <v>#N/A</v>
      </c>
      <c r="E54" s="319" t="s">
        <v>1359</v>
      </c>
      <c r="F54" s="2339">
        <f>'数据-取费表'!B41</f>
        <v>5.5000000000000007E-2</v>
      </c>
      <c r="G54" s="2340"/>
      <c r="H54" s="2341"/>
      <c r="I54" s="1669"/>
      <c r="J54" s="2309">
        <v>3</v>
      </c>
      <c r="K54" s="3322" t="s">
        <v>1360</v>
      </c>
      <c r="L54" s="3322"/>
      <c r="M54" s="2311" t="e">
        <f t="shared" ca="1" si="0"/>
        <v>#N/A</v>
      </c>
      <c r="N54" s="2309" t="str">
        <f t="shared" si="0"/>
        <v>增值额×税（费）率</v>
      </c>
      <c r="O54" s="2313" t="str">
        <f t="shared" si="0"/>
        <v>免征</v>
      </c>
    </row>
    <row r="55" spans="1:35" ht="24" customHeight="1">
      <c r="A55" s="3272" t="s">
        <v>1361</v>
      </c>
      <c r="B55" s="3273"/>
      <c r="C55" s="3273"/>
      <c r="D55" s="12" t="e">
        <f ca="1">IF(H55="个人住宅",0,ROUND(D45*I55,0))</f>
        <v>#N/A</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#N/A</v>
      </c>
      <c r="N55" s="1883" t="str">
        <f>E59</f>
        <v>差额计税</v>
      </c>
      <c r="O55" s="2315">
        <f>F59</f>
        <v>0.01</v>
      </c>
    </row>
    <row r="56" spans="1:35" ht="24.75">
      <c r="A56" s="3272" t="s">
        <v>1363</v>
      </c>
      <c r="B56" s="3273"/>
      <c r="C56" s="3273"/>
      <c r="D56" s="12" t="e">
        <f ca="1">IF(H56="个人住宅",D57,D58)</f>
        <v>#N/A</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2.75">
      <c r="A57" s="2153" t="s">
        <v>1341</v>
      </c>
      <c r="B57" s="3283" t="s">
        <v>1366</v>
      </c>
      <c r="C57" s="3284"/>
      <c r="D57" s="1478">
        <v>0</v>
      </c>
      <c r="E57" s="316" t="s">
        <v>1343</v>
      </c>
      <c r="F57" s="294"/>
      <c r="G57" s="2340"/>
      <c r="H57" s="2344"/>
      <c r="I57" s="1670"/>
      <c r="J57" s="3322">
        <f>IF(AND(J55="",J56=""),4,IF(项目基本情况!K6="上海银行",结果表第3!J56+1,结果表第3!J55+1))</f>
        <v>5</v>
      </c>
      <c r="K57" s="3322" t="s">
        <v>1367</v>
      </c>
      <c r="L57" s="2316" t="s">
        <v>1368</v>
      </c>
      <c r="M57" s="2317"/>
      <c r="N57" s="2318">
        <f ca="1">SUMIF(M52:M56,"&lt;9e307")</f>
        <v>0</v>
      </c>
      <c r="O57" s="2319"/>
      <c r="P57" s="2463" t="e">
        <f ca="1">N57/M49</f>
        <v>#VALUE!</v>
      </c>
    </row>
    <row r="58" spans="1:35" ht="24.75">
      <c r="A58" s="2153" t="s">
        <v>1352</v>
      </c>
      <c r="B58" s="3283" t="s">
        <v>1369</v>
      </c>
      <c r="C58" s="3257"/>
      <c r="D58" s="12" t="e">
        <f ca="1">IF(H58="转让取得",C81,C97)</f>
        <v>#N/A</v>
      </c>
      <c r="E58" s="1256" t="s">
        <v>1364</v>
      </c>
      <c r="F58" s="294" t="s">
        <v>28</v>
      </c>
      <c r="G58" s="2340"/>
      <c r="H58" s="2343"/>
      <c r="I58" s="1670"/>
      <c r="J58" s="3322"/>
      <c r="K58" s="3322"/>
      <c r="L58" s="2316" t="s">
        <v>1370</v>
      </c>
      <c r="M58" s="2320"/>
      <c r="N58" s="2321" t="str">
        <f ca="1">NUMBERSTRING(INT(N57*10000),2)&amp;"元整"</f>
        <v>零元整</v>
      </c>
      <c r="O58" s="2322"/>
    </row>
    <row r="59" spans="1:35" ht="24.75" thickBot="1">
      <c r="A59" s="3325" t="s">
        <v>1371</v>
      </c>
      <c r="B59" s="3326"/>
      <c r="C59" s="3326"/>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5"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2.75">
      <c r="A62" s="3288" t="s">
        <v>1375</v>
      </c>
      <c r="B62" s="3289"/>
      <c r="C62" s="1865"/>
      <c r="D62" s="1865" t="s">
        <v>1376</v>
      </c>
      <c r="E62" s="158" t="s">
        <v>1377</v>
      </c>
      <c r="F62" s="1670"/>
      <c r="G62" s="1670"/>
      <c r="H62" s="151"/>
      <c r="I62" s="121"/>
    </row>
    <row r="63" spans="1:35" ht="12.75">
      <c r="A63" s="165" t="s">
        <v>330</v>
      </c>
      <c r="B63" s="159" t="s">
        <v>1378</v>
      </c>
      <c r="C63" s="2349" t="e">
        <f ca="1">ROUND((C64+C65)/(1+'数据-取费表'!C42),0)</f>
        <v>#N/A</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成本法 (元) 3</v>
      </c>
      <c r="D101" s="2371" t="str">
        <f>D4</f>
        <v>收益法 (元)3</v>
      </c>
      <c r="E101" s="3344" t="s">
        <v>1431</v>
      </c>
      <c r="F101" s="3301"/>
      <c r="G101" s="1687" t="s">
        <v>1432</v>
      </c>
      <c r="H101" s="2380" t="e">
        <f ca="1">H118</f>
        <v>#N/A</v>
      </c>
      <c r="I101" s="121"/>
    </row>
    <row r="102" spans="1:35" ht="18.75" customHeight="1">
      <c r="A102" s="3303" t="s">
        <v>1433</v>
      </c>
      <c r="B102" s="2369" t="s">
        <v>1432</v>
      </c>
      <c r="C102" s="2370" t="e">
        <f ca="1">IF(D32="楼面单价",ROUND(C19,0),C19)</f>
        <v>#N/A</v>
      </c>
      <c r="D102" s="2371">
        <f ca="1">IF(D32="楼面单价",ROUND(D19,0),D19)</f>
        <v>189</v>
      </c>
      <c r="E102" s="3344"/>
      <c r="F102" s="3301"/>
      <c r="G102" s="1687" t="s">
        <v>1434</v>
      </c>
      <c r="H102" s="2340" t="e">
        <f ca="1">I118</f>
        <v>#N/A</v>
      </c>
      <c r="I102" s="121"/>
    </row>
    <row r="103" spans="1:35" ht="42.75" customHeight="1">
      <c r="A103" s="3303"/>
      <c r="B103" s="2369" t="s">
        <v>1434</v>
      </c>
      <c r="C103" s="2372" t="e">
        <f ca="1">C20</f>
        <v>#N/A</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#N/A</v>
      </c>
      <c r="I107" s="121"/>
    </row>
    <row r="108" spans="1:35" ht="18.75" customHeight="1">
      <c r="A108" s="121"/>
      <c r="B108" s="121"/>
      <c r="C108" s="121"/>
      <c r="D108" s="121"/>
      <c r="E108" s="3300"/>
      <c r="F108" s="3301"/>
      <c r="G108" s="1687" t="s">
        <v>1434</v>
      </c>
      <c r="H108" s="2340" t="e">
        <f ca="1">IF(H107=H101,H102,ROUND(H107*10000/'数据-汇总表'!E3,0))</f>
        <v>#N/A</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e">
        <f ca="1">NUMBERSTRING(INT(H118*10000),2)&amp;"元整"</f>
        <v>#N/A</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t="e">
        <f ca="1">H107</f>
        <v>#N/A</v>
      </c>
      <c r="E122" s="3336"/>
      <c r="F122" s="3336"/>
      <c r="G122" s="3336"/>
      <c r="H122" s="3336"/>
      <c r="I122" s="3337"/>
      <c r="AA122" s="684"/>
    </row>
    <row r="123" spans="1:27" ht="18.75" customHeight="1">
      <c r="A123" s="3271" t="s">
        <v>1452</v>
      </c>
      <c r="B123" s="3271"/>
      <c r="C123" s="3271"/>
      <c r="D123" s="3311" t="e">
        <f ca="1">NUMBERSTRING(INT(D122*10000),2)&amp;"元整"</f>
        <v>#N/A</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7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5.5">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3.75">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6.75">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63.75">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63.75">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63.75">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1">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63.75">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3516</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188.50919999999999</v>
      </c>
      <c r="C2" s="1289" t="s">
        <v>805</v>
      </c>
      <c r="D2" s="1375">
        <f ca="1">C40+J29+L46</f>
        <v>1885092</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157683</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753873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754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140440</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1754447</v>
      </c>
      <c r="D40" s="316" t="s">
        <v>758</v>
      </c>
      <c r="E40" s="294" t="s">
        <v>759</v>
      </c>
      <c r="F40" s="304">
        <f ca="1">INDIRECT("'数据-取费表'!I"&amp;$G$1)</f>
        <v>5.5E-2</v>
      </c>
      <c r="G40" s="1292"/>
      <c r="H40" s="1366">
        <f ca="1">C39/C5</f>
        <v>0.88953635672662779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-182.1241</v>
      </c>
      <c r="D45" s="3129" t="s">
        <v>3350</v>
      </c>
      <c r="E45" s="1307"/>
      <c r="F45" s="1307"/>
      <c r="O45" s="1310" t="s">
        <v>808</v>
      </c>
      <c r="P45" s="1366"/>
      <c r="Q45" s="1366"/>
      <c r="R45" s="1366"/>
    </row>
    <row r="46" spans="1:18" s="1292" customFormat="1" ht="13.5" thickBot="1">
      <c r="A46" s="1311" t="s">
        <v>809</v>
      </c>
      <c r="C46" s="1312">
        <f ca="1">ROUND(C45,0)</f>
        <v>-182</v>
      </c>
      <c r="D46" s="1313" t="str">
        <f>C2</f>
        <v>万元</v>
      </c>
      <c r="I46" s="1314" t="s">
        <v>810</v>
      </c>
      <c r="J46" s="1315"/>
      <c r="K46" s="1316"/>
      <c r="L46" s="1317">
        <f ca="1">IF(M47="住宅",0,IF(L48&gt;J51,L60,J60))</f>
        <v>130645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1754447</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130645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1076961</v>
      </c>
      <c r="R49" s="1327" t="s">
        <v>818</v>
      </c>
    </row>
    <row r="50" spans="1:18" s="1292" customFormat="1" ht="13.5"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1527473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1885092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753873</v>
      </c>
      <c r="D56" s="1352"/>
      <c r="E56" s="1353"/>
      <c r="F56" s="1345"/>
      <c r="I56" s="1354" t="s">
        <v>842</v>
      </c>
      <c r="J56" s="1355" t="s">
        <v>3388</v>
      </c>
      <c r="K56" s="1328" t="s">
        <v>843</v>
      </c>
      <c r="L56" s="1331" t="str">
        <f ca="1">IF(L48&lt;J51,"——",L48-J51)</f>
        <v>——</v>
      </c>
      <c r="O56" s="1325" t="s">
        <v>403</v>
      </c>
      <c r="P56" s="1326" t="s">
        <v>817</v>
      </c>
      <c r="Q56" s="1327">
        <f ca="1">C40+J29</f>
        <v>1754447</v>
      </c>
      <c r="R56" s="1327" t="s">
        <v>818</v>
      </c>
    </row>
    <row r="57" spans="1:18" s="1292" customFormat="1" ht="24.75" thickBot="1">
      <c r="A57" s="1356"/>
      <c r="B57" s="896" t="s">
        <v>767</v>
      </c>
      <c r="C57" s="230">
        <f ca="1">C29</f>
        <v>1076961</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6139</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448016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130645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1754447</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754</v>
      </c>
      <c r="D65" s="910" t="s">
        <v>743</v>
      </c>
      <c r="E65" s="896" t="s">
        <v>712</v>
      </c>
      <c r="F65" s="321">
        <f t="shared" ca="1" si="0"/>
        <v>1E-3</v>
      </c>
      <c r="I65" s="1367" t="s">
        <v>867</v>
      </c>
      <c r="J65" s="610">
        <v>40</v>
      </c>
      <c r="K65" s="610">
        <v>30</v>
      </c>
      <c r="L65" s="610">
        <v>50</v>
      </c>
      <c r="M65" s="1369">
        <v>0.02</v>
      </c>
      <c r="O65" s="1325" t="s">
        <v>403</v>
      </c>
      <c r="P65" s="1326" t="s">
        <v>817</v>
      </c>
      <c r="Q65" s="1327">
        <f ca="1">C40+J29</f>
        <v>1754447</v>
      </c>
      <c r="R65" s="1327" t="s">
        <v>818</v>
      </c>
    </row>
    <row r="66" spans="1:18" s="1292" customFormat="1" ht="16.5"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-6139</v>
      </c>
      <c r="D67" s="909" t="s">
        <v>753</v>
      </c>
      <c r="E67" s="914"/>
      <c r="F67" s="915"/>
      <c r="O67" s="1334" t="s">
        <v>405</v>
      </c>
      <c r="P67" s="1326" t="s">
        <v>850</v>
      </c>
      <c r="Q67" s="1370">
        <f ca="1">L51</f>
        <v>1527473</v>
      </c>
      <c r="R67" s="1327" t="s">
        <v>870</v>
      </c>
    </row>
    <row r="68" spans="1:18" s="1292" customFormat="1" ht="16.5" thickBot="1">
      <c r="A68" s="893" t="s">
        <v>395</v>
      </c>
      <c r="B68" s="894" t="s">
        <v>774</v>
      </c>
      <c r="C68" s="293">
        <f ca="1">ROUND(C67*(1-((1+F70)/(1+F68))^F69)/(F68-F70),0)</f>
        <v>-66794</v>
      </c>
      <c r="D68" s="911" t="s">
        <v>758</v>
      </c>
      <c r="E68" s="896" t="s">
        <v>759</v>
      </c>
      <c r="F68" s="304">
        <f ca="1">F40</f>
        <v>5.5E-2</v>
      </c>
      <c r="O68" s="1334" t="s">
        <v>406</v>
      </c>
      <c r="P68" s="1371" t="s">
        <v>871</v>
      </c>
      <c r="Q68" s="1327">
        <f ca="1">ROUND(Q69-Q70*Q71,0)</f>
        <v>87669</v>
      </c>
      <c r="R68" s="1327" t="s">
        <v>414</v>
      </c>
    </row>
    <row r="69" spans="1:18" s="1292" customFormat="1" ht="13.5" thickBot="1">
      <c r="A69" s="897"/>
      <c r="B69" s="898"/>
      <c r="C69" s="298"/>
      <c r="D69" s="916" t="s">
        <v>762</v>
      </c>
      <c r="E69" s="896" t="s">
        <v>763</v>
      </c>
      <c r="F69" s="324">
        <f ca="1">F41</f>
        <v>17.04</v>
      </c>
      <c r="O69" s="1334" t="s">
        <v>411</v>
      </c>
      <c r="P69" s="1371" t="s">
        <v>872</v>
      </c>
      <c r="Q69" s="1327">
        <f ca="1">C39</f>
        <v>140440</v>
      </c>
      <c r="R69" s="1327" t="s">
        <v>818</v>
      </c>
    </row>
    <row r="70" spans="1:18" s="1292" customFormat="1" ht="13.5" thickBot="1">
      <c r="A70" s="900"/>
      <c r="B70" s="901"/>
      <c r="C70" s="302"/>
      <c r="D70" s="912"/>
      <c r="E70" s="896" t="s">
        <v>766</v>
      </c>
      <c r="F70" s="991"/>
      <c r="O70" s="1334" t="s">
        <v>412</v>
      </c>
      <c r="P70" s="1371" t="s">
        <v>873</v>
      </c>
      <c r="Q70" s="1327">
        <f ca="1">C13</f>
        <v>753873</v>
      </c>
      <c r="R70" s="1327" t="s">
        <v>818</v>
      </c>
    </row>
    <row r="71" spans="1:18" s="1292" customFormat="1" ht="13.5" thickBot="1">
      <c r="A71" s="917" t="s">
        <v>396</v>
      </c>
      <c r="B71" s="918" t="s">
        <v>776</v>
      </c>
      <c r="C71" s="327">
        <f ca="1">ROUND(C68/F71,0)</f>
        <v>-312</v>
      </c>
      <c r="D71" s="919" t="s">
        <v>777</v>
      </c>
      <c r="E71" s="920" t="s">
        <v>778</v>
      </c>
      <c r="F71" s="330">
        <f ca="1">F43</f>
        <v>214.29000000000002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52771</v>
      </c>
      <c r="D75" s="1292"/>
      <c r="E75" s="1292"/>
      <c r="F75" s="1292"/>
      <c r="K75" s="1309"/>
      <c r="L75" s="1292"/>
      <c r="O75" s="1325" t="s">
        <v>409</v>
      </c>
      <c r="P75" s="1326" t="s">
        <v>838</v>
      </c>
      <c r="Q75" s="1327">
        <f ca="1">Q65+Q66</f>
        <v>1754447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结果表第1!D116</f>
        <v>出让国有建设用地使用权价值</v>
      </c>
      <c r="E2" s="3186"/>
      <c r="F2" s="3186" t="str">
        <f>结果表第1!F116</f>
        <v>在建建筑物价值</v>
      </c>
      <c r="G2" s="3186"/>
      <c r="H2" s="3186" t="str">
        <f>IF(项目基本情况!B9="房地产市场价值","房地产市场价值","房地产价值")</f>
        <v>房地产价值</v>
      </c>
      <c r="I2" s="3186"/>
    </row>
    <row r="3" spans="1:9" ht="15">
      <c r="A3" s="3181"/>
      <c r="B3" s="3181"/>
      <c r="C3" s="3181"/>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160</v>
      </c>
      <c r="I4" s="801">
        <f ca="1">结果表第1!I118</f>
        <v>15691</v>
      </c>
    </row>
    <row r="5" spans="1:9" ht="30" customHeight="1">
      <c r="A5" s="3181" t="s">
        <v>927</v>
      </c>
      <c r="B5" s="3181"/>
      <c r="C5" s="3181"/>
      <c r="D5" s="3181" t="str">
        <f>结果表第1!D119</f>
        <v>零元整</v>
      </c>
      <c r="E5" s="3181"/>
      <c r="F5" s="3181" t="str">
        <f>结果表第1!F119</f>
        <v>零元整</v>
      </c>
      <c r="G5" s="3181"/>
      <c r="H5" s="3181" t="str">
        <f ca="1">结果表第1!H119</f>
        <v>壹佰陆拾万元整</v>
      </c>
      <c r="I5" s="3181"/>
    </row>
    <row r="6" spans="1:9" ht="15.75">
      <c r="A6" s="3180" t="str">
        <f>结果表第1!A120</f>
        <v>估价师知悉的法定优先受偿款</v>
      </c>
      <c r="B6" s="3180"/>
      <c r="C6" s="3180"/>
      <c r="D6" s="3180">
        <f>结果表第1!D120</f>
        <v>0</v>
      </c>
      <c r="E6" s="3180"/>
      <c r="F6" s="3180"/>
      <c r="G6" s="3180"/>
      <c r="H6" s="3180"/>
      <c r="I6" s="3180"/>
    </row>
    <row r="7" spans="1:9" ht="15">
      <c r="A7" s="3181" t="s">
        <v>927</v>
      </c>
      <c r="B7" s="3181"/>
      <c r="C7" s="3181"/>
      <c r="D7" s="3182" t="str">
        <f>结果表第1!D121</f>
        <v>零元整</v>
      </c>
      <c r="E7" s="3183"/>
      <c r="F7" s="3183"/>
      <c r="G7" s="3183"/>
      <c r="H7" s="3183"/>
      <c r="I7" s="3184"/>
    </row>
    <row r="8" spans="1:9" ht="15.75">
      <c r="A8" s="3180" t="str">
        <f>结果表第1!A122</f>
        <v>房地产抵押价值</v>
      </c>
      <c r="B8" s="3180"/>
      <c r="C8" s="3180"/>
      <c r="D8" s="3180">
        <f ca="1">结果表第1!D122</f>
        <v>160</v>
      </c>
      <c r="E8" s="3180"/>
      <c r="F8" s="3180"/>
      <c r="G8" s="3180"/>
      <c r="H8" s="3180"/>
      <c r="I8" s="3180"/>
    </row>
    <row r="9" spans="1:9" ht="15">
      <c r="A9" s="3181" t="s">
        <v>927</v>
      </c>
      <c r="B9" s="3181"/>
      <c r="C9" s="3181"/>
      <c r="D9" s="3181" t="str">
        <f ca="1">结果表第1!D123</f>
        <v>壹佰陆拾万元整</v>
      </c>
      <c r="E9" s="3181"/>
      <c r="F9" s="3181"/>
      <c r="G9" s="3181"/>
      <c r="H9" s="3181"/>
      <c r="I9" s="3181"/>
    </row>
    <row r="10" spans="1:9" ht="15.75">
      <c r="A10" s="3180" t="str">
        <f>结果表第1!A124</f>
        <v/>
      </c>
      <c r="B10" s="3180"/>
      <c r="C10" s="3180"/>
      <c r="D10" s="3180" t="str">
        <f>结果表第1!D124</f>
        <v>——</v>
      </c>
      <c r="E10" s="3180"/>
      <c r="F10" s="3180"/>
      <c r="G10" s="3180"/>
      <c r="H10" s="3180"/>
      <c r="I10" s="3180"/>
    </row>
    <row r="11" spans="1:9" ht="15">
      <c r="A11" s="3181" t="s">
        <v>927</v>
      </c>
      <c r="B11" s="3181"/>
      <c r="C11" s="3181"/>
      <c r="D11" s="3181" t="e">
        <f>结果表第1!D125</f>
        <v>#VALUE!</v>
      </c>
      <c r="E11" s="3181"/>
      <c r="F11" s="3181"/>
      <c r="G11" s="3181"/>
      <c r="H11" s="3181"/>
      <c r="I11" s="3181"/>
    </row>
    <row r="12" spans="1:9" ht="15.75">
      <c r="A12" s="3180" t="str">
        <f>结果表第1!A126</f>
        <v/>
      </c>
      <c r="B12" s="3180"/>
      <c r="C12" s="3180"/>
      <c r="D12" s="3180" t="str">
        <f>结果表第1!D126</f>
        <v>——</v>
      </c>
      <c r="E12" s="3180"/>
      <c r="F12" s="3180"/>
      <c r="G12" s="3180"/>
      <c r="H12" s="3180"/>
      <c r="I12" s="3180"/>
    </row>
    <row r="13" spans="1:9" ht="15.75" thickBot="1">
      <c r="A13" s="3178" t="s">
        <v>927</v>
      </c>
      <c r="B13" s="3178"/>
      <c r="C13" s="3178"/>
      <c r="D13" s="3178" t="e">
        <f>结果表第1!D127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R28"/>
  <sheetViews>
    <sheetView topLeftCell="A67" zoomScale="65" zoomScaleNormal="65" workbookViewId="0">
      <selection activeCell="N26" sqref="N26:P28"/>
    </sheetView>
  </sheetViews>
  <sheetFormatPr defaultRowHeight="13.5"/>
  <cols>
    <col min="18" max="19" width="13.5" customWidth="1"/>
  </cols>
  <sheetData>
    <row r="5" spans="14:18">
      <c r="O5" s="1405" t="s">
        <v>3459</v>
      </c>
      <c r="R5" s="1405" t="s">
        <v>3496</v>
      </c>
    </row>
    <row r="6" spans="14:18">
      <c r="O6" s="1405" t="s">
        <v>3460</v>
      </c>
      <c r="P6" s="1405" t="s">
        <v>3461</v>
      </c>
      <c r="Q6" s="1405" t="s">
        <v>3465</v>
      </c>
      <c r="R6">
        <f>ROUND(1-(1-0)*(2024-2018)/60,2)</f>
        <v>0.9</v>
      </c>
    </row>
    <row r="7" spans="14:18">
      <c r="N7" s="3145"/>
      <c r="O7" s="3157" t="s">
        <v>3400</v>
      </c>
      <c r="P7" s="3157" t="s">
        <v>3464</v>
      </c>
      <c r="Q7" s="3145"/>
      <c r="R7" s="3157" t="s">
        <v>3503</v>
      </c>
    </row>
    <row r="8" spans="14:18">
      <c r="N8" s="3157" t="s">
        <v>3474</v>
      </c>
      <c r="O8" s="3145">
        <v>68</v>
      </c>
      <c r="P8" s="3145">
        <v>19800</v>
      </c>
      <c r="Q8" s="3145"/>
      <c r="R8" s="3145">
        <f>P8*O28</f>
        <v>13860</v>
      </c>
    </row>
    <row r="9" spans="14:18">
      <c r="N9" s="3157" t="s">
        <v>3475</v>
      </c>
      <c r="O9" s="3145">
        <v>123</v>
      </c>
      <c r="P9" s="3145">
        <v>20000</v>
      </c>
      <c r="Q9" s="3145"/>
      <c r="R9" s="3145">
        <f>P9*O28</f>
        <v>14000</v>
      </c>
    </row>
    <row r="10" spans="14:18">
      <c r="O10" s="1405" t="s">
        <v>3470</v>
      </c>
      <c r="P10" s="1405" t="s">
        <v>3471</v>
      </c>
    </row>
    <row r="13" spans="14:18">
      <c r="O13" s="1405" t="s">
        <v>3466</v>
      </c>
      <c r="P13" s="1405">
        <v>3</v>
      </c>
    </row>
    <row r="14" spans="14:18">
      <c r="O14" s="1405" t="s">
        <v>3448</v>
      </c>
      <c r="P14">
        <v>2.5</v>
      </c>
    </row>
    <row r="18" spans="14:18">
      <c r="O18" s="1405" t="s">
        <v>3472</v>
      </c>
      <c r="R18" s="1405" t="s">
        <v>3497</v>
      </c>
    </row>
    <row r="19" spans="14:18">
      <c r="O19" s="1405" t="s">
        <v>3473</v>
      </c>
      <c r="R19">
        <f>ROUND(1-(1-0)*(2024-2019)/60,2)</f>
        <v>0.92</v>
      </c>
    </row>
    <row r="20" spans="14:18">
      <c r="O20" s="1405" t="s">
        <v>3462</v>
      </c>
      <c r="P20" t="s">
        <v>3463</v>
      </c>
      <c r="R20" s="3157" t="s">
        <v>3503</v>
      </c>
    </row>
    <row r="21" spans="14:18">
      <c r="N21" s="3157" t="s">
        <v>3476</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0" t="s">
        <v>2838</v>
      </c>
      <c r="B1" s="3490"/>
      <c r="C1" s="3490"/>
      <c r="D1" s="3490"/>
      <c r="E1" s="3490"/>
      <c r="F1" s="3490"/>
      <c r="G1" s="3491"/>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8"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 thickBot="1">
      <c r="A4" s="3489"/>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2" t="s">
        <v>3180</v>
      </c>
      <c r="B1" s="3492"/>
    </row>
    <row r="2" spans="1:7" ht="14.25" thickBot="1">
      <c r="A2" s="2967"/>
      <c r="B2" s="2967"/>
    </row>
    <row r="3" spans="1:7" ht="14.25" thickBot="1">
      <c r="A3" s="2967"/>
      <c r="B3" s="2967"/>
      <c r="C3" s="2968" t="s">
        <v>2810</v>
      </c>
      <c r="D3" s="2968" t="s">
        <v>2866</v>
      </c>
      <c r="E3" s="2968" t="s">
        <v>2812</v>
      </c>
      <c r="F3" s="2968" t="s">
        <v>2867</v>
      </c>
      <c r="G3" s="2968" t="s">
        <v>2630</v>
      </c>
    </row>
    <row r="4" spans="1:7" ht="14.2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2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2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2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2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2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2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2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2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2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2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3" t="s">
        <v>3231</v>
      </c>
      <c r="B1" s="3493"/>
      <c r="C1" s="3493"/>
      <c r="D1" s="3493"/>
      <c r="E1" s="3493"/>
      <c r="F1" s="3494"/>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30" s="2010" customFormat="1" ht="14.2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2.75">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2.75">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2.75">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2.75">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2.75">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2.75">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2.75">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3363</v>
      </c>
    </row>
    <row r="22" spans="1:30">
      <c r="I22" s="1405" t="s">
        <v>2824</v>
      </c>
    </row>
    <row r="24" spans="1:30" s="2009" customFormat="1" ht="12.75">
      <c r="B24" s="2928" t="s">
        <v>3369</v>
      </c>
      <c r="C24" s="2929"/>
      <c r="D24" s="2929"/>
      <c r="E24" s="2929"/>
      <c r="F24" s="2929"/>
      <c r="G24" s="2929"/>
      <c r="H24" s="2929"/>
      <c r="I24" s="2929"/>
      <c r="J24" s="2895"/>
      <c r="K24" s="2929" t="s">
        <v>2825</v>
      </c>
      <c r="L24" s="2929"/>
      <c r="M24" s="2929"/>
      <c r="N24" s="2929"/>
      <c r="O24" s="2929"/>
      <c r="P24" s="2929"/>
      <c r="Q24" s="2895"/>
      <c r="R24" s="3495" t="s">
        <v>2826</v>
      </c>
      <c r="S24" s="3496"/>
      <c r="T24" s="3496"/>
      <c r="U24" s="3496"/>
      <c r="V24" s="3496"/>
      <c r="W24" s="3496"/>
      <c r="X24" s="2895"/>
      <c r="Y24" s="3495" t="s">
        <v>2827</v>
      </c>
      <c r="Z24" s="3496"/>
      <c r="AA24" s="3496"/>
      <c r="AB24" s="3496"/>
      <c r="AC24" s="3496"/>
      <c r="AD24" s="3496"/>
    </row>
    <row r="25" spans="1:30" s="2010" customFormat="1" ht="14.2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2.75">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2.75">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2.75">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2.75">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2.75">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2.75">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2.75">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2.75">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2.75">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2.75">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2.75">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2.75">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2.75">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2.75">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2.75">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2.75">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IF(项目基本情况!B8="抵押",结果表第1!K120,"——")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收益法 (元)2</vt:lpstr>
      <vt:lpstr>结果表第3</vt:lpstr>
      <vt:lpstr>成本法 (元) 3</vt:lpstr>
      <vt:lpstr>基准地价修正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2024-09-29T04:15:04Z</dcterms:modified>
</cp:coreProperties>
</file>