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商业" sheetId="15" r:id="rId23"/>
    <sheet name="收益法-车库" sheetId="79" state="hidden"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8" r:id="rId46"/>
    <sheet name="明细表" sheetId="80"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6" hidden="1">明细表!$A$2:$U$197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46">明细表!$1:$1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3" i="73" l="1"/>
  <c r="F13" i="73"/>
  <c r="E13" i="73"/>
  <c r="G14" i="73"/>
  <c r="F14" i="73"/>
  <c r="E14" i="73"/>
  <c r="AH6" i="1" l="1"/>
  <c r="G19" i="6" l="1"/>
  <c r="O202" i="80" l="1"/>
  <c r="E219" i="80"/>
  <c r="O210" i="80"/>
  <c r="E209" i="80"/>
  <c r="O4" i="80"/>
  <c r="O5" i="80"/>
  <c r="O194" i="80" s="1"/>
  <c r="O195" i="80" s="1"/>
  <c r="O6" i="80"/>
  <c r="O7" i="80"/>
  <c r="O8" i="80"/>
  <c r="O9" i="80"/>
  <c r="O10" i="80"/>
  <c r="O11" i="80"/>
  <c r="O12" i="80"/>
  <c r="O13" i="80"/>
  <c r="O14" i="80"/>
  <c r="O15" i="80"/>
  <c r="O16" i="80"/>
  <c r="O17" i="80"/>
  <c r="O18" i="80"/>
  <c r="O19" i="80"/>
  <c r="O20" i="80"/>
  <c r="O21" i="80"/>
  <c r="O22" i="80"/>
  <c r="O23" i="80"/>
  <c r="O24" i="80"/>
  <c r="O25" i="80"/>
  <c r="O26" i="80"/>
  <c r="O27" i="80"/>
  <c r="O28" i="80"/>
  <c r="O29" i="80"/>
  <c r="O30" i="80"/>
  <c r="O31" i="80"/>
  <c r="O32" i="80"/>
  <c r="O33" i="80"/>
  <c r="O34" i="80"/>
  <c r="O35" i="80"/>
  <c r="O36" i="80"/>
  <c r="O37" i="80"/>
  <c r="O38" i="80"/>
  <c r="O39" i="80"/>
  <c r="O40" i="80"/>
  <c r="O41" i="80"/>
  <c r="O42" i="80"/>
  <c r="O43" i="80"/>
  <c r="O44" i="80"/>
  <c r="O45" i="80"/>
  <c r="O46" i="80"/>
  <c r="O47" i="80"/>
  <c r="O48" i="80"/>
  <c r="O49" i="80"/>
  <c r="O50" i="80"/>
  <c r="O51" i="80"/>
  <c r="O52" i="80"/>
  <c r="O53" i="80"/>
  <c r="O54" i="80"/>
  <c r="O55" i="80"/>
  <c r="O56" i="80"/>
  <c r="O57" i="80"/>
  <c r="O58" i="80"/>
  <c r="O59" i="80"/>
  <c r="O60" i="80"/>
  <c r="O61" i="80"/>
  <c r="O62" i="80"/>
  <c r="O63" i="80"/>
  <c r="O64" i="80"/>
  <c r="O65" i="80"/>
  <c r="O66" i="80"/>
  <c r="O67" i="80"/>
  <c r="O68" i="80"/>
  <c r="O69" i="80"/>
  <c r="O70" i="80"/>
  <c r="O71" i="80"/>
  <c r="O72" i="80"/>
  <c r="O73" i="80"/>
  <c r="O74" i="80"/>
  <c r="O75" i="80"/>
  <c r="O76" i="80"/>
  <c r="O77" i="80"/>
  <c r="O78" i="80"/>
  <c r="O79" i="80"/>
  <c r="O80" i="80"/>
  <c r="O81" i="80"/>
  <c r="O82" i="80"/>
  <c r="O83" i="80"/>
  <c r="O84" i="80"/>
  <c r="O85" i="80"/>
  <c r="O86" i="80"/>
  <c r="O87" i="80"/>
  <c r="O88" i="80"/>
  <c r="O89" i="80"/>
  <c r="O90" i="80"/>
  <c r="O91" i="80"/>
  <c r="O92" i="80"/>
  <c r="O93" i="80"/>
  <c r="O94" i="80"/>
  <c r="O95" i="80"/>
  <c r="O96" i="80"/>
  <c r="O97" i="80"/>
  <c r="O98" i="80"/>
  <c r="O99" i="80"/>
  <c r="O100" i="80"/>
  <c r="O101" i="80"/>
  <c r="O102" i="80"/>
  <c r="O103" i="80"/>
  <c r="O104" i="80"/>
  <c r="O105" i="80"/>
  <c r="O106" i="80"/>
  <c r="O107" i="80"/>
  <c r="O108" i="80"/>
  <c r="O109" i="80"/>
  <c r="O110" i="80"/>
  <c r="O111" i="80"/>
  <c r="O112" i="80"/>
  <c r="O113" i="80"/>
  <c r="O114" i="80"/>
  <c r="O115" i="80"/>
  <c r="O116" i="80"/>
  <c r="O117" i="80"/>
  <c r="O118" i="80"/>
  <c r="O119" i="80"/>
  <c r="O120" i="80"/>
  <c r="O121" i="80"/>
  <c r="O122" i="80"/>
  <c r="O123" i="80"/>
  <c r="O124" i="80"/>
  <c r="O125" i="80"/>
  <c r="O126" i="80"/>
  <c r="O127" i="80"/>
  <c r="O128" i="80"/>
  <c r="O129" i="80"/>
  <c r="O130" i="80"/>
  <c r="O131" i="80"/>
  <c r="O132" i="80"/>
  <c r="O133" i="80"/>
  <c r="O134" i="80"/>
  <c r="O135" i="80"/>
  <c r="O136" i="80"/>
  <c r="O137" i="80"/>
  <c r="O138" i="80"/>
  <c r="O139" i="80"/>
  <c r="O140" i="80"/>
  <c r="O141" i="80"/>
  <c r="O142" i="80"/>
  <c r="O143" i="80"/>
  <c r="O144" i="80"/>
  <c r="O145" i="80"/>
  <c r="O146" i="80"/>
  <c r="O147" i="80"/>
  <c r="O148" i="80"/>
  <c r="O149" i="80"/>
  <c r="O150" i="80"/>
  <c r="O151" i="80"/>
  <c r="O152" i="80"/>
  <c r="O153" i="80"/>
  <c r="O154" i="80"/>
  <c r="O155" i="80"/>
  <c r="O156" i="80"/>
  <c r="O157" i="80"/>
  <c r="O158" i="80"/>
  <c r="O159" i="80"/>
  <c r="O160" i="80"/>
  <c r="O161" i="80"/>
  <c r="O162" i="80"/>
  <c r="O163" i="80"/>
  <c r="O164" i="80"/>
  <c r="O165" i="80"/>
  <c r="O166" i="80"/>
  <c r="O167" i="80"/>
  <c r="O168" i="80"/>
  <c r="O169" i="80"/>
  <c r="O170" i="80"/>
  <c r="O171" i="80"/>
  <c r="O172" i="80"/>
  <c r="O173" i="80"/>
  <c r="O174" i="80"/>
  <c r="O175" i="80"/>
  <c r="O176" i="80"/>
  <c r="O177" i="80"/>
  <c r="O178" i="80"/>
  <c r="O179" i="80"/>
  <c r="O180" i="80"/>
  <c r="O181" i="80"/>
  <c r="O182" i="80"/>
  <c r="O183" i="80"/>
  <c r="O184" i="80"/>
  <c r="O185" i="80"/>
  <c r="O186" i="80"/>
  <c r="O187" i="80"/>
  <c r="O188" i="80"/>
  <c r="O189" i="80"/>
  <c r="O190" i="80"/>
  <c r="O191" i="80"/>
  <c r="O192" i="80"/>
  <c r="O193" i="80"/>
  <c r="O3" i="80"/>
  <c r="N195" i="80"/>
  <c r="N194" i="80"/>
  <c r="E195" i="80"/>
  <c r="N6" i="1"/>
  <c r="I19" i="3"/>
  <c r="E25" i="78"/>
  <c r="J8" i="78"/>
  <c r="J7" i="78"/>
  <c r="F16" i="78"/>
  <c r="E17" i="78"/>
  <c r="E31" i="78"/>
  <c r="N198" i="80" l="1"/>
  <c r="E198" i="80"/>
  <c r="N196" i="80" l="1"/>
  <c r="N199" i="80"/>
  <c r="Q72" i="79"/>
  <c r="Q59" i="79"/>
  <c r="K59" i="79"/>
  <c r="P74" i="79" s="1"/>
  <c r="F59" i="79"/>
  <c r="Q58" i="79"/>
  <c r="Q51" i="79"/>
  <c r="J50" i="79"/>
  <c r="M47" i="79"/>
  <c r="D46" i="79"/>
  <c r="F34" i="79"/>
  <c r="F62" i="79" s="1"/>
  <c r="F33" i="79"/>
  <c r="F61" i="79" s="1"/>
  <c r="F31" i="79"/>
  <c r="F23" i="79"/>
  <c r="D23" i="79" s="1"/>
  <c r="F21" i="79"/>
  <c r="M20" i="79"/>
  <c r="F20" i="79"/>
  <c r="M19" i="79"/>
  <c r="F18" i="79"/>
  <c r="M17" i="79"/>
  <c r="F17" i="79"/>
  <c r="F15" i="79"/>
  <c r="U3" i="43"/>
  <c r="U4" i="43"/>
  <c r="U5" i="43"/>
  <c r="U2" i="43"/>
  <c r="E24" i="78"/>
  <c r="E26" i="78"/>
  <c r="E27" i="78"/>
  <c r="E28" i="78"/>
  <c r="E29" i="78"/>
  <c r="E30" i="78"/>
  <c r="E23" i="78"/>
  <c r="P61" i="79" l="1"/>
  <c r="D24" i="79"/>
  <c r="D22" i="79"/>
  <c r="Y6" i="1"/>
  <c r="I16" i="3"/>
  <c r="I17" i="3"/>
  <c r="I18" i="3"/>
  <c r="I15" i="3"/>
  <c r="K14" i="3"/>
  <c r="D33" i="43" s="1"/>
  <c r="E10" i="78"/>
  <c r="F31" i="78"/>
  <c r="F11" i="78" l="1"/>
  <c r="E11" i="78"/>
  <c r="E16" i="78" s="1"/>
  <c r="F9" i="78"/>
  <c r="G12" i="78" l="1"/>
  <c r="G9" i="78"/>
  <c r="G10" i="78"/>
  <c r="G14" i="78"/>
  <c r="G11" i="78"/>
  <c r="G8" i="78"/>
  <c r="G15" i="78"/>
  <c r="G13" i="78"/>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E48" i="43" s="1"/>
  <c r="B46" i="43" s="1"/>
  <c r="C24"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s="1"/>
  <c r="F15" i="4"/>
  <c r="F8" i="1"/>
  <c r="F9" i="1"/>
  <c r="F10" i="1"/>
  <c r="F11" i="1"/>
  <c r="F12" i="1"/>
  <c r="F13" i="1"/>
  <c r="D6" i="1"/>
  <c r="D9" i="1"/>
  <c r="D10" i="1"/>
  <c r="D11" i="1"/>
  <c r="D12" i="1"/>
  <c r="D13" i="1"/>
  <c r="D7" i="1"/>
  <c r="D8" i="1"/>
  <c r="A7" i="1"/>
  <c r="G1" i="79" s="1"/>
  <c r="A8" i="1"/>
  <c r="B8" i="1"/>
  <c r="E8" i="1"/>
  <c r="A9" i="1"/>
  <c r="A10" i="1"/>
  <c r="A11" i="1"/>
  <c r="A12" i="1"/>
  <c r="A13" i="1"/>
  <c r="A6" i="1"/>
  <c r="F3" i="35" s="1"/>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E8" i="6" s="1"/>
  <c r="BR5" i="3"/>
  <c r="G28" i="6" s="1"/>
  <c r="E28" i="6" s="1"/>
  <c r="K14" i="1" s="1"/>
  <c r="M14" i="1" s="1"/>
  <c r="O14" i="1"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1" i="6"/>
  <c r="E61" i="39" s="1"/>
  <c r="BL17" i="3"/>
  <c r="AZ17" i="3"/>
  <c r="BL13" i="3"/>
  <c r="AZ13" i="3" s="1"/>
  <c r="J56" i="9"/>
  <c r="J57" i="9" s="1"/>
  <c r="J59" i="9" s="1"/>
  <c r="J61" i="9" s="1"/>
  <c r="A24" i="51"/>
  <c r="B18" i="72" s="1"/>
  <c r="U29" i="34"/>
  <c r="E14" i="6"/>
  <c r="E5" i="6"/>
  <c r="D19" i="12" s="1"/>
  <c r="C19" i="12" s="1"/>
  <c r="E32" i="6"/>
  <c r="L19" i="6"/>
  <c r="G1" i="68"/>
  <c r="K1" i="12"/>
  <c r="F30" i="6"/>
  <c r="E56" i="40"/>
  <c r="AQ12" i="1"/>
  <c r="E19" i="69"/>
  <c r="E19" i="68"/>
  <c r="E19" i="11"/>
  <c r="E1" i="73"/>
  <c r="G22" i="69"/>
  <c r="G22" i="68"/>
  <c r="G26" i="12"/>
  <c r="G22" i="11"/>
  <c r="C100" i="43"/>
  <c r="C7" i="43"/>
  <c r="E81" i="43"/>
  <c r="B79" i="43"/>
  <c r="E70" i="43"/>
  <c r="B68" i="43"/>
  <c r="F100" i="43"/>
  <c r="H17" i="43"/>
  <c r="G6" i="1"/>
  <c r="H81" i="43"/>
  <c r="H88" i="43"/>
  <c r="H78" i="43"/>
  <c r="C17" i="43"/>
  <c r="F33" i="43"/>
  <c r="K17" i="43"/>
  <c r="F34" i="43"/>
  <c r="N6" i="43"/>
  <c r="F48" i="43" s="1"/>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72" i="43"/>
  <c r="L20" i="6"/>
  <c r="B6" i="1"/>
  <c r="E6" i="1" s="1"/>
  <c r="S8" i="1"/>
  <c r="AR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F42" i="79"/>
  <c r="AO9" i="1"/>
  <c r="F40" i="79"/>
  <c r="E9" i="76"/>
  <c r="F9" i="67"/>
  <c r="AO11" i="1"/>
  <c r="F37" i="15"/>
  <c r="M6" i="15"/>
  <c r="F36" i="67"/>
  <c r="D2" i="34"/>
  <c r="AO8" i="1"/>
  <c r="M27" i="15"/>
  <c r="M8" i="79"/>
  <c r="M22" i="67"/>
  <c r="F26" i="67"/>
  <c r="F6" i="79"/>
  <c r="D2" i="36"/>
  <c r="F38" i="15"/>
  <c r="L48" i="15"/>
  <c r="B10" i="76"/>
  <c r="E10" i="76"/>
  <c r="F20" i="31"/>
  <c r="M26" i="79"/>
  <c r="M22" i="79"/>
  <c r="M23" i="67"/>
  <c r="D7" i="73"/>
  <c r="F7" i="73"/>
  <c r="M27" i="79"/>
  <c r="M28" i="79"/>
  <c r="M23" i="79"/>
  <c r="M9" i="67"/>
  <c r="L47" i="79"/>
  <c r="E2" i="68"/>
  <c r="F9" i="15"/>
  <c r="D2" i="33"/>
  <c r="F6" i="67"/>
  <c r="F38" i="79"/>
  <c r="B9" i="76"/>
  <c r="D2" i="21"/>
  <c r="B8" i="76"/>
  <c r="M24" i="15"/>
  <c r="M8" i="67"/>
  <c r="F36" i="79"/>
  <c r="C76" i="15"/>
  <c r="M28" i="15"/>
  <c r="AO13" i="1"/>
  <c r="F13" i="67"/>
  <c r="L47" i="67"/>
  <c r="M26" i="15"/>
  <c r="D5" i="73"/>
  <c r="B7" i="76"/>
  <c r="J15" i="67"/>
  <c r="F42" i="15"/>
  <c r="F6" i="15"/>
  <c r="F42" i="67"/>
  <c r="L48" i="67"/>
  <c r="M24" i="79"/>
  <c r="F6" i="73"/>
  <c r="M6" i="79"/>
  <c r="M6" i="67"/>
  <c r="E11" i="76"/>
  <c r="E8" i="76"/>
  <c r="F37" i="79"/>
  <c r="F3" i="73"/>
  <c r="D2" i="35"/>
  <c r="C76" i="67"/>
  <c r="C76" i="79"/>
  <c r="M26" i="67"/>
  <c r="M22" i="15"/>
  <c r="F5" i="73"/>
  <c r="E7" i="76"/>
  <c r="E12" i="76"/>
  <c r="F40" i="15"/>
  <c r="M8" i="15"/>
  <c r="F8" i="15"/>
  <c r="F40" i="67"/>
  <c r="M23" i="15"/>
  <c r="M29" i="15"/>
  <c r="D6" i="73"/>
  <c r="F13" i="79"/>
  <c r="L47" i="15"/>
  <c r="F26" i="15"/>
  <c r="AO10" i="1"/>
  <c r="F38" i="67"/>
  <c r="M27" i="67"/>
  <c r="F8" i="67"/>
  <c r="F16" i="67"/>
  <c r="F4" i="73"/>
  <c r="E13" i="76"/>
  <c r="B11" i="76"/>
  <c r="AO12" i="1"/>
  <c r="M9" i="79"/>
  <c r="M28" i="67"/>
  <c r="F36" i="15"/>
  <c r="D3" i="73"/>
  <c r="F13" i="15"/>
  <c r="F16" i="79"/>
  <c r="E2" i="69"/>
  <c r="B13" i="76"/>
  <c r="L48" i="79"/>
  <c r="D4" i="73"/>
  <c r="J15" i="79"/>
  <c r="F8" i="79"/>
  <c r="D2" i="37"/>
  <c r="F37" i="67"/>
  <c r="F9" i="79"/>
  <c r="M9" i="15"/>
  <c r="B12" i="76"/>
  <c r="J15" i="15"/>
  <c r="F16" i="15"/>
  <c r="M24" i="67"/>
  <c r="F26" i="79"/>
  <c r="F7" i="15"/>
  <c r="F43" i="15"/>
  <c r="C40" i="11" l="1"/>
  <c r="D70" i="39"/>
  <c r="E68" i="39"/>
  <c r="F68" i="39" s="1"/>
  <c r="J51" i="15"/>
  <c r="AR10" i="1"/>
  <c r="C27" i="79"/>
  <c r="F51" i="79"/>
  <c r="Q71" i="79"/>
  <c r="F66" i="79"/>
  <c r="F64" i="79"/>
  <c r="F68" i="79"/>
  <c r="F65" i="79"/>
  <c r="L56" i="79"/>
  <c r="L60" i="79"/>
  <c r="J57" i="79"/>
  <c r="J55" i="79" s="1"/>
  <c r="J58" i="79" s="1"/>
  <c r="Q50" i="79" s="1"/>
  <c r="L57" i="79"/>
  <c r="I54" i="79"/>
  <c r="J53" i="79"/>
  <c r="N59" i="79"/>
  <c r="L58" i="79"/>
  <c r="L59" i="79"/>
  <c r="M59" i="79"/>
  <c r="G7" i="1"/>
  <c r="E20" i="6"/>
  <c r="K7" i="1" s="1"/>
  <c r="C34" i="69" s="1"/>
  <c r="C35" i="69" s="1"/>
  <c r="D39" i="43"/>
  <c r="AZ14" i="3"/>
  <c r="G19" i="3"/>
  <c r="M6" i="1"/>
  <c r="O6" i="1" s="1"/>
  <c r="N200" i="80"/>
  <c r="C21" i="68"/>
  <c r="C40" i="69"/>
  <c r="N197" i="80"/>
  <c r="F48" i="9"/>
  <c r="O52" i="9" s="1"/>
  <c r="F32" i="79"/>
  <c r="F28" i="79"/>
  <c r="C28" i="79" s="1"/>
  <c r="M18" i="79"/>
  <c r="F30" i="11"/>
  <c r="C48" i="11" s="1"/>
  <c r="K5" i="4"/>
  <c r="B47" i="48" s="1"/>
  <c r="P61" i="15"/>
  <c r="E15" i="6"/>
  <c r="E60" i="40" s="1"/>
  <c r="E13" i="6"/>
  <c r="G27" i="6"/>
  <c r="H82" i="43"/>
  <c r="H75" i="43"/>
  <c r="H52" i="43"/>
  <c r="H55" i="43"/>
  <c r="H50" i="43"/>
  <c r="H53" i="43"/>
  <c r="H56" i="43"/>
  <c r="H54" i="43"/>
  <c r="H48" i="43"/>
  <c r="H49" i="43"/>
  <c r="H51" i="43"/>
  <c r="E11" i="43"/>
  <c r="E9" i="43"/>
  <c r="E10" i="43"/>
  <c r="E8" i="43"/>
  <c r="C94" i="9"/>
  <c r="C92" i="9"/>
  <c r="C5" i="11"/>
  <c r="F30" i="69"/>
  <c r="F48" i="69" s="1"/>
  <c r="M18" i="15"/>
  <c r="F52" i="9"/>
  <c r="F54" i="9"/>
  <c r="F32" i="15"/>
  <c r="F60" i="15" s="1"/>
  <c r="F32" i="67"/>
  <c r="F60" i="67" s="1"/>
  <c r="F28" i="67"/>
  <c r="C28" i="67" s="1"/>
  <c r="C24" i="12"/>
  <c r="C77" i="9"/>
  <c r="C74" i="9" s="1"/>
  <c r="C13" i="12"/>
  <c r="C36" i="11"/>
  <c r="C30" i="11"/>
  <c r="D68" i="9"/>
  <c r="F28" i="15"/>
  <c r="C28" i="15" s="1"/>
  <c r="C48" i="69"/>
  <c r="M18" i="67"/>
  <c r="F31" i="12"/>
  <c r="C31" i="12" s="1"/>
  <c r="F30" i="68"/>
  <c r="F53" i="9"/>
  <c r="C21" i="69"/>
  <c r="D22" i="67"/>
  <c r="C36" i="69"/>
  <c r="H16" i="1"/>
  <c r="AQ8" i="1"/>
  <c r="L27" i="6"/>
  <c r="BL5" i="3"/>
  <c r="AZ19" i="3"/>
  <c r="AR11" i="1"/>
  <c r="T11" i="1"/>
  <c r="E64" i="39"/>
  <c r="E59" i="40"/>
  <c r="D9" i="11"/>
  <c r="C9" i="11" s="1"/>
  <c r="D9" i="69"/>
  <c r="C9" i="69" s="1"/>
  <c r="D9" i="68"/>
  <c r="C9" i="68" s="1"/>
  <c r="AR9" i="1"/>
  <c r="AQ9" i="1"/>
  <c r="T9" i="1"/>
  <c r="AQ13" i="1"/>
  <c r="T10" i="1"/>
  <c r="T12" i="1"/>
  <c r="E10" i="6"/>
  <c r="G5" i="3"/>
  <c r="B3" i="3" s="1"/>
  <c r="F27" i="6"/>
  <c r="F31" i="6" s="1"/>
  <c r="E51" i="40"/>
  <c r="E56" i="39"/>
  <c r="E29" i="6"/>
  <c r="G30" i="6"/>
  <c r="G31" i="6" s="1"/>
  <c r="E12" i="6"/>
  <c r="K15" i="1"/>
  <c r="E30" i="6"/>
  <c r="BA5" i="3"/>
  <c r="E27" i="6" s="1"/>
  <c r="K19" i="6" s="1"/>
  <c r="S6" i="1" s="1"/>
  <c r="AZ18" i="3"/>
  <c r="AZ5" i="3"/>
  <c r="E3" i="6" s="1"/>
  <c r="O11" i="1"/>
  <c r="P11" i="1" s="1"/>
  <c r="P14" i="1"/>
  <c r="P6" i="1"/>
  <c r="O12" i="1"/>
  <c r="P12" i="1" s="1"/>
  <c r="O9" i="1"/>
  <c r="P9" i="1" s="1"/>
  <c r="O8" i="1"/>
  <c r="P8" i="1" s="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7" i="43"/>
  <c r="C16" i="43" s="1"/>
  <c r="D5" i="43" s="1"/>
  <c r="H71" i="43"/>
  <c r="H84" i="43"/>
  <c r="H85" i="43"/>
  <c r="H87" i="43"/>
  <c r="H86" i="43"/>
  <c r="T35" i="4"/>
  <c r="A19" i="51" s="1"/>
  <c r="B14" i="72" s="1"/>
  <c r="G11" i="1"/>
  <c r="A15" i="62"/>
  <c r="B61" i="72" s="1"/>
  <c r="D12" i="52"/>
  <c r="D127" i="9"/>
  <c r="D13" i="52" s="1"/>
  <c r="Y5" i="71"/>
  <c r="Z5" i="71" s="1"/>
  <c r="X5" i="71"/>
  <c r="AB5" i="71"/>
  <c r="AA5" i="71"/>
  <c r="E70" i="39"/>
  <c r="C5" i="43"/>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C27" i="15"/>
  <c r="F65" i="15"/>
  <c r="B9" i="70"/>
  <c r="N59" i="67"/>
  <c r="L59" i="67"/>
  <c r="L58" i="67"/>
  <c r="M59" i="67"/>
  <c r="B13" i="70"/>
  <c r="F68" i="67"/>
  <c r="F64" i="67"/>
  <c r="F68" i="15"/>
  <c r="C16" i="79"/>
  <c r="F7" i="79"/>
  <c r="F7" i="67"/>
  <c r="F43" i="67"/>
  <c r="M29" i="79"/>
  <c r="G1" i="73"/>
  <c r="C16" i="15"/>
  <c r="C17" i="15"/>
  <c r="F43" i="79"/>
  <c r="M29" i="67"/>
  <c r="H7" i="36" l="1"/>
  <c r="F7" i="34"/>
  <c r="K16" i="1"/>
  <c r="M7" i="1"/>
  <c r="F71" i="67"/>
  <c r="F50" i="67"/>
  <c r="C49" i="67" s="1"/>
  <c r="C6" i="67"/>
  <c r="M7" i="67"/>
  <c r="J6" i="67" s="1"/>
  <c r="J18" i="67" s="1"/>
  <c r="Q16" i="1"/>
  <c r="F28" i="12" s="1"/>
  <c r="C29" i="12" s="1"/>
  <c r="D28" i="12" s="1"/>
  <c r="Q60" i="79"/>
  <c r="Q73" i="79"/>
  <c r="Q52" i="79"/>
  <c r="F1" i="79"/>
  <c r="Q57" i="79"/>
  <c r="Q66" i="79"/>
  <c r="Q61" i="79"/>
  <c r="Q74" i="79"/>
  <c r="C6" i="79"/>
  <c r="C33" i="79" s="1"/>
  <c r="M7" i="79"/>
  <c r="J6" i="79" s="1"/>
  <c r="J18" i="79" s="1"/>
  <c r="F50" i="79"/>
  <c r="C49" i="79" s="1"/>
  <c r="F71" i="79"/>
  <c r="E65" i="39"/>
  <c r="D1" i="43"/>
  <c r="H39" i="43"/>
  <c r="E77" i="3"/>
  <c r="B29" i="1"/>
  <c r="E514" i="3"/>
  <c r="E134" i="3"/>
  <c r="E282" i="3"/>
  <c r="M16" i="1"/>
  <c r="C34" i="68" s="1"/>
  <c r="C38" i="68" s="1"/>
  <c r="E387" i="3"/>
  <c r="E431" i="3"/>
  <c r="E278" i="3"/>
  <c r="F60" i="79"/>
  <c r="F11" i="79"/>
  <c r="M11" i="79"/>
  <c r="AY6" i="3"/>
  <c r="E361" i="3"/>
  <c r="E215" i="3"/>
  <c r="M6" i="3"/>
  <c r="E201" i="3"/>
  <c r="E509" i="3"/>
  <c r="E260" i="3"/>
  <c r="AQ6" i="1"/>
  <c r="E6" i="70"/>
  <c r="E181" i="3"/>
  <c r="C8" i="68"/>
  <c r="E528" i="3"/>
  <c r="E91" i="3"/>
  <c r="E189" i="3"/>
  <c r="E335" i="3"/>
  <c r="AB6" i="3"/>
  <c r="E570" i="3"/>
  <c r="E311" i="3"/>
  <c r="E247" i="3"/>
  <c r="E579" i="3"/>
  <c r="AJ6" i="3"/>
  <c r="E366" i="3"/>
  <c r="E352" i="3"/>
  <c r="E368" i="3"/>
  <c r="E58" i="40"/>
  <c r="E63" i="39"/>
  <c r="C30" i="69"/>
  <c r="F48" i="68"/>
  <c r="C30" i="68"/>
  <c r="C48" i="68"/>
  <c r="F27" i="68"/>
  <c r="C29" i="68" s="1"/>
  <c r="D27" i="68" s="1"/>
  <c r="K26" i="6"/>
  <c r="M26" i="6" s="1"/>
  <c r="I26" i="6" s="1"/>
  <c r="S26" i="6" s="1"/>
  <c r="T6" i="1"/>
  <c r="AR6" i="1"/>
  <c r="E261" i="3"/>
  <c r="E183" i="3"/>
  <c r="E503" i="3"/>
  <c r="E254" i="3"/>
  <c r="E130" i="3"/>
  <c r="E230" i="3"/>
  <c r="E294" i="3"/>
  <c r="E320" i="3"/>
  <c r="E407" i="3"/>
  <c r="V6" i="3"/>
  <c r="E551" i="3"/>
  <c r="E559" i="3"/>
  <c r="E358" i="3"/>
  <c r="E151" i="3"/>
  <c r="E229" i="3"/>
  <c r="E396" i="3"/>
  <c r="E569" i="3"/>
  <c r="E516" i="3"/>
  <c r="E239" i="3"/>
  <c r="N6" i="3"/>
  <c r="E553" i="3"/>
  <c r="E125" i="3"/>
  <c r="E545" i="3"/>
  <c r="E128" i="3"/>
  <c r="E314" i="3"/>
  <c r="E148" i="3"/>
  <c r="E199" i="3"/>
  <c r="E350" i="3"/>
  <c r="E237" i="3"/>
  <c r="E304" i="3"/>
  <c r="E565" i="3"/>
  <c r="E213" i="3"/>
  <c r="E17" i="3"/>
  <c r="E302" i="3"/>
  <c r="E13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322" i="3"/>
  <c r="E268" i="3"/>
  <c r="E526" i="3"/>
  <c r="E217" i="3"/>
  <c r="E415" i="3"/>
  <c r="E329" i="3"/>
  <c r="E510" i="3"/>
  <c r="E205" i="3"/>
  <c r="E518" i="3"/>
  <c r="X6" i="3"/>
  <c r="E549" i="3"/>
  <c r="E196" i="3"/>
  <c r="E180" i="3"/>
  <c r="E253" i="3"/>
  <c r="E286" i="3"/>
  <c r="E124" i="3"/>
  <c r="E99" i="3"/>
  <c r="E426" i="3"/>
  <c r="E305" i="3"/>
  <c r="E153" i="3"/>
  <c r="E343" i="3"/>
  <c r="E501" i="3"/>
  <c r="E530" i="3"/>
  <c r="E319" i="3"/>
  <c r="E175" i="3"/>
  <c r="E53" i="3"/>
  <c r="E395" i="3"/>
  <c r="E550" i="3"/>
  <c r="E539" i="3"/>
  <c r="E567" i="3"/>
  <c r="E461" i="3"/>
  <c r="E227" i="3"/>
  <c r="E165" i="3"/>
  <c r="E385" i="3"/>
  <c r="AI6" i="3"/>
  <c r="E535" i="3"/>
  <c r="E246" i="3"/>
  <c r="E16" i="3"/>
  <c r="E453" i="3"/>
  <c r="E244" i="3"/>
  <c r="E156" i="3"/>
  <c r="E221" i="3"/>
  <c r="E149" i="3"/>
  <c r="E212" i="3"/>
  <c r="E167" i="3"/>
  <c r="E141" i="3"/>
  <c r="E312" i="3"/>
  <c r="E347" i="3"/>
  <c r="E536" i="3"/>
  <c r="E301" i="3"/>
  <c r="E114" i="3"/>
  <c r="E69" i="3"/>
  <c r="AA6" i="3"/>
  <c r="E397" i="3"/>
  <c r="E578" i="3"/>
  <c r="E382" i="3"/>
  <c r="E245" i="3"/>
  <c r="E188" i="3"/>
  <c r="E122" i="3"/>
  <c r="E120" i="3"/>
  <c r="E45" i="3"/>
  <c r="E277" i="3"/>
  <c r="E224" i="3"/>
  <c r="E177" i="3"/>
  <c r="E193" i="3"/>
  <c r="E133" i="3"/>
  <c r="E313" i="3"/>
  <c r="E330"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445" i="3"/>
  <c r="E280" i="3"/>
  <c r="E423" i="3"/>
  <c r="I6" i="3"/>
  <c r="E263" i="3"/>
  <c r="E269" i="3"/>
  <c r="E85" i="3"/>
  <c r="E238" i="3"/>
  <c r="E116" i="3"/>
  <c r="E105"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89" i="3"/>
  <c r="E140" i="3"/>
  <c r="E197" i="3"/>
  <c r="E369" i="3"/>
  <c r="K6" i="3"/>
  <c r="Q6" i="3"/>
  <c r="E560" i="3"/>
  <c r="E437" i="3"/>
  <c r="E472" i="3"/>
  <c r="E481" i="3"/>
  <c r="E406" i="3"/>
  <c r="E424" i="3"/>
  <c r="E465" i="3"/>
  <c r="E344" i="3"/>
  <c r="E587" i="3"/>
  <c r="AE6"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91" i="3"/>
  <c r="E223" i="3"/>
  <c r="E173" i="3"/>
  <c r="E519" i="3"/>
  <c r="E532" i="3"/>
  <c r="E573" i="3"/>
  <c r="E529" i="3"/>
  <c r="E458" i="3"/>
  <c r="E474" i="3"/>
  <c r="E527" i="3"/>
  <c r="E438" i="3"/>
  <c r="E457" i="3"/>
  <c r="E288" i="3"/>
  <c r="E562" i="3"/>
  <c r="W6" i="3"/>
  <c r="E571"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18" i="3"/>
  <c r="E287" i="3"/>
  <c r="E265" i="3"/>
  <c r="E308" i="3"/>
  <c r="E365" i="3"/>
  <c r="E326" i="3"/>
  <c r="E524" i="3"/>
  <c r="E22" i="3"/>
  <c r="E101" i="3"/>
  <c r="E83" i="3"/>
  <c r="E179" i="3"/>
  <c r="E264" i="3"/>
  <c r="E222" i="3"/>
  <c r="E283" i="3"/>
  <c r="E323" i="3"/>
  <c r="E309" i="3"/>
  <c r="E373" i="3"/>
  <c r="E513" i="3"/>
  <c r="E82" i="3"/>
  <c r="E21" i="3"/>
  <c r="E353" i="3"/>
  <c r="E495" i="3"/>
  <c r="AN6" i="3"/>
  <c r="E586" i="3"/>
  <c r="E172" i="3"/>
  <c r="E583" i="3"/>
  <c r="E336" i="3"/>
  <c r="E293" i="3"/>
  <c r="E511" i="3"/>
  <c r="AK6" i="3"/>
  <c r="E434" i="3"/>
  <c r="E306" i="3"/>
  <c r="E296" i="3"/>
  <c r="E262" i="3"/>
  <c r="E136" i="3"/>
  <c r="E236" i="3"/>
  <c r="E290" i="3"/>
  <c r="E161" i="3"/>
  <c r="E117" i="3"/>
  <c r="E207" i="3"/>
  <c r="E252" i="3"/>
  <c r="E271" i="3"/>
  <c r="E204" i="3"/>
  <c r="E145" i="3"/>
  <c r="E164" i="3"/>
  <c r="E107" i="3"/>
  <c r="E327" i="3"/>
  <c r="E379" i="3"/>
  <c r="E563" i="3"/>
  <c r="E399" i="3"/>
  <c r="E568" i="3"/>
  <c r="E402" i="3"/>
  <c r="E303" i="3"/>
  <c r="E159" i="3"/>
  <c r="E228" i="3"/>
  <c r="E157" i="3"/>
  <c r="L16" i="1"/>
  <c r="N16" i="1"/>
  <c r="F50" i="68" s="1"/>
  <c r="C38" i="69"/>
  <c r="E62" i="39"/>
  <c r="E57" i="40"/>
  <c r="E66" i="39"/>
  <c r="O7" i="1"/>
  <c r="P7" i="1" s="1"/>
  <c r="P16" i="1" s="1"/>
  <c r="C11" i="12" s="1"/>
  <c r="E16" i="6"/>
  <c r="K24" i="6"/>
  <c r="M24" i="6" s="1"/>
  <c r="I24" i="6" s="1"/>
  <c r="S24" i="6" s="1"/>
  <c r="E31" i="6"/>
  <c r="K21" i="6"/>
  <c r="M21" i="6" s="1"/>
  <c r="I21" i="6" s="1"/>
  <c r="S21" i="6" s="1"/>
  <c r="K22" i="6"/>
  <c r="M22" i="6" s="1"/>
  <c r="I22" i="6" s="1"/>
  <c r="S22" i="6" s="1"/>
  <c r="K25" i="6"/>
  <c r="M25" i="6" s="1"/>
  <c r="I25" i="6" s="1"/>
  <c r="S25" i="6" s="1"/>
  <c r="K23" i="6"/>
  <c r="M23" i="6" s="1"/>
  <c r="I23" i="6" s="1"/>
  <c r="S23" i="6" s="1"/>
  <c r="K20" i="6"/>
  <c r="D3" i="34"/>
  <c r="D3" i="33"/>
  <c r="E6" i="6"/>
  <c r="D37" i="11"/>
  <c r="C37" i="11" s="1"/>
  <c r="D14" i="12"/>
  <c r="M18" i="9"/>
  <c r="B118" i="9" s="1"/>
  <c r="B14" i="74" s="1"/>
  <c r="B1" i="74" s="1"/>
  <c r="C8" i="74" s="1"/>
  <c r="D3" i="21"/>
  <c r="D19" i="11"/>
  <c r="C19" i="11" s="1"/>
  <c r="D3" i="37"/>
  <c r="C17" i="4"/>
  <c r="B4" i="52" s="1"/>
  <c r="B43" i="72" s="1"/>
  <c r="L18" i="9"/>
  <c r="D22" i="43"/>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03" i="3"/>
  <c r="AY50" i="3"/>
  <c r="AY160" i="3"/>
  <c r="AY289" i="3"/>
  <c r="AY183" i="3"/>
  <c r="AY261" i="3"/>
  <c r="AY284" i="3"/>
  <c r="AY209" i="3"/>
  <c r="AY319" i="3"/>
  <c r="AY455" i="3"/>
  <c r="AY497"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67" i="3"/>
  <c r="AY196" i="3"/>
  <c r="AY139" i="3"/>
  <c r="AY74" i="3"/>
  <c r="AY123" i="3"/>
  <c r="AY204" i="3"/>
  <c r="AY252" i="3"/>
  <c r="AY363" i="3"/>
  <c r="AY489" i="3"/>
  <c r="AY412"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AC10" i="39" s="1"/>
  <c r="H10" i="40"/>
  <c r="AB10" i="40" s="1"/>
  <c r="H10" i="39"/>
  <c r="AB10" i="39" s="1"/>
  <c r="J10" i="40"/>
  <c r="W10" i="40" s="1"/>
  <c r="F10" i="40"/>
  <c r="S10" i="40" s="1"/>
  <c r="F59" i="67"/>
  <c r="G70" i="39"/>
  <c r="H68" i="39"/>
  <c r="H7" i="37"/>
  <c r="AB7" i="37" s="1"/>
  <c r="T42" i="37" s="1"/>
  <c r="G42" i="37" s="1"/>
  <c r="B40" i="1"/>
  <c r="F24" i="79"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P25" i="43"/>
  <c r="P23" i="43"/>
  <c r="B71" i="39" s="1"/>
  <c r="C49" i="15"/>
  <c r="J18" i="15"/>
  <c r="C32" i="67"/>
  <c r="Q60" i="67"/>
  <c r="Q73" i="67"/>
  <c r="M28" i="43"/>
  <c r="G20" i="43" s="1"/>
  <c r="N28" i="43"/>
  <c r="O28" i="43"/>
  <c r="P28" i="43"/>
  <c r="M11" i="67"/>
  <c r="J10" i="67" s="1"/>
  <c r="F11" i="15"/>
  <c r="M11" i="15"/>
  <c r="J10" i="15" s="1"/>
  <c r="J5" i="15" s="1"/>
  <c r="F11" i="67"/>
  <c r="F1" i="15"/>
  <c r="Q52" i="15"/>
  <c r="C32" i="15"/>
  <c r="F1" i="67"/>
  <c r="Q52" i="67"/>
  <c r="Q60" i="15"/>
  <c r="Q73" i="15"/>
  <c r="Q61" i="67"/>
  <c r="Q74" i="67"/>
  <c r="Q74" i="15"/>
  <c r="Q61" i="15"/>
  <c r="AE7" i="1"/>
  <c r="C16" i="67"/>
  <c r="AE6" i="1"/>
  <c r="F41" i="79"/>
  <c r="C14" i="15"/>
  <c r="J5" i="67" l="1"/>
  <c r="J24" i="67" s="1"/>
  <c r="U7" i="37"/>
  <c r="E41" i="43"/>
  <c r="C41" i="43" s="1"/>
  <c r="C20" i="43"/>
  <c r="C34" i="11"/>
  <c r="C38" i="11" s="1"/>
  <c r="C32" i="79"/>
  <c r="F27" i="11"/>
  <c r="F27" i="69"/>
  <c r="C47" i="69" s="1"/>
  <c r="D45" i="69" s="1"/>
  <c r="J10" i="79"/>
  <c r="J5" i="79" s="1"/>
  <c r="J26" i="79" s="1"/>
  <c r="J29" i="79" s="1"/>
  <c r="F50" i="69"/>
  <c r="C47" i="68"/>
  <c r="D45" i="68" s="1"/>
  <c r="C18" i="15"/>
  <c r="C15" i="15"/>
  <c r="F69" i="79"/>
  <c r="C24" i="79"/>
  <c r="C53" i="79"/>
  <c r="C48" i="79" s="1"/>
  <c r="C10" i="79"/>
  <c r="C5" i="79" s="1"/>
  <c r="C35" i="68"/>
  <c r="F45" i="68"/>
  <c r="K27" i="6"/>
  <c r="M20" i="6"/>
  <c r="I20" i="6" s="1"/>
  <c r="S20" i="6" s="1"/>
  <c r="S7" i="1"/>
  <c r="F50" i="11"/>
  <c r="AA10" i="40"/>
  <c r="AC10" i="40"/>
  <c r="U10" i="40"/>
  <c r="H6" i="3"/>
  <c r="AC6" i="3"/>
  <c r="W10" i="39"/>
  <c r="O16" i="1"/>
  <c r="C35" i="11"/>
  <c r="I19" i="6"/>
  <c r="C20" i="11"/>
  <c r="C28" i="11" s="1"/>
  <c r="C27" i="11" s="1"/>
  <c r="D19" i="6"/>
  <c r="D26" i="6"/>
  <c r="C18" i="4"/>
  <c r="D8" i="6"/>
  <c r="D23" i="6"/>
  <c r="D14" i="6"/>
  <c r="D5" i="6"/>
  <c r="D12" i="6"/>
  <c r="D11" i="6"/>
  <c r="D13" i="6"/>
  <c r="D28" i="6"/>
  <c r="E61" i="40"/>
  <c r="H22" i="6"/>
  <c r="H21" i="6"/>
  <c r="H24" i="6"/>
  <c r="H20" i="6"/>
  <c r="M19" i="9"/>
  <c r="C118" i="9" s="1"/>
  <c r="C14" i="74" s="1"/>
  <c r="B2" i="74" s="1"/>
  <c r="D8" i="74" s="1"/>
  <c r="D25" i="6"/>
  <c r="D15" i="6"/>
  <c r="D22" i="6"/>
  <c r="D21" i="6"/>
  <c r="D24" i="6"/>
  <c r="D20" i="6"/>
  <c r="D6" i="6"/>
  <c r="D9" i="6"/>
  <c r="D10" i="6"/>
  <c r="L19" i="9"/>
  <c r="D29" i="6"/>
  <c r="H25" i="6"/>
  <c r="H23" i="6"/>
  <c r="H26" i="6"/>
  <c r="H19" i="6"/>
  <c r="C15" i="12"/>
  <c r="C12" i="12"/>
  <c r="D17" i="12"/>
  <c r="C17" i="12" s="1"/>
  <c r="C14" i="12"/>
  <c r="D10" i="11"/>
  <c r="C10" i="11" s="1"/>
  <c r="D20" i="12"/>
  <c r="C20" i="12" s="1"/>
  <c r="C18" i="12" s="1"/>
  <c r="D10" i="68"/>
  <c r="D10" i="69"/>
  <c r="S6" i="43"/>
  <c r="T6" i="43" s="1"/>
  <c r="V6" i="43" s="1"/>
  <c r="S7" i="43"/>
  <c r="T7" i="43" s="1"/>
  <c r="V7" i="43" s="1"/>
  <c r="S3" i="43"/>
  <c r="T3" i="43" s="1"/>
  <c r="V3" i="43" s="1"/>
  <c r="S5" i="43"/>
  <c r="T5" i="43" s="1"/>
  <c r="V5" i="43" s="1"/>
  <c r="S4" i="43"/>
  <c r="T4" i="43" s="1"/>
  <c r="V4" i="43" s="1"/>
  <c r="S2" i="43"/>
  <c r="T2" i="43" s="1"/>
  <c r="V2" i="43" s="1"/>
  <c r="C23" i="43"/>
  <c r="C21" i="43" s="1"/>
  <c r="C29"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4" i="15"/>
  <c r="J26" i="15"/>
  <c r="C53" i="67"/>
  <c r="C48" i="67" s="1"/>
  <c r="C10" i="67"/>
  <c r="C5" i="67" s="1"/>
  <c r="C53" i="15"/>
  <c r="C48" i="15" s="1"/>
  <c r="C10" i="15"/>
  <c r="C5" i="15" s="1"/>
  <c r="F25" i="12"/>
  <c r="F22" i="69"/>
  <c r="F41" i="69" s="1"/>
  <c r="F24" i="67"/>
  <c r="C24" i="67" s="1"/>
  <c r="F22" i="11"/>
  <c r="F22" i="68"/>
  <c r="F24" i="15"/>
  <c r="C24" i="15" s="1"/>
  <c r="C14" i="67"/>
  <c r="F41" i="67"/>
  <c r="C17" i="67"/>
  <c r="F41" i="15"/>
  <c r="C17" i="79"/>
  <c r="C35" i="43" l="1"/>
  <c r="T14" i="43"/>
  <c r="V14" i="43" s="1"/>
  <c r="C36" i="43"/>
  <c r="C34" i="43"/>
  <c r="T11" i="43"/>
  <c r="V11" i="43" s="1"/>
  <c r="T10" i="43"/>
  <c r="V10" i="43" s="1"/>
  <c r="T12" i="43"/>
  <c r="V12" i="43" s="1"/>
  <c r="T8" i="43"/>
  <c r="V8" i="43" s="1"/>
  <c r="T15" i="43"/>
  <c r="V15" i="43" s="1"/>
  <c r="C37" i="43"/>
  <c r="C33" i="43"/>
  <c r="T13" i="43"/>
  <c r="V13" i="43" s="1"/>
  <c r="T9" i="43"/>
  <c r="V9" i="43" s="1"/>
  <c r="T16" i="43"/>
  <c r="V16" i="43" s="1"/>
  <c r="C38" i="43"/>
  <c r="C39" i="43"/>
  <c r="C29" i="11"/>
  <c r="D27" i="11" s="1"/>
  <c r="C47" i="11"/>
  <c r="D45" i="11" s="1"/>
  <c r="C29" i="69"/>
  <c r="D27" i="69" s="1"/>
  <c r="F45" i="69"/>
  <c r="F69" i="67"/>
  <c r="J29" i="67"/>
  <c r="C15" i="67"/>
  <c r="C18" i="67"/>
  <c r="E7" i="70"/>
  <c r="E2" i="70" s="1"/>
  <c r="J24" i="79"/>
  <c r="M27" i="6"/>
  <c r="F69" i="15"/>
  <c r="J29" i="15"/>
  <c r="C19" i="15"/>
  <c r="C20" i="15" s="1"/>
  <c r="C26" i="15" s="1"/>
  <c r="H27" i="6"/>
  <c r="R22" i="6"/>
  <c r="S16" i="1"/>
  <c r="C66" i="79"/>
  <c r="C60" i="79"/>
  <c r="C38" i="79"/>
  <c r="R25" i="6"/>
  <c r="E6" i="3"/>
  <c r="AQ7" i="1"/>
  <c r="AR7" i="1"/>
  <c r="T7" i="1"/>
  <c r="C33" i="11"/>
  <c r="C39" i="11" s="1"/>
  <c r="C46" i="11" s="1"/>
  <c r="C45" i="11" s="1"/>
  <c r="D16" i="6"/>
  <c r="D30" i="6"/>
  <c r="R20" i="6"/>
  <c r="R7" i="1" s="1"/>
  <c r="R21" i="6"/>
  <c r="C10" i="69"/>
  <c r="C8" i="69" s="1"/>
  <c r="C5" i="69" s="1"/>
  <c r="C23" i="69" s="1"/>
  <c r="D19" i="69"/>
  <c r="C16" i="12"/>
  <c r="C21" i="12" s="1"/>
  <c r="R26" i="6"/>
  <c r="C10" i="68"/>
  <c r="D19" i="68"/>
  <c r="R24" i="6"/>
  <c r="R23" i="6"/>
  <c r="A7" i="51"/>
  <c r="B7" i="72" s="1"/>
  <c r="C4" i="52"/>
  <c r="B45" i="72" s="1"/>
  <c r="A10" i="51"/>
  <c r="B9" i="72" s="1"/>
  <c r="D27" i="6"/>
  <c r="D31" i="6" s="1"/>
  <c r="R19" i="6"/>
  <c r="S19" i="6"/>
  <c r="S27" i="6" s="1"/>
  <c r="I27" i="6"/>
  <c r="C30" i="43"/>
  <c r="E30"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42" i="11"/>
  <c r="C38" i="67"/>
  <c r="C38" i="15"/>
  <c r="C66" i="67"/>
  <c r="C60" i="67"/>
  <c r="M21" i="67"/>
  <c r="C14" i="79"/>
  <c r="F35" i="67"/>
  <c r="G39" i="43" l="1"/>
  <c r="I39" i="43" s="1"/>
  <c r="E39" i="43"/>
  <c r="E37" i="43"/>
  <c r="G37" i="43"/>
  <c r="I37" i="43" s="1"/>
  <c r="E34" i="43"/>
  <c r="G34" i="43"/>
  <c r="I34" i="43" s="1"/>
  <c r="G38" i="43"/>
  <c r="I38" i="43" s="1"/>
  <c r="E38" i="43"/>
  <c r="E33" i="43"/>
  <c r="C6" i="68" s="1"/>
  <c r="C7" i="68" s="1"/>
  <c r="G33" i="43"/>
  <c r="I33" i="43" s="1"/>
  <c r="E36" i="43"/>
  <c r="G36" i="43"/>
  <c r="I36" i="43" s="1"/>
  <c r="E35" i="43"/>
  <c r="G35" i="43"/>
  <c r="I35" i="43" s="1"/>
  <c r="C19" i="67"/>
  <c r="J20" i="67"/>
  <c r="C34" i="67"/>
  <c r="F63" i="67"/>
  <c r="C62" i="67" s="1"/>
  <c r="C20" i="67"/>
  <c r="C26" i="67" s="1"/>
  <c r="C23" i="15"/>
  <c r="C29" i="15" s="1"/>
  <c r="C57" i="15" s="1"/>
  <c r="C61" i="15" s="1"/>
  <c r="C18" i="79"/>
  <c r="C15" i="79"/>
  <c r="T16" i="1"/>
  <c r="C43" i="11"/>
  <c r="C41" i="11" s="1"/>
  <c r="C49" i="11" s="1"/>
  <c r="C51" i="11" s="1"/>
  <c r="R27" i="6"/>
  <c r="R6" i="1"/>
  <c r="C19" i="68"/>
  <c r="D37" i="68"/>
  <c r="C37" i="68" s="1"/>
  <c r="C33" i="68" s="1"/>
  <c r="C19" i="69"/>
  <c r="C24" i="69" s="1"/>
  <c r="D37" i="69"/>
  <c r="C37" i="69" s="1"/>
  <c r="C33" i="69" s="1"/>
  <c r="I6" i="6"/>
  <c r="I5" i="6"/>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F35" i="79"/>
  <c r="F35" i="15"/>
  <c r="M21" i="15"/>
  <c r="M21" i="79"/>
  <c r="J19" i="15" l="1"/>
  <c r="J14" i="15"/>
  <c r="J22" i="15" s="1"/>
  <c r="C27" i="43"/>
  <c r="C5" i="68"/>
  <c r="C23" i="68" s="1"/>
  <c r="C26" i="43"/>
  <c r="C23" i="67"/>
  <c r="C29" i="67" s="1"/>
  <c r="C33" i="67" s="1"/>
  <c r="C31" i="67" s="1"/>
  <c r="C13" i="15"/>
  <c r="Q70" i="15" s="1"/>
  <c r="C36" i="15"/>
  <c r="Q49" i="15"/>
  <c r="C19" i="79"/>
  <c r="C20" i="79" s="1"/>
  <c r="J20" i="79"/>
  <c r="F63" i="79"/>
  <c r="C62" i="79" s="1"/>
  <c r="C34" i="79"/>
  <c r="C31" i="79" s="1"/>
  <c r="J20" i="15"/>
  <c r="J17" i="15" s="1"/>
  <c r="F63" i="15"/>
  <c r="C62" i="15" s="1"/>
  <c r="C59" i="15" s="1"/>
  <c r="C34" i="15"/>
  <c r="C31" i="15" s="1"/>
  <c r="R16" i="1"/>
  <c r="C20" i="69"/>
  <c r="C28" i="69" s="1"/>
  <c r="C27" i="69" s="1"/>
  <c r="C30" i="12"/>
  <c r="C28" i="12" s="1"/>
  <c r="C32" i="12" s="1"/>
  <c r="B2" i="12" s="1"/>
  <c r="B3" i="12" s="1"/>
  <c r="C39" i="69"/>
  <c r="C43" i="69" s="1"/>
  <c r="C42" i="69"/>
  <c r="C39" i="68"/>
  <c r="C42" i="68"/>
  <c r="C20" i="68"/>
  <c r="C25" i="68" s="1"/>
  <c r="C24" i="68"/>
  <c r="D6" i="71"/>
  <c r="M20" i="43"/>
  <c r="K70" i="39"/>
  <c r="L68" i="39"/>
  <c r="I63" i="40"/>
  <c r="H65" i="40"/>
  <c r="I58" i="21"/>
  <c r="J58" i="21" s="1"/>
  <c r="K58" i="21" s="1"/>
  <c r="L58" i="21" s="1"/>
  <c r="M58" i="21" s="1"/>
  <c r="N58" i="21" s="1"/>
  <c r="O58" i="21" s="1"/>
  <c r="H7" i="21" s="1"/>
  <c r="J7" i="21"/>
  <c r="F7" i="21"/>
  <c r="J48" i="35"/>
  <c r="C52" i="11"/>
  <c r="B2" i="11" s="1"/>
  <c r="B3" i="11" s="1"/>
  <c r="Q48" i="15"/>
  <c r="C64" i="15"/>
  <c r="J13" i="15"/>
  <c r="J23" i="15" s="1"/>
  <c r="E6" i="76"/>
  <c r="E2" i="76" l="1"/>
  <c r="B2" i="43"/>
  <c r="J19" i="67"/>
  <c r="J17" i="67" s="1"/>
  <c r="J59" i="67"/>
  <c r="J60" i="67" s="1"/>
  <c r="Q49" i="67"/>
  <c r="J14" i="67"/>
  <c r="C13" i="67"/>
  <c r="C36" i="67"/>
  <c r="C57" i="67"/>
  <c r="C56" i="15"/>
  <c r="C65" i="15" s="1"/>
  <c r="C58" i="15" s="1"/>
  <c r="C67" i="15" s="1"/>
  <c r="C68" i="15" s="1"/>
  <c r="C71" i="15" s="1"/>
  <c r="C25" i="69"/>
  <c r="C22" i="69" s="1"/>
  <c r="C31" i="69" s="1"/>
  <c r="C37" i="15"/>
  <c r="C30" i="15" s="1"/>
  <c r="C39" i="15" s="1"/>
  <c r="C40" i="15" s="1"/>
  <c r="C75" i="15"/>
  <c r="C26" i="79"/>
  <c r="C23" i="79"/>
  <c r="C41" i="69"/>
  <c r="C22" i="68"/>
  <c r="C46" i="69"/>
  <c r="C45" i="69" s="1"/>
  <c r="C28" i="68"/>
  <c r="C27" i="68"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L51" i="15"/>
  <c r="B6" i="76"/>
  <c r="B2" i="76" l="1"/>
  <c r="B3" i="76" s="1"/>
  <c r="B3" i="43"/>
  <c r="Q48" i="67"/>
  <c r="L46" i="67"/>
  <c r="J22" i="67"/>
  <c r="J13" i="67"/>
  <c r="J23" i="67" s="1"/>
  <c r="C56" i="67"/>
  <c r="C65" i="67" s="1"/>
  <c r="Q70" i="67"/>
  <c r="C75" i="67"/>
  <c r="C37" i="67"/>
  <c r="C30" i="67" s="1"/>
  <c r="C39" i="67" s="1"/>
  <c r="C61" i="67"/>
  <c r="C59" i="67" s="1"/>
  <c r="C64" i="67"/>
  <c r="C80" i="15"/>
  <c r="C79" i="15" s="1"/>
  <c r="C29" i="79"/>
  <c r="Q49" i="79" s="1"/>
  <c r="Q69" i="15"/>
  <c r="Q68" i="15" s="1"/>
  <c r="C49" i="69"/>
  <c r="C51" i="69" s="1"/>
  <c r="C31" i="68"/>
  <c r="C49" i="68"/>
  <c r="C5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56" i="15"/>
  <c r="Q65" i="15"/>
  <c r="C43" i="15"/>
  <c r="Q47" i="15"/>
  <c r="Q53" i="15" s="1"/>
  <c r="C83" i="15"/>
  <c r="C82" i="15" s="1"/>
  <c r="C46" i="15"/>
  <c r="AO6" i="1"/>
  <c r="L51" i="67"/>
  <c r="Q69" i="67" l="1"/>
  <c r="Q68" i="67" s="1"/>
  <c r="C80" i="67"/>
  <c r="C79" i="67" s="1"/>
  <c r="C40" i="67"/>
  <c r="Q56" i="67" s="1"/>
  <c r="J16" i="67"/>
  <c r="J25" i="67" s="1"/>
  <c r="Q67" i="67"/>
  <c r="L57" i="67"/>
  <c r="L60" i="67" s="1"/>
  <c r="Q57" i="67" s="1"/>
  <c r="C58" i="67"/>
  <c r="C67" i="67" s="1"/>
  <c r="C68" i="67" s="1"/>
  <c r="J19" i="79"/>
  <c r="J17" i="79" s="1"/>
  <c r="J14" i="79"/>
  <c r="C13" i="79"/>
  <c r="C57" i="79"/>
  <c r="J59" i="79"/>
  <c r="J60" i="79" s="1"/>
  <c r="C36" i="79"/>
  <c r="C52" i="68"/>
  <c r="B2" i="68" s="1"/>
  <c r="C52" i="69"/>
  <c r="B2" i="69" s="1"/>
  <c r="B3" i="69" s="1"/>
  <c r="B6" i="70"/>
  <c r="B3" i="15"/>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C19" i="9"/>
  <c r="C83" i="67" l="1"/>
  <c r="C82" i="67" s="1"/>
  <c r="Q62" i="67"/>
  <c r="D2" i="67"/>
  <c r="Q47" i="67"/>
  <c r="Q53" i="67" s="1"/>
  <c r="Q65" i="67"/>
  <c r="Q75" i="67" s="1"/>
  <c r="C43" i="67"/>
  <c r="C45" i="67"/>
  <c r="C46" i="67" s="1"/>
  <c r="C71" i="67"/>
  <c r="J13" i="79"/>
  <c r="J23" i="79" s="1"/>
  <c r="J22" i="79"/>
  <c r="C64" i="79"/>
  <c r="C61" i="79"/>
  <c r="C59" i="79" s="1"/>
  <c r="L46" i="79"/>
  <c r="Q48" i="79"/>
  <c r="C56" i="79"/>
  <c r="C65" i="79" s="1"/>
  <c r="C37" i="79"/>
  <c r="C30" i="79" s="1"/>
  <c r="C39" i="79" s="1"/>
  <c r="Q70" i="79"/>
  <c r="C75" i="79"/>
  <c r="C102" i="9"/>
  <c r="C21" i="9"/>
  <c r="B3" i="68"/>
  <c r="C57" i="69"/>
  <c r="C56" i="69" s="1"/>
  <c r="H7" i="39"/>
  <c r="J7" i="39"/>
  <c r="AA7" i="39"/>
  <c r="R47" i="39" s="1"/>
  <c r="S7" i="39"/>
  <c r="R39" i="35"/>
  <c r="E38" i="35"/>
  <c r="M63" i="40"/>
  <c r="L65" i="40"/>
  <c r="D34" i="9"/>
  <c r="D35" i="9"/>
  <c r="C20" i="9"/>
  <c r="L51" i="79"/>
  <c r="B2" i="67" l="1"/>
  <c r="B3" i="67"/>
  <c r="C58" i="79"/>
  <c r="C67" i="79" s="1"/>
  <c r="C68" i="79" s="1"/>
  <c r="C71" i="79" s="1"/>
  <c r="C80" i="79"/>
  <c r="C79" i="79" s="1"/>
  <c r="J16" i="79"/>
  <c r="J25" i="79" s="1"/>
  <c r="Q67" i="79"/>
  <c r="C40" i="79"/>
  <c r="Q69" i="79"/>
  <c r="Q68" i="79"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C46" i="79" l="1"/>
  <c r="Q56" i="79"/>
  <c r="Q62" i="79" s="1"/>
  <c r="Q47" i="79"/>
  <c r="Q53" i="79" s="1"/>
  <c r="C43" i="79"/>
  <c r="Q65" i="79"/>
  <c r="Q75" i="79" s="1"/>
  <c r="B2" i="79"/>
  <c r="C83" i="79"/>
  <c r="C82" i="79" s="1"/>
  <c r="E52" i="39"/>
  <c r="F52" i="39" s="1"/>
  <c r="E51" i="39"/>
  <c r="F51" i="39" s="1"/>
  <c r="G51" i="39"/>
  <c r="H51" i="39" s="1"/>
  <c r="G52" i="39"/>
  <c r="H52" i="39" s="1"/>
  <c r="I51" i="39"/>
  <c r="J51" i="39" s="1"/>
  <c r="I52" i="39"/>
  <c r="J52" i="39" s="1"/>
  <c r="C48" i="39"/>
  <c r="C47" i="39"/>
  <c r="O63" i="40"/>
  <c r="O65" i="40" s="1"/>
  <c r="N65" i="40"/>
  <c r="AO7" i="1"/>
  <c r="B7" i="70" l="1"/>
  <c r="B2" i="70" s="1"/>
  <c r="B3" i="7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D22" i="9"/>
  <c r="G19" i="9"/>
  <c r="G21" i="9" s="1"/>
  <c r="B3" i="70"/>
  <c r="U7" i="40"/>
  <c r="AB7" i="40"/>
  <c r="T42" i="40" s="1"/>
  <c r="G42" i="40" s="1"/>
  <c r="AA7" i="40"/>
  <c r="R42" i="40" s="1"/>
  <c r="S7" i="40"/>
  <c r="AC7" i="40"/>
  <c r="V42" i="40" s="1"/>
  <c r="I42" i="40" s="1"/>
  <c r="W7" i="40"/>
  <c r="D20" i="9"/>
  <c r="D103" i="9" l="1"/>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4" i="53" l="1"/>
  <c r="B32" i="72" s="1"/>
  <c r="B30" i="72"/>
  <c r="D122" i="9"/>
  <c r="H108" i="9"/>
  <c r="D15" i="53" s="1"/>
  <c r="B31" i="72" s="1"/>
  <c r="D8" i="52" l="1"/>
  <c r="G14" i="74"/>
  <c r="B6" i="74" s="1"/>
  <c r="D123" i="9"/>
  <c r="D9" i="52" s="1"/>
  <c r="C6" i="74" l="1"/>
  <c r="D6" i="74"/>
  <c r="F118" i="9"/>
  <c r="F4" i="52" s="1"/>
  <c r="B51" i="72" s="1"/>
  <c r="D118" i="9"/>
  <c r="D4" i="52" s="1"/>
  <c r="B47" i="72" s="1"/>
  <c r="H118" i="9"/>
  <c r="H4" i="52" s="1"/>
  <c r="D119" i="9" l="1"/>
  <c r="D5" i="52" s="1"/>
  <c r="B49" i="72" s="1"/>
  <c r="G118" i="9"/>
  <c r="G4" i="52" s="1"/>
  <c r="B52" i="72" s="1"/>
  <c r="F119" i="9"/>
  <c r="F5" i="52" s="1"/>
  <c r="B53" i="72" s="1"/>
  <c r="D14" i="74"/>
  <c r="C104" i="9"/>
  <c r="H101" i="9"/>
  <c r="I118" i="9"/>
  <c r="H119" i="9"/>
  <c r="H5" i="52" s="1"/>
  <c r="M48" i="9" l="1"/>
  <c r="H109" i="9"/>
  <c r="D45" i="9"/>
  <c r="D5" i="53"/>
  <c r="F14" i="74"/>
  <c r="B5" i="74"/>
  <c r="E14" i="74"/>
  <c r="I4" i="52"/>
  <c r="H102" i="9"/>
  <c r="D7" i="53" s="1"/>
  <c r="B21" i="72" s="1"/>
  <c r="C105" i="9"/>
  <c r="E118" i="9"/>
  <c r="E4" i="52" s="1"/>
  <c r="B48" i="72" s="1"/>
  <c r="D5" i="74" l="1"/>
  <c r="C5" i="74"/>
  <c r="B20" i="72"/>
  <c r="D6" i="53"/>
  <c r="B22" i="72" s="1"/>
  <c r="D16" i="53"/>
  <c r="D124" i="9"/>
  <c r="M49" i="9"/>
  <c r="H110" i="9"/>
  <c r="D18" i="53" s="1"/>
  <c r="B35" i="72" s="1"/>
  <c r="D53" i="9"/>
  <c r="C78" i="9"/>
  <c r="C73" i="9" s="1"/>
  <c r="C93" i="9"/>
  <c r="C86" i="9" s="1"/>
  <c r="C72" i="9"/>
  <c r="C64" i="9"/>
  <c r="C63" i="9" s="1"/>
  <c r="C67" i="9" s="1"/>
  <c r="D52" i="9"/>
  <c r="C85" i="9"/>
  <c r="D55" i="9"/>
  <c r="M53" i="9" s="1"/>
  <c r="C95" i="9" l="1"/>
  <c r="C96" i="9" s="1"/>
  <c r="E96" i="9" s="1"/>
  <c r="E97" i="9" s="1"/>
  <c r="C79" i="9"/>
  <c r="C80" i="9" s="1"/>
  <c r="E80" i="9" s="1"/>
  <c r="E81" i="9" s="1"/>
  <c r="D10" i="52"/>
  <c r="H14" i="74"/>
  <c r="B7" i="74" s="1"/>
  <c r="D125" i="9"/>
  <c r="D11" i="52" s="1"/>
  <c r="D59" i="9"/>
  <c r="M55" i="9" s="1"/>
  <c r="C68" i="9"/>
  <c r="D54" i="9" s="1"/>
  <c r="L64" i="9"/>
  <c r="M64" i="9" s="1"/>
  <c r="L67" i="9"/>
  <c r="M67" i="9" s="1"/>
  <c r="L68" i="9"/>
  <c r="M68" i="9" s="1"/>
  <c r="L63" i="9"/>
  <c r="M63" i="9" s="1"/>
  <c r="L65" i="9"/>
  <c r="M65" i="9" s="1"/>
  <c r="L66" i="9"/>
  <c r="M66" i="9" s="1"/>
  <c r="B34" i="72"/>
  <c r="D17" i="53"/>
  <c r="B36" i="72" s="1"/>
  <c r="C97" i="9" l="1"/>
  <c r="D58" i="9" s="1"/>
  <c r="D56" i="9" s="1"/>
  <c r="M54" i="9" s="1"/>
  <c r="N57" i="9" s="1"/>
  <c r="P57" i="9" s="1"/>
  <c r="C81" i="9"/>
  <c r="M69" i="9"/>
  <c r="N69" i="9" s="1"/>
  <c r="D7" i="74"/>
  <c r="C7"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N2" authorId="0">
      <text>
        <r>
          <rPr>
            <b/>
            <sz val="9"/>
            <rFont val="宋体"/>
            <family val="3"/>
            <charset val="134"/>
          </rPr>
          <t>zszx：当期租金</t>
        </r>
      </text>
    </comment>
    <comment ref="P2" authorId="0">
      <text>
        <r>
          <rPr>
            <b/>
            <sz val="9"/>
            <rFont val="宋体"/>
            <family val="3"/>
            <charset val="134"/>
          </rPr>
          <t>zszx:当期扣率</t>
        </r>
        <r>
          <rPr>
            <sz val="9"/>
            <rFont val="宋体"/>
            <family val="3"/>
            <charset val="134"/>
          </rPr>
          <t xml:space="preserve">
</t>
        </r>
      </text>
    </comment>
    <comment ref="S2" authorId="0">
      <text>
        <r>
          <rPr>
            <sz val="11"/>
            <rFont val="宋体"/>
            <family val="3"/>
            <charset val="134"/>
          </rPr>
          <t>租赁部:
该品牌的起租时间，注意：必须是日期格式XXXX/XX/XX</t>
        </r>
        <r>
          <rPr>
            <sz val="9"/>
            <rFont val="宋体"/>
            <family val="3"/>
            <charset val="134"/>
          </rPr>
          <t xml:space="preserve">
</t>
        </r>
      </text>
    </comment>
    <comment ref="T2" authorId="0">
      <text>
        <r>
          <rPr>
            <sz val="11"/>
            <rFont val="宋体"/>
            <family val="3"/>
            <charset val="134"/>
          </rPr>
          <t>租赁部:
该品牌的合同终止时间，注意：必须是日期格式XXXX/XX/XX</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<sst xmlns="http://schemas.openxmlformats.org/spreadsheetml/2006/main" count="10434" uniqueCount="4099">
  <si>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</si>
  <si>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</si>
  <si>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</si>
  <si>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</si>
  <si>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</si>
  <si>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</si>
  <si>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</si>
  <si>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</si>
  <si>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</si>
  <si>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</si>
  <si>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</si>
  <si>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</si>
  <si>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</si>
  <si>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</si>
  <si>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</si>
  <si>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</si>
  <si>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</si>
  <si>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</si>
  <si>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</si>
  <si>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</si>
  <si>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</si>
  <si>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</si>
  <si>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</si>
  <si>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</si>
  <si>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</si>
  <si>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</si>
  <si>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</si>
  <si>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</si>
  <si>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</si>
  <si>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</si>
  <si>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</si>
  <si>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</si>
  <si>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</si>
  <si>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</si>
  <si>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</si>
  <si>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</si>
  <si>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</si>
  <si>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</si>
  <si>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</si>
  <si>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</si>
  <si>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</si>
  <si>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</si>
  <si>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</si>
  <si>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</si>
  <si>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</si>
  <si>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</si>
  <si>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</si>
  <si>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</si>
  <si>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</si>
  <si>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</si>
  <si>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</si>
  <si>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</si>
  <si>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</si>
  <si>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</si>
  <si>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</si>
  <si>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</si>
  <si>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</si>
  <si>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</si>
  <si>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</si>
  <si>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</si>
  <si>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</si>
  <si>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</si>
  <si>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</si>
  <si>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</si>
  <si>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</si>
  <si>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</si>
  <si>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</si>
  <si>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</si>
  <si>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</si>
  <si>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</si>
  <si>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</si>
  <si>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</si>
  <si>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</si>
  <si>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</si>
  <si>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</si>
  <si>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</si>
  <si>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</si>
  <si>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</si>
  <si>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</si>
  <si>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</si>
  <si>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</si>
  <si>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</si>
  <si>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</si>
  <si>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</si>
  <si>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</si>
  <si>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</si>
  <si>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</si>
  <si>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</si>
  <si>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</si>
  <si>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</si>
  <si>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</si>
  <si>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</si>
  <si>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</si>
  <si>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</si>
  <si>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</si>
  <si>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</si>
  <si>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</si>
  <si>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</si>
  <si>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</si>
  <si>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</si>
  <si>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</si>
  <si>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</si>
  <si>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</si>
  <si>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</si>
  <si>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</si>
  <si>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</si>
  <si>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</si>
  <si>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</si>
  <si>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</si>
  <si>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</si>
  <si>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</si>
  <si>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</si>
  <si>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</si>
  <si>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</si>
  <si>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</si>
  <si>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</si>
  <si>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</si>
  <si>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</si>
  <si>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</si>
  <si>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</si>
  <si>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</si>
  <si>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</si>
  <si>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</si>
  <si>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</si>
  <si>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</si>
  <si>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</si>
  <si>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</si>
  <si>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</si>
  <si>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</si>
  <si>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</si>
  <si>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</si>
  <si>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</si>
  <si>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</si>
  <si>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</si>
  <si>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</si>
  <si>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</si>
  <si>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</si>
  <si>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</si>
  <si>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</si>
  <si>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</si>
  <si>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</si>
  <si>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</si>
  <si>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</si>
  <si>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</si>
  <si>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</si>
  <si>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</si>
  <si>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</si>
  <si>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</si>
  <si>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</si>
  <si>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</si>
  <si>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</si>
  <si>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</si>
  <si>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</si>
  <si>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</si>
  <si>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</si>
  <si>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</si>
  <si>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</si>
  <si>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</si>
  <si>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</si>
  <si>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</si>
  <si>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</si>
  <si>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</si>
  <si>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</si>
  <si>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</si>
  <si>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</si>
  <si>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</si>
  <si>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</si>
  <si>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</si>
  <si>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</si>
  <si>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</si>
  <si>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</si>
  <si>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</si>
  <si>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</si>
  <si>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</si>
  <si>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</si>
  <si>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</si>
  <si>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</si>
  <si>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</si>
  <si>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</si>
  <si>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</si>
  <si>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</si>
  <si>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</si>
  <si>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</si>
  <si>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</si>
  <si>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</si>
  <si>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</si>
  <si>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</si>
  <si>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</si>
  <si>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</si>
  <si>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</si>
  <si>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</si>
  <si>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</si>
  <si>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</si>
  <si>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</si>
  <si>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</si>
  <si>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</si>
  <si>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</si>
  <si>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</si>
  <si>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</si>
  <si>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</si>
  <si>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</si>
  <si>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</si>
  <si>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</si>
  <si>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</si>
  <si>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</si>
  <si>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</si>
  <si>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</si>
  <si>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</si>
  <si>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</si>
  <si>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</si>
  <si>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</si>
  <si>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</si>
  <si>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</si>
  <si>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</si>
  <si>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</si>
  <si>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</si>
  <si>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</si>
  <si>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</si>
  <si>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</si>
  <si>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</si>
  <si>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</si>
  <si>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</si>
  <si>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</si>
  <si>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</si>
  <si>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</si>
  <si>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</si>
  <si>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</si>
  <si>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</si>
  <si>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</si>
  <si>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</si>
  <si>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</si>
  <si>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</si>
  <si>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</si>
  <si>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</si>
  <si>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</si>
  <si>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</si>
  <si>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</si>
  <si>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</si>
  <si>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</si>
  <si>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</si>
  <si>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</si>
  <si>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</si>
  <si>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</si>
  <si>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</si>
  <si>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</si>
  <si>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</si>
  <si>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</si>
  <si>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</si>
  <si>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</si>
  <si>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</si>
  <si>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</si>
  <si>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</si>
  <si>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</si>
  <si>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</si>
  <si>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</si>
  <si>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</si>
  <si>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</si>
  <si>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</si>
  <si>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</si>
  <si>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</si>
  <si>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</si>
  <si>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</si>
  <si>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</si>
  <si>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</si>
  <si>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</si>
  <si>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</si>
  <si>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</si>
  <si>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</si>
  <si>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</si>
  <si>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</si>
  <si>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</si>
  <si>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</si>
  <si>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</si>
  <si>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</si>
  <si>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</si>
  <si>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</si>
  <si>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</si>
  <si>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</si>
  <si>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</si>
  <si>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</si>
  <si>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</si>
  <si>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</si>
  <si>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</si>
  <si>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</si>
  <si>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</si>
  <si>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</si>
  <si>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</si>
  <si>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</si>
  <si>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</si>
  <si>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</si>
  <si>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</si>
  <si>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</si>
  <si>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</si>
  <si>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</si>
  <si>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</si>
  <si>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</si>
  <si>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</si>
  <si>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</si>
  <si>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</si>
  <si>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</si>
  <si>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</si>
  <si>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</si>
  <si>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</si>
  <si>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</si>
  <si>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</si>
  <si>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</si>
  <si>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</si>
  <si>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</si>
  <si>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</si>
  <si>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</si>
  <si>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</si>
  <si>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</si>
  <si>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</si>
  <si>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</si>
  <si>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</si>
  <si>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</si>
  <si>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</si>
  <si>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</si>
  <si>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</si>
  <si>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</si>
  <si>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</si>
  <si>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</si>
  <si>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</si>
  <si>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</si>
  <si>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</si>
  <si>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</si>
  <si>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</si>
  <si>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</si>
  <si>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</si>
  <si>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</si>
  <si>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</si>
  <si>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</si>
  <si>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</si>
  <si>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</si>
  <si>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</si>
  <si>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</si>
  <si>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</si>
  <si>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</si>
  <si>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</si>
  <si>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</si>
  <si>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</si>
  <si>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</si>
  <si>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</si>
  <si>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</si>
  <si>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</si>
  <si>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</si>
  <si>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</si>
  <si>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</si>
  <si>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</si>
  <si>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</si>
  <si>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</si>
  <si>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</si>
  <si>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</si>
  <si>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</si>
  <si>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</si>
  <si>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</si>
  <si>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</si>
  <si>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</si>
  <si>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</si>
  <si>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</si>
  <si>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</si>
  <si>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</si>
  <si>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</si>
  <si>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</si>
  <si>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</si>
  <si>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</si>
  <si>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</si>
  <si>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</si>
  <si>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</si>
  <si>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</si>
  <si>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</si>
  <si>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</si>
  <si>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</si>
  <si>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</si>
  <si>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</si>
  <si>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</si>
  <si>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</si>
  <si>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</si>
  <si>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</si>
  <si>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</si>
  <si>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</si>
  <si>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</si>
  <si>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</si>
  <si>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</si>
  <si>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</si>
  <si>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</si>
  <si>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</si>
  <si>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</si>
  <si>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</si>
  <si>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</si>
  <si>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</si>
  <si>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</si>
  <si>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</si>
  <si>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</si>
  <si>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</si>
  <si>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</si>
  <si>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</si>
  <si>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</si>
  <si>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</si>
  <si>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</si>
  <si>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</si>
  <si>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</si>
  <si>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</si>
  <si>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</si>
  <si>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</si>
  <si>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</si>
  <si>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</si>
  <si>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</si>
  <si>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</si>
  <si>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</si>
  <si>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</si>
  <si>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</si>
  <si>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</si>
  <si>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</si>
  <si>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</si>
  <si>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</si>
  <si>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</si>
  <si>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</si>
  <si>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</si>
  <si>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</si>
  <si>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</si>
  <si>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</si>
  <si>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</si>
  <si>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</si>
  <si>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</si>
  <si>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</si>
  <si>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</si>
  <si>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</si>
  <si>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</si>
  <si>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</si>
  <si>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</si>
  <si>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</si>
  <si>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</si>
  <si>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</si>
  <si>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</si>
  <si>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</si>
  <si>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</si>
  <si>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</si>
  <si>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</si>
  <si>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</si>
  <si>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</si>
  <si>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</si>
  <si>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</si>
  <si>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</si>
  <si>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</si>
  <si>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</si>
  <si>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</si>
  <si>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</si>
  <si>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</si>
  <si>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</si>
  <si>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</si>
  <si>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</si>
  <si>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</si>
  <si>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</si>
  <si>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</si>
  <si>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</si>
  <si>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</si>
  <si>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</si>
  <si>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</si>
  <si>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</si>
  <si>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</si>
  <si>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</si>
  <si>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</si>
  <si>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</si>
  <si>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</si>
  <si>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</si>
  <si>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</si>
  <si>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</si>
  <si>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</si>
  <si>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</si>
  <si>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</si>
  <si>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</si>
  <si>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</si>
  <si>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</si>
  <si>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</si>
  <si>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</si>
  <si>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</si>
  <si>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</si>
  <si>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</si>
  <si>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</si>
  <si>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</si>
  <si>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</si>
  <si>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</si>
  <si>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</si>
  <si>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</si>
  <si>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</si>
  <si>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</si>
  <si>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</si>
  <si>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</si>
  <si>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</si>
  <si>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</si>
  <si>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</si>
  <si>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</si>
  <si>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</si>
  <si>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</si>
  <si>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</si>
  <si>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</si>
  <si>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</si>
  <si>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</si>
  <si>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</si>
  <si>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</si>
  <si>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</si>
  <si>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</si>
  <si>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</si>
  <si>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</si>
  <si>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</si>
  <si>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</si>
  <si>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</si>
  <si>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</si>
  <si>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</si>
  <si>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</si>
  <si>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</si>
  <si>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</si>
  <si>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</si>
  <si>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</si>
  <si>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</si>
  <si>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</si>
  <si>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</si>
  <si>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</si>
  <si>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</si>
  <si>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</si>
  <si>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</si>
  <si>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</si>
  <si>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</si>
  <si>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</si>
  <si>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</si>
  <si>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</si>
  <si>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</si>
  <si>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</si>
  <si>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</si>
  <si>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</si>
  <si>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</si>
  <si>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</si>
  <si>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</si>
  <si>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</si>
  <si>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</si>
  <si>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</si>
  <si>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</si>
  <si>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</si>
  <si>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</si>
  <si>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</si>
  <si>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</si>
  <si>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</si>
  <si>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</si>
  <si>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</si>
  <si>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</si>
  <si>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</si>
  <si>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</si>
  <si>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</si>
  <si>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</si>
  <si>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</si>
  <si>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</si>
  <si>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</si>
  <si>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</si>
  <si>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</si>
  <si>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</si>
  <si>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</si>
  <si>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</si>
  <si>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</si>
  <si>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</si>
  <si>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</si>
  <si>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</si>
  <si>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</si>
  <si>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</si>
  <si>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</si>
  <si>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</si>
  <si>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</si>
  <si>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</si>
  <si>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</si>
  <si>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</si>
  <si>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</si>
  <si>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</si>
  <si>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</si>
  <si>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</si>
  <si>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</si>
  <si>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</si>
  <si>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</si>
  <si>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</si>
  <si>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</si>
  <si>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</si>
  <si>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</si>
  <si>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</si>
  <si>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</si>
  <si>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</si>
  <si>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</si>
  <si>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</si>
  <si>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</si>
  <si>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</si>
  <si>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</si>
  <si>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</si>
  <si>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</si>
  <si>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</si>
  <si>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</si>
  <si>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</si>
  <si>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</si>
  <si>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</si>
  <si>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</si>
  <si>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</si>
  <si>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</si>
  <si>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</si>
  <si>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</si>
  <si>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</si>
  <si>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</si>
  <si>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</si>
  <si>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</si>
  <si>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</si>
  <si>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</si>
  <si>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</si>
  <si>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</si>
  <si>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</si>
  <si>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</si>
  <si>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</si>
  <si>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</si>
  <si>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</si>
  <si>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</si>
  <si>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</si>
  <si>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</si>
  <si>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</si>
  <si>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</si>
  <si>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</si>
  <si>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</si>
  <si>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</si>
  <si>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</si>
  <si>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</si>
  <si>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</si>
  <si>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</si>
  <si>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</si>
  <si>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</si>
  <si>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</si>
  <si>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</si>
  <si>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</si>
  <si>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</si>
  <si>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</si>
  <si>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</si>
  <si>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</si>
  <si>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</si>
  <si>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</si>
  <si>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</si>
  <si>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</si>
  <si>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</si>
  <si>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</si>
  <si>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</si>
  <si>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</si>
  <si>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</si>
  <si>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</si>
  <si>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</si>
  <si>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</si>
  <si>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</si>
  <si>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</si>
  <si>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</si>
  <si>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</si>
  <si>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</si>
  <si>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</si>
  <si>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</si>
  <si>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</si>
  <si>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</si>
  <si>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</si>
  <si>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</si>
  <si>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</si>
  <si>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</si>
  <si>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</si>
  <si>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</si>
  <si>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</si>
  <si>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</si>
  <si>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</si>
  <si>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</si>
  <si>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</si>
  <si>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</si>
  <si>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</si>
  <si>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</si>
  <si>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</si>
  <si>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</si>
  <si>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</si>
  <si>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</si>
  <si>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</si>
  <si>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</si>
  <si>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</si>
  <si>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</si>
  <si>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</si>
  <si>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</si>
  <si>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</si>
  <si>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</si>
  <si>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</si>
  <si>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</si>
  <si>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</si>
  <si>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</si>
  <si>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</si>
  <si>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</si>
  <si>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</si>
  <si>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</si>
  <si>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</si>
  <si>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</si>
  <si>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</si>
  <si>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</si>
  <si>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</si>
  <si>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</si>
  <si>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</si>
  <si>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</si>
  <si>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</si>
  <si>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</si>
  <si>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</si>
  <si>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</si>
  <si>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</si>
  <si>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</si>
  <si>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</si>
  <si>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</si>
  <si>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</si>
  <si>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</si>
  <si>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</si>
  <si>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</si>
  <si>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</si>
  <si>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</si>
  <si>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</si>
  <si>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</si>
  <si>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</si>
  <si>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</si>
  <si>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</si>
  <si>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</si>
  <si>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</si>
  <si>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</si>
  <si>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</si>
  <si>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</si>
  <si>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</si>
  <si>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</si>
  <si>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</si>
  <si>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</si>
  <si>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</si>
  <si>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</si>
  <si>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</si>
  <si>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</si>
  <si>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</si>
  <si>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</si>
  <si>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</si>
  <si>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</si>
  <si>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</si>
  <si>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</si>
  <si>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</si>
  <si>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</si>
  <si>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</si>
  <si>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</si>
  <si>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</si>
  <si>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</si>
  <si>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</si>
  <si>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</si>
  <si>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</si>
  <si>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</si>
  <si>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</si>
  <si>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</si>
  <si>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</si>
  <si>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</si>
  <si>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</si>
  <si>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</si>
  <si>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</si>
  <si>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</si>
  <si>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</si>
  <si>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</si>
  <si>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</si>
  <si>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</si>
  <si>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</si>
  <si>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</si>
  <si>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</si>
  <si>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</si>
  <si>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</si>
  <si>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</si>
  <si>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</si>
  <si>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</si>
  <si>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</si>
  <si>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</si>
  <si>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</si>
  <si>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</si>
  <si>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</si>
  <si>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</si>
  <si>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</si>
  <si>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</si>
  <si>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</si>
  <si>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</si>
  <si>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</si>
  <si>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</si>
  <si>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</si>
  <si>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</si>
  <si>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</si>
  <si>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</si>
  <si>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</si>
  <si>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</si>
  <si>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</si>
  <si>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</si>
  <si>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</si>
  <si>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</si>
  <si>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</si>
  <si>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</si>
  <si>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</si>
  <si>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</si>
  <si>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</si>
  <si>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</si>
  <si>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</si>
  <si>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</si>
  <si>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</si>
  <si>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</si>
  <si>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</si>
  <si>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</si>
  <si>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</si>
  <si>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</si>
  <si>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</si>
  <si>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</si>
  <si>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</si>
  <si>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</si>
  <si>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</si>
  <si>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</si>
  <si>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</si>
  <si>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</si>
  <si>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</si>
  <si>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</si>
  <si>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</si>
  <si>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</si>
  <si>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</si>
  <si>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</si>
  <si>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</si>
  <si>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</si>
  <si>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</si>
  <si>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</si>
  <si>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</si>
  <si>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</si>
  <si>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</si>
  <si>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</si>
  <si>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</si>
  <si>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</si>
  <si>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</si>
  <si>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</si>
  <si>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</si>
  <si>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</si>
  <si>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</si>
  <si>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</si>
  <si>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</si>
  <si>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</si>
  <si>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</si>
  <si>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</si>
  <si>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</si>
  <si>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</si>
  <si>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</si>
  <si>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</si>
  <si>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</si>
  <si>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</si>
  <si>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</si>
  <si>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</si>
  <si>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</si>
  <si>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</si>
  <si>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</si>
  <si>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</si>
  <si>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</si>
  <si>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</si>
  <si>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</si>
  <si>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</si>
  <si>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</si>
  <si>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</si>
  <si>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</si>
  <si>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</si>
  <si>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</si>
  <si>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</si>
  <si>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</si>
  <si>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</si>
  <si>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</si>
  <si>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</si>
  <si>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</si>
  <si>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</si>
  <si>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</si>
  <si>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</si>
  <si>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</si>
  <si>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</si>
  <si>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</si>
  <si>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</si>
  <si>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</si>
  <si>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</si>
  <si>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</si>
  <si>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</si>
  <si>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</si>
  <si>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</si>
  <si>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</si>
  <si>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</si>
  <si>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</si>
  <si>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</si>
  <si>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</si>
  <si>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</si>
  <si>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</si>
  <si>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</si>
  <si>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</si>
  <si>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</si>
  <si>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</si>
  <si>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</si>
  <si>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</si>
  <si>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</si>
  <si>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</si>
  <si>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</si>
  <si>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</si>
  <si>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</si>
  <si>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</si>
  <si>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</si>
  <si>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</si>
  <si>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</si>
  <si>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</si>
  <si>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</si>
  <si>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</si>
  <si>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</si>
  <si>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</si>
  <si>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</si>
  <si>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</si>
  <si>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</si>
  <si>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</si>
  <si>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</si>
  <si>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</si>
  <si>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</si>
  <si>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</si>
  <si>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</si>
  <si>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</si>
  <si>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</si>
  <si>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</si>
  <si>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</si>
  <si>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</si>
  <si>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</si>
  <si>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</si>
  <si>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</si>
  <si>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</si>
  <si>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</si>
  <si>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</si>
  <si>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</si>
  <si>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</si>
  <si>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</si>
  <si>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</si>
  <si>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</si>
  <si>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</si>
  <si>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</si>
  <si>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</si>
  <si>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</si>
  <si>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</si>
  <si>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</si>
  <si>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</si>
  <si>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</si>
  <si>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</si>
  <si>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</si>
  <si>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</si>
  <si>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</si>
  <si>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</si>
  <si>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</si>
  <si>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</si>
  <si>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</si>
  <si>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</si>
  <si>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</si>
  <si>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</si>
  <si>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</si>
  <si>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</si>
  <si>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</si>
  <si>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</si>
  <si>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</si>
  <si>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</si>
  <si>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</si>
  <si>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</si>
  <si>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</si>
  <si>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</si>
  <si>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</si>
  <si>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</si>
  <si>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</si>
  <si>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</si>
  <si>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</si>
  <si>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</si>
  <si>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</si>
  <si>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</si>
  <si>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</si>
  <si>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</si>
  <si>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</si>
  <si>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</si>
  <si>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</si>
  <si>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</si>
  <si>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</si>
  <si>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</si>
  <si>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</si>
  <si>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</si>
  <si>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</si>
  <si>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</si>
  <si>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</si>
  <si>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</si>
  <si>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</si>
  <si>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</si>
  <si>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</si>
  <si>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</si>
  <si>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</si>
  <si>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</si>
  <si>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</si>
  <si>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</si>
  <si>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</si>
  <si>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</si>
  <si>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</si>
  <si>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</si>
  <si>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</si>
  <si>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</si>
  <si>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</si>
  <si>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</si>
  <si>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</si>
  <si>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</si>
  <si>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</si>
  <si>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</si>
  <si>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</si>
  <si>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</si>
  <si>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</si>
  <si>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</si>
  <si>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</si>
  <si>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</si>
  <si>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</si>
  <si>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</si>
  <si>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</si>
  <si>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</si>
  <si>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</si>
  <si>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</si>
  <si>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</si>
  <si>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</si>
  <si>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</si>
  <si>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</si>
  <si>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</si>
  <si>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</si>
  <si>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</si>
  <si>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</si>
  <si>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</si>
  <si>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</si>
  <si>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</si>
  <si>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</si>
  <si>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</si>
  <si>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</si>
  <si>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</si>
  <si>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</si>
  <si>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</si>
  <si>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</si>
  <si>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</si>
  <si>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</si>
  <si>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</si>
  <si>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</si>
  <si>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</si>
  <si>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</si>
  <si>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</si>
  <si>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</si>
  <si>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</si>
  <si>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</si>
  <si>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</si>
  <si>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</si>
  <si>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</si>
  <si>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</si>
  <si>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</si>
  <si>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</si>
  <si>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</si>
  <si>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</si>
  <si>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</si>
  <si>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</si>
  <si>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</si>
  <si>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</si>
  <si>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</si>
  <si>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</si>
  <si>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</si>
  <si>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</si>
  <si>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</si>
  <si>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</si>
  <si>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</si>
  <si>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</si>
  <si>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</si>
  <si>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</si>
  <si>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</si>
  <si>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</si>
  <si>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</si>
  <si>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</si>
  <si>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</si>
  <si>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</si>
  <si>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</si>
  <si>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</si>
  <si>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</si>
  <si>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</si>
  <si>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</si>
  <si>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</si>
  <si>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</si>
  <si>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</si>
  <si>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</si>
  <si>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</si>
  <si>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</si>
  <si>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</si>
  <si>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</si>
  <si>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</si>
  <si>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</si>
  <si>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</si>
  <si>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</si>
  <si>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</si>
  <si>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</si>
  <si>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</si>
  <si>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</si>
  <si>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</si>
  <si>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</si>
  <si>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</si>
  <si>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</si>
  <si>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</si>
  <si>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</si>
  <si>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</si>
  <si>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</si>
  <si>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</si>
  <si>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</si>
  <si>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</si>
  <si>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</si>
  <si>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</si>
  <si>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</si>
  <si>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</si>
  <si>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</si>
  <si>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</si>
  <si>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</si>
  <si>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</si>
  <si>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</si>
  <si>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</si>
  <si>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</si>
  <si>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</si>
  <si>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</si>
  <si>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</si>
  <si>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</si>
  <si>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</si>
  <si>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</si>
  <si>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</si>
  <si>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</si>
  <si>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</si>
  <si>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</si>
  <si>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</si>
  <si>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</si>
  <si>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</si>
  <si>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</si>
  <si>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</si>
  <si>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</si>
  <si>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</si>
  <si>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</si>
  <si>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</si>
  <si>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</si>
  <si>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</si>
  <si>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</si>
  <si>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</si>
  <si>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</si>
  <si>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</si>
  <si>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</si>
  <si>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</si>
  <si>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</si>
  <si>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</si>
  <si>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</si>
  <si>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</si>
  <si>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</si>
  <si>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</si>
  <si>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</si>
  <si>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</si>
  <si>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</si>
  <si>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</si>
  <si>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</si>
  <si>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</si>
  <si>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</si>
  <si>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</si>
  <si>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</si>
  <si>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</si>
  <si>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</si>
  <si>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</si>
  <si>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</si>
  <si>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</si>
  <si>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</si>
  <si>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</si>
  <si>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</si>
  <si>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</si>
  <si>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</si>
  <si>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</si>
  <si>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</si>
  <si>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</si>
  <si>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</si>
  <si>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</si>
  <si>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</si>
  <si>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</si>
  <si>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</si>
  <si>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</si>
  <si>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</si>
  <si>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</si>
  <si>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</si>
  <si>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</si>
  <si>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</si>
  <si>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</si>
  <si>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</si>
  <si>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</si>
  <si>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</si>
  <si>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</si>
  <si>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</si>
  <si>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</si>
  <si>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</si>
  <si>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</si>
  <si>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</si>
  <si>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</si>
  <si>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</si>
  <si>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</si>
  <si>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</si>
  <si>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</si>
  <si>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</si>
  <si>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</si>
  <si>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</si>
  <si>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</si>
  <si>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</si>
  <si>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</si>
  <si>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</si>
  <si>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</si>
  <si>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</si>
  <si>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</si>
  <si>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</si>
  <si>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</si>
  <si>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</si>
  <si>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</si>
  <si>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</si>
  <si>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</si>
  <si>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</si>
  <si>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</si>
  <si>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</si>
  <si>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</si>
  <si>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</si>
  <si>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</si>
  <si>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</si>
  <si>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</si>
  <si>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</si>
  <si>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</si>
  <si>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</si>
  <si>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</si>
  <si>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</si>
  <si>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</si>
  <si>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</si>
  <si>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</si>
  <si>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</si>
  <si>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</si>
  <si>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</si>
  <si>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</si>
  <si>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</si>
  <si>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</si>
  <si>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</si>
  <si>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</si>
  <si>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</si>
  <si>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</si>
  <si>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</si>
  <si>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</si>
  <si>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</si>
  <si>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</si>
  <si>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</si>
  <si>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</si>
  <si>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</si>
  <si>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</si>
  <si>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</si>
  <si>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</si>
  <si>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</si>
  <si>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</si>
  <si>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</si>
  <si>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</si>
  <si>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</si>
  <si>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</si>
  <si>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</si>
  <si>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</si>
  <si>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</si>
  <si>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</si>
  <si>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</si>
  <si>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</si>
  <si>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</si>
  <si>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</si>
  <si>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</si>
  <si>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</si>
  <si>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</si>
  <si>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</si>
  <si>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</si>
  <si>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</si>
  <si>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</si>
  <si>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</si>
  <si>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</si>
  <si>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</si>
  <si>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</si>
  <si>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</si>
  <si>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</si>
  <si>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</si>
  <si>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</si>
  <si>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</si>
  <si>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</si>
  <si>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</si>
  <si>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</si>
  <si>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</si>
  <si>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</si>
  <si>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</si>
  <si>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</si>
  <si>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</si>
  <si>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</si>
  <si>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</si>
  <si>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</si>
  <si>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</si>
  <si>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</si>
  <si>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</si>
  <si>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</si>
  <si>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</si>
  <si>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</si>
  <si>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</si>
  <si>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</si>
  <si>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</si>
  <si>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</si>
  <si>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</si>
  <si>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</si>
  <si>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</si>
  <si>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</si>
  <si>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</si>
  <si>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</si>
  <si>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</si>
  <si>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</si>
  <si>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</si>
  <si>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</si>
  <si>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</si>
  <si>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</si>
  <si>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</si>
  <si>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</si>
  <si>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</si>
  <si>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</si>
  <si>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</si>
  <si>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</si>
  <si>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</si>
  <si>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</si>
  <si>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</si>
  <si>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</si>
  <si>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</si>
  <si>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</si>
  <si>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</si>
  <si>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</si>
  <si>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</si>
  <si>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</si>
  <si>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</si>
  <si>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</si>
  <si>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</si>
  <si>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</si>
  <si>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</si>
  <si>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</si>
  <si>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</si>
  <si>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</si>
  <si>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</si>
  <si>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</si>
  <si>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</si>
  <si>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</si>
  <si>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</si>
  <si>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</si>
  <si>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</si>
  <si>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</si>
  <si>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</si>
  <si>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</si>
  <si>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</si>
  <si>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</si>
  <si>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</si>
  <si>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</si>
  <si>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</si>
  <si>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</si>
  <si>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</si>
  <si>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</si>
  <si>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</si>
  <si>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</si>
  <si>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</si>
  <si>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</si>
  <si>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</si>
  <si>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</si>
  <si>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</si>
  <si>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</si>
  <si>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</si>
  <si>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</si>
  <si>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</si>
  <si>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</si>
  <si>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</si>
  <si>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</si>
  <si>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</si>
  <si>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</si>
  <si>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</si>
  <si>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</si>
  <si>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</si>
  <si>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</si>
  <si>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</si>
  <si>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</si>
  <si>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</si>
  <si>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</si>
  <si>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</si>
  <si>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</si>
  <si>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</si>
  <si>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</si>
  <si>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</si>
  <si>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</si>
  <si>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</si>
  <si>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</si>
  <si>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</si>
  <si>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</si>
  <si>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</si>
  <si>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</si>
  <si>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</si>
  <si>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</si>
  <si>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</si>
  <si>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</si>
  <si>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</si>
  <si>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</si>
  <si>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</si>
  <si>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</si>
  <si>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</si>
  <si>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</si>
  <si>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</si>
  <si>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</si>
  <si>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</si>
  <si>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</si>
  <si>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</si>
  <si>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</si>
  <si>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</si>
  <si>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</si>
  <si>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</si>
  <si>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</si>
  <si>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</si>
  <si>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</si>
  <si>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</si>
  <si>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</si>
  <si>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</si>
  <si>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</si>
  <si>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</si>
  <si>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</si>
  <si>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</si>
  <si>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</si>
  <si>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</si>
  <si>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</si>
  <si>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</si>
  <si>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</si>
  <si>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</si>
  <si>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</si>
  <si>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</si>
  <si>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</si>
  <si>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</si>
  <si>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</si>
  <si>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</si>
  <si>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</si>
  <si>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</si>
  <si>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</si>
  <si>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</si>
  <si>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</si>
  <si>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</si>
  <si>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</si>
  <si>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</si>
  <si>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</si>
  <si>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</si>
  <si>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</si>
  <si>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</si>
  <si>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</si>
  <si>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</si>
  <si>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</si>
  <si>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</si>
  <si>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</si>
  <si>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</si>
  <si>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</si>
  <si>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</si>
  <si>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</si>
  <si>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</si>
  <si>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</si>
  <si>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</si>
  <si>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</si>
  <si>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</si>
  <si>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</si>
  <si>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</si>
  <si>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</si>
  <si>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</si>
  <si>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</si>
  <si>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</si>
  <si>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</si>
  <si>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</si>
  <si>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</si>
  <si>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</si>
  <si>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</si>
  <si>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</si>
  <si>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</si>
  <si>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</si>
  <si>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</si>
  <si>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</si>
  <si>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</si>
  <si>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</si>
  <si>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</si>
  <si>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</si>
  <si>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</si>
  <si>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</si>
  <si>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</si>
  <si>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</si>
  <si>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</si>
  <si>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</si>
  <si>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</si>
  <si>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</si>
  <si>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</si>
  <si>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</si>
  <si>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</si>
  <si>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</si>
  <si>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</si>
  <si>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</si>
  <si>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</si>
  <si>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</si>
  <si>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</si>
  <si>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</si>
  <si>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</si>
  <si>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</si>
  <si>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</si>
  <si>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</si>
  <si>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</si>
  <si>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</si>
  <si>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</si>
  <si>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</si>
  <si>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</si>
  <si>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</si>
  <si>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</si>
  <si>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</si>
  <si>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</si>
  <si>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</si>
  <si>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</si>
  <si>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</si>
  <si>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</si>
  <si>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</si>
  <si>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</si>
  <si>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</si>
  <si>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</si>
  <si>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</si>
  <si>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</si>
  <si>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</si>
  <si>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</si>
  <si>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</si>
  <si>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</si>
  <si>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</si>
  <si>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</si>
  <si>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</si>
  <si>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</si>
  <si>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</si>
  <si>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</si>
  <si>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</si>
  <si>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</si>
  <si>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</si>
  <si>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</si>
  <si>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</si>
  <si>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</si>
  <si>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</si>
  <si>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</si>
  <si>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</si>
  <si>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</si>
  <si>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</si>
  <si>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</si>
  <si>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</si>
  <si>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</si>
  <si>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</si>
  <si>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</si>
  <si>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</si>
  <si>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</si>
  <si>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</si>
  <si>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</si>
  <si>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</si>
  <si>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</si>
  <si>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</si>
  <si>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</si>
  <si>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</si>
  <si>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</si>
  <si>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</si>
  <si>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</si>
  <si>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</si>
  <si>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</si>
  <si>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</si>
  <si>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</si>
  <si>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</si>
  <si>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</si>
  <si>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</si>
  <si>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</si>
  <si>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</si>
  <si>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</si>
  <si>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</si>
  <si>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</si>
  <si>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</si>
  <si>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</si>
  <si>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</si>
  <si>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</si>
  <si>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</si>
  <si>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</si>
  <si>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</si>
  <si>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</si>
  <si>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</si>
  <si>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</si>
  <si>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</si>
  <si>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</si>
  <si>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</si>
  <si>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</si>
  <si>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</si>
  <si>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</si>
  <si>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</si>
  <si>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</si>
  <si>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</si>
  <si>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</si>
  <si>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</si>
  <si>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</si>
  <si>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</si>
  <si>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</si>
  <si>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</si>
  <si>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</si>
  <si>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</si>
  <si>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</si>
  <si>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</si>
  <si>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</si>
  <si>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</si>
  <si>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</si>
  <si>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</si>
  <si>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</si>
  <si>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</si>
  <si>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</si>
  <si>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</si>
  <si>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</si>
  <si>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</si>
  <si>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</si>
  <si>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</si>
  <si>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</si>
  <si>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</si>
  <si>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</si>
  <si>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</si>
  <si>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</si>
  <si>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</si>
  <si>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</si>
  <si>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</si>
  <si>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</si>
  <si>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</si>
  <si>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</si>
  <si>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</si>
  <si>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</si>
  <si>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</si>
  <si>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</si>
  <si>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</si>
  <si>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</si>
  <si>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</si>
  <si>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</si>
  <si>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</si>
  <si>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</si>
  <si>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</si>
  <si>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</si>
  <si>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</si>
  <si>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</si>
  <si>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</si>
  <si>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</si>
  <si>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</si>
  <si>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</si>
  <si>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</si>
  <si>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</si>
  <si>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</si>
  <si>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</si>
  <si>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</si>
  <si>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</si>
  <si>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</si>
  <si>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</si>
  <si>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</si>
  <si>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</si>
  <si>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</si>
  <si>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</si>
  <si>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</si>
  <si>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</si>
  <si>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</si>
  <si>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</si>
  <si>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</si>
  <si>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</si>
  <si>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</si>
  <si>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</si>
  <si>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</si>
  <si>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</si>
  <si>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</si>
  <si>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</si>
  <si>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</si>
  <si>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</si>
  <si>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</si>
  <si>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</si>
  <si>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</si>
  <si>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</si>
  <si>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</si>
  <si>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</si>
  <si>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</si>
  <si>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</si>
  <si>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</si>
  <si>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</si>
  <si>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</si>
  <si>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</si>
  <si>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</si>
  <si>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</si>
  <si>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</si>
  <si>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</si>
  <si>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</si>
  <si>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</si>
  <si>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</si>
  <si>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</si>
  <si>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</si>
  <si>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</si>
  <si>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</si>
  <si>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</si>
  <si>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</si>
  <si>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</si>
  <si>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</si>
  <si>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</si>
  <si>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</si>
  <si>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</si>
  <si>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</si>
  <si>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</si>
  <si>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</si>
  <si>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</si>
  <si>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</si>
  <si>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</si>
  <si>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</si>
  <si>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</si>
  <si>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</si>
  <si>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</si>
  <si>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</si>
  <si>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</si>
  <si>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</si>
  <si>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</si>
  <si>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</si>
  <si>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</si>
  <si>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</si>
  <si>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</si>
  <si>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</si>
  <si>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</si>
  <si>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</si>
  <si>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</si>
  <si>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</si>
  <si>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</si>
  <si>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</si>
  <si>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</si>
  <si>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</si>
  <si>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</si>
  <si>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</si>
  <si>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</si>
  <si>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</si>
  <si>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</si>
  <si>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</si>
  <si>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</si>
  <si>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</si>
  <si>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</si>
  <si>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</si>
  <si>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</si>
  <si>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</si>
  <si>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</si>
  <si>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</si>
  <si>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</si>
  <si>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</si>
  <si>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</si>
  <si>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</si>
  <si>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</si>
  <si>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</si>
  <si>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</si>
  <si>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</si>
  <si>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</si>
  <si>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</si>
  <si>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</si>
  <si>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</si>
  <si>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</si>
  <si>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</si>
  <si>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</si>
  <si>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</si>
  <si>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</si>
  <si>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</si>
  <si>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</si>
  <si>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</si>
  <si>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</si>
  <si>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</si>
  <si>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</si>
  <si>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</si>
  <si>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</si>
  <si>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</si>
  <si>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</si>
  <si>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</si>
  <si>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</si>
  <si>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</si>
  <si>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</si>
  <si>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</si>
  <si>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</si>
  <si>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</si>
  <si>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</si>
  <si>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</si>
  <si>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</si>
  <si>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</si>
  <si>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</si>
  <si>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</si>
  <si>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</si>
  <si>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</si>
  <si>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</si>
  <si>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</si>
  <si>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</si>
  <si>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</si>
  <si>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</si>
  <si>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</si>
  <si>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</si>
  <si>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</si>
  <si>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</si>
  <si>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</si>
  <si>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</si>
  <si>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</si>
  <si>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</si>
  <si>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</si>
  <si>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</si>
  <si>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</si>
  <si>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</si>
  <si>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</si>
  <si>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</si>
  <si>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</si>
  <si>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</si>
  <si>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</si>
  <si>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</si>
  <si>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</si>
  <si>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</si>
  <si>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</si>
  <si>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</si>
  <si>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</si>
  <si>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</si>
  <si>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</si>
  <si>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</si>
  <si>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</si>
  <si>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</si>
  <si>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</si>
  <si>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</si>
  <si>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</si>
  <si>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</si>
  <si>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</si>
  <si>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</si>
  <si>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</si>
  <si>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</si>
  <si>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</si>
  <si>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</si>
  <si>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</si>
  <si>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</si>
  <si>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</si>
  <si>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</si>
  <si>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</si>
  <si>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</si>
  <si>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</si>
  <si>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</si>
  <si>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</si>
  <si>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</si>
  <si>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</si>
  <si>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</si>
  <si>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</si>
  <si>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</si>
  <si>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</si>
  <si>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</si>
  <si>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</si>
  <si>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</si>
  <si>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</si>
  <si>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</si>
  <si>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</si>
  <si>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</si>
  <si>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</si>
  <si>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</si>
  <si>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</si>
  <si>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</si>
  <si>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</si>
  <si>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</si>
  <si>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</si>
  <si>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</si>
  <si>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</si>
  <si>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</si>
  <si>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</si>
  <si>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</si>
  <si>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</si>
  <si>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</si>
  <si>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</si>
  <si>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</si>
  <si>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</si>
  <si>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</si>
  <si>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</si>
  <si>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</si>
  <si>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</si>
  <si>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</si>
  <si>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</si>
  <si>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</si>
  <si>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</si>
  <si>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</si>
  <si>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</si>
  <si>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</si>
  <si>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</si>
  <si>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</si>
  <si>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</si>
  <si>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</si>
  <si>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</si>
  <si>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</si>
  <si>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</si>
  <si>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</si>
  <si>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</si>
  <si>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</si>
  <si>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</si>
  <si>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</si>
  <si>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</si>
  <si>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</si>
  <si>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</si>
  <si>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</si>
  <si>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</si>
  <si>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</si>
  <si>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</si>
  <si>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</si>
  <si>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</si>
  <si>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</si>
  <si>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</si>
  <si>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</si>
  <si>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</si>
  <si>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</si>
  <si>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</si>
  <si>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</si>
  <si>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</si>
  <si>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</si>
  <si>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</si>
  <si>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</si>
  <si>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</si>
  <si>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</si>
  <si>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</si>
  <si>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</si>
  <si>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</si>
  <si>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</si>
  <si>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</si>
  <si>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</si>
  <si>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</si>
  <si>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</si>
  <si>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</si>
  <si>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</si>
  <si>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</si>
  <si>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</si>
  <si>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</si>
  <si>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</si>
  <si>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</si>
  <si>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</si>
  <si>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</si>
  <si>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</si>
  <si>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</si>
  <si>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</si>
  <si>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</si>
  <si>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</si>
  <si>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</si>
  <si>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</si>
  <si>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</si>
  <si>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</si>
  <si>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</si>
  <si>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</si>
  <si>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</si>
  <si>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</si>
  <si>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</si>
  <si>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</si>
  <si>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</si>
  <si>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</si>
  <si>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</si>
  <si>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</si>
  <si>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</si>
  <si>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</si>
  <si>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</si>
  <si>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</si>
  <si>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</si>
  <si>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</si>
  <si>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</si>
  <si>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</si>
  <si>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</si>
  <si>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</si>
  <si>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</si>
  <si>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</si>
  <si>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</si>
  <si>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</si>
  <si>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</si>
  <si>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</si>
  <si>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</si>
  <si>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</si>
  <si>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</si>
  <si>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</si>
  <si>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</si>
  <si>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</si>
  <si>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</si>
  <si>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</si>
  <si>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</si>
  <si>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</si>
  <si>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</si>
  <si>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</si>
  <si>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</si>
  <si>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</si>
  <si>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</si>
  <si>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</si>
  <si>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</si>
  <si>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</si>
  <si>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</si>
  <si>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</si>
  <si>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</si>
  <si>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</si>
  <si>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</si>
  <si>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</si>
  <si>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</si>
  <si>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</si>
  <si>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</si>
  <si>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</si>
  <si>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</si>
  <si>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</si>
  <si>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</si>
  <si>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</si>
  <si>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</si>
  <si>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</si>
  <si>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</si>
  <si>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</si>
  <si>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</si>
  <si>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</si>
  <si>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</si>
  <si>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</si>
  <si>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</si>
  <si>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</si>
  <si>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</si>
  <si>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</si>
  <si>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</si>
  <si>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</si>
  <si>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</si>
  <si>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</si>
  <si>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</si>
  <si>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</si>
  <si>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</si>
  <si>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</si>
  <si>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</si>
  <si>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</si>
  <si>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</si>
  <si>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</si>
  <si>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</si>
  <si>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</si>
  <si>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</si>
  <si>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</si>
  <si>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</si>
  <si>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</si>
  <si>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</si>
  <si>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</si>
  <si>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</si>
  <si>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</si>
  <si>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</si>
  <si>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</si>
  <si>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</si>
  <si>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</si>
  <si>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</si>
  <si>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</si>
  <si>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</si>
  <si>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</si>
  <si>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</si>
  <si>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</si>
  <si>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</si>
  <si>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</si>
  <si>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</si>
  <si>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</si>
  <si>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</si>
  <si>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</si>
  <si>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</si>
  <si>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</si>
  <si>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</si>
  <si>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</si>
  <si>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</si>
  <si>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</si>
  <si>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</si>
  <si>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</si>
  <si>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</si>
  <si>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</si>
  <si>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</si>
  <si>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</si>
  <si>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</si>
  <si>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</si>
  <si>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</si>
  <si>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</si>
  <si>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</si>
  <si>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</si>
  <si>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</si>
  <si>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</si>
  <si>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</si>
  <si>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</si>
  <si>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</si>
  <si>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</si>
  <si>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</si>
  <si>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</si>
  <si>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</si>
  <si>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</si>
  <si>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</si>
  <si>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</si>
  <si>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</si>
  <si>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</si>
  <si>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</si>
  <si>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</si>
  <si>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</si>
  <si>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</si>
  <si>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</si>
  <si>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</si>
  <si>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</si>
  <si>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</si>
  <si>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</si>
  <si>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</si>
  <si>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</si>
  <si>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</si>
  <si>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</si>
  <si>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</si>
  <si>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</si>
  <si>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</si>
  <si>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</si>
  <si>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</si>
  <si>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</si>
  <si>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</si>
  <si>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</si>
  <si>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</si>
  <si>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</si>
  <si>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</si>
  <si>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</si>
  <si>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</si>
  <si>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</si>
  <si>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</si>
  <si>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</si>
  <si>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</si>
  <si>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</si>
  <si>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</si>
  <si>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</si>
  <si>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</si>
  <si>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</si>
  <si>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</si>
  <si>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</si>
  <si>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</si>
  <si>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</si>
  <si>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</si>
  <si>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</si>
  <si>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</si>
  <si>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</si>
  <si>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</si>
  <si>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</si>
  <si>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</si>
  <si>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</si>
  <si>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</si>
  <si>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</si>
  <si>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</si>
  <si>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</si>
  <si>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</si>
  <si>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</si>
  <si>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</si>
  <si>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</si>
  <si>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</si>
  <si>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</si>
  <si>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</si>
  <si>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</si>
  <si>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</si>
  <si>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</si>
  <si>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</si>
  <si>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</si>
  <si>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</si>
  <si>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</si>
  <si>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</si>
  <si>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</si>
  <si>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</si>
  <si>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</si>
  <si>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</si>
  <si>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</si>
  <si>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</si>
  <si>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</si>
  <si>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</si>
  <si>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</si>
  <si>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</si>
  <si>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</si>
  <si>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</si>
  <si>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</si>
  <si>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</si>
  <si>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</si>
  <si>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</si>
  <si>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</si>
  <si>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</si>
  <si>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</si>
  <si>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</si>
  <si>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</si>
  <si>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</si>
  <si>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</si>
  <si>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</si>
  <si>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</si>
  <si>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</si>
  <si>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</si>
  <si>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</si>
  <si>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</si>
  <si>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</si>
  <si>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</si>
  <si>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</si>
  <si>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</si>
  <si>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</si>
  <si>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</si>
  <si>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</si>
  <si>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</si>
  <si>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</si>
  <si>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</si>
  <si>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</si>
  <si>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</si>
  <si>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</si>
  <si>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</si>
  <si>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</si>
  <si>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</si>
  <si>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</si>
  <si>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</si>
  <si>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</si>
  <si>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</si>
  <si>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</si>
  <si>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</si>
  <si>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</si>
  <si>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</si>
  <si>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</si>
  <si>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</si>
  <si>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</si>
  <si>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</si>
  <si>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</si>
  <si>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</si>
  <si>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</si>
  <si>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</si>
  <si>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</si>
  <si>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</si>
  <si>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</si>
  <si>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</si>
  <si>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</si>
  <si>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</si>
  <si>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</si>
  <si>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</si>
  <si>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</si>
  <si>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</si>
  <si>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</si>
  <si>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</si>
  <si>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</si>
  <si>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</si>
  <si>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</si>
  <si>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</si>
  <si>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</si>
  <si>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</si>
  <si>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</si>
  <si>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</si>
  <si>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</si>
  <si>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</si>
  <si>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</si>
  <si>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</si>
  <si>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</si>
  <si>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</si>
  <si>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</si>
  <si>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</si>
  <si>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</si>
  <si>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</si>
  <si>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</si>
  <si>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</si>
  <si>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</si>
  <si>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</si>
  <si>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</si>
  <si>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</si>
  <si>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</si>
  <si>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</si>
  <si>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</si>
  <si>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</si>
  <si>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</si>
  <si>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</si>
  <si>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</si>
  <si>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</si>
  <si>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</si>
  <si>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</si>
  <si>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</si>
  <si>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</si>
  <si>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</si>
  <si>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</si>
  <si>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</si>
  <si>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</si>
  <si>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</si>
  <si>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</si>
  <si>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</si>
  <si>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</si>
  <si>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</si>
  <si>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</si>
  <si>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</si>
  <si>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</si>
  <si>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</si>
  <si>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</si>
  <si>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</si>
  <si>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</si>
  <si>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</si>
  <si>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</si>
  <si>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</si>
  <si>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</si>
  <si>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</si>
  <si>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</si>
  <si>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</si>
  <si>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</si>
  <si>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</si>
  <si>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</si>
  <si>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</si>
  <si>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</si>
  <si>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</si>
  <si>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</si>
  <si>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</si>
  <si>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</si>
  <si>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</si>
  <si>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</si>
  <si>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</si>
  <si>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</si>
  <si>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</si>
  <si>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</si>
  <si>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</si>
  <si>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</si>
  <si>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</si>
  <si>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</si>
  <si>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</si>
  <si>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</si>
  <si>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</si>
  <si>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</si>
  <si>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</si>
  <si>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</si>
  <si>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</si>
  <si>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</si>
  <si>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</si>
  <si>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</si>
  <si>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</si>
  <si>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</si>
  <si>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</si>
  <si>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</si>
  <si>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</si>
  <si>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</si>
  <si>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</si>
  <si>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</si>
  <si>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</si>
  <si>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</si>
  <si>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</si>
  <si>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</si>
  <si>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</si>
  <si>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</si>
  <si>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</si>
  <si>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</si>
  <si>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</si>
  <si>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</si>
  <si>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</si>
  <si>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</si>
  <si>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</si>
  <si>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</si>
  <si>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</si>
  <si>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</si>
  <si>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</si>
  <si>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</si>
  <si>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</si>
  <si>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</si>
  <si>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</si>
  <si>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</si>
  <si>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</si>
  <si>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</si>
  <si>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</si>
  <si>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</si>
  <si>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</si>
  <si>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</si>
  <si>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</si>
  <si>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</si>
  <si>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</si>
  <si>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</si>
  <si>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</si>
  <si>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</si>
  <si>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</si>
  <si>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</si>
  <si>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</si>
  <si>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</si>
  <si>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</si>
  <si>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</si>
  <si>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</si>
  <si>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</si>
  <si>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</si>
  <si>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</si>
  <si>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</si>
  <si>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</si>
  <si>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</si>
  <si>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</si>
  <si>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</si>
  <si>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</si>
  <si>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</si>
  <si>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</si>
  <si>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</si>
  <si>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</si>
  <si>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</si>
  <si>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</si>
  <si>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</si>
  <si>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</si>
  <si>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</si>
  <si>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</si>
  <si>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</si>
  <si>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</si>
  <si>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</si>
  <si>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</si>
  <si>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</si>
  <si>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</si>
  <si>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</si>
  <si>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</si>
  <si>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</si>
  <si>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</si>
  <si>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</si>
  <si>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</si>
  <si>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</si>
  <si>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</si>
  <si>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</si>
  <si>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</si>
  <si>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</si>
  <si>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</si>
  <si>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</si>
  <si>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</si>
  <si>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</si>
  <si>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</si>
  <si>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</si>
  <si>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</si>
  <si>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</si>
  <si>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</si>
  <si>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</si>
  <si>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</si>
  <si>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</si>
  <si>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</si>
  <si>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</si>
  <si>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</si>
  <si>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</si>
  <si>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</si>
  <si>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</si>
  <si>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</si>
  <si>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</si>
  <si>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</si>
  <si>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</si>
  <si>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</si>
  <si>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</si>
  <si>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</si>
  <si>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</si>
  <si>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</si>
  <si>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</si>
  <si>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</si>
  <si>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</si>
  <si>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</si>
  <si>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</si>
  <si>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</si>
  <si>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</si>
  <si>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</si>
  <si>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</si>
  <si>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</si>
  <si>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</si>
  <si>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</si>
  <si>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</si>
  <si>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</si>
  <si>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</si>
  <si>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</si>
  <si>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</si>
  <si>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</si>
  <si>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</si>
  <si>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</si>
  <si>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</si>
  <si>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</si>
  <si>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</si>
  <si>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</si>
  <si>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</si>
  <si>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</si>
  <si>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</si>
  <si>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</si>
  <si>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</si>
  <si>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</si>
  <si>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</si>
  <si>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</si>
  <si>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</si>
  <si>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</si>
  <si>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</si>
  <si>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</si>
  <si>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</si>
  <si>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</si>
  <si>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</si>
  <si>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</si>
  <si>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</si>
  <si>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</si>
  <si>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</si>
  <si>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</si>
  <si>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</si>
  <si>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</si>
  <si>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</si>
  <si>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</si>
  <si>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</si>
  <si>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</si>
  <si>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</si>
  <si>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</si>
  <si>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</si>
  <si>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</si>
  <si>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</si>
  <si>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</si>
  <si>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</si>
  <si>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</si>
  <si>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</si>
  <si>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</si>
  <si>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</si>
  <si>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</si>
  <si>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</si>
  <si>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</si>
  <si>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</si>
  <si>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</si>
  <si>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</si>
  <si>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</si>
  <si>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</si>
  <si>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</si>
  <si>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</si>
  <si>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</si>
  <si>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</si>
  <si>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</si>
  <si>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</si>
  <si>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</si>
  <si>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</si>
  <si>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</si>
  <si>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</si>
  <si>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</si>
  <si>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</si>
  <si>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</si>
  <si>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</si>
  <si>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</si>
  <si>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</si>
  <si>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</si>
  <si>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</si>
  <si>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</si>
  <si>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</si>
  <si>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</si>
  <si>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</si>
  <si>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</si>
  <si>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</si>
  <si>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</si>
  <si>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</si>
  <si>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</si>
  <si>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</si>
  <si>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</si>
  <si>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</si>
  <si>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</si>
  <si>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</si>
  <si>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</si>
  <si>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</si>
  <si>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</si>
  <si>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</si>
  <si>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</si>
  <si>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</si>
  <si>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</si>
  <si>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</si>
  <si>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</si>
  <si>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</si>
  <si>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</si>
  <si>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</si>
  <si>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</si>
  <si>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</si>
  <si>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</si>
  <si>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</si>
  <si>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</si>
  <si>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</si>
  <si>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</si>
  <si>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</si>
  <si>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</si>
  <si>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</si>
  <si>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</si>
  <si>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</si>
  <si>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</si>
  <si>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</si>
  <si>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</si>
  <si>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</si>
  <si>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</si>
  <si>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</si>
  <si>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</si>
  <si>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</si>
  <si>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</si>
  <si>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</si>
  <si>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</si>
  <si>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</si>
  <si>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</si>
  <si>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</si>
  <si>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</si>
  <si>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</si>
  <si>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</si>
  <si>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</si>
  <si>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</si>
  <si>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</si>
  <si>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</si>
  <si>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</si>
  <si>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</si>
  <si>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</si>
  <si>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</si>
  <si>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</si>
  <si>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</si>
  <si>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</si>
  <si>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</si>
  <si>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</si>
  <si>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</si>
  <si>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</si>
  <si>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</si>
  <si>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</si>
  <si>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</si>
  <si>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</si>
  <si>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</si>
  <si>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</si>
  <si>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</si>
  <si>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</si>
  <si>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</si>
  <si>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</si>
  <si>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</si>
  <si>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</si>
  <si>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</si>
  <si>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</si>
  <si>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</si>
  <si>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</si>
  <si>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</si>
  <si>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</si>
  <si>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</si>
  <si>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</si>
  <si>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</si>
  <si>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</si>
  <si>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</si>
  <si>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</si>
  <si>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</si>
  <si>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</si>
  <si>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</si>
  <si>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</si>
  <si>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</si>
  <si>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</si>
  <si>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</si>
  <si>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</si>
  <si>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</si>
  <si>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</si>
  <si>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</si>
  <si>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</si>
  <si>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</si>
  <si>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</si>
  <si>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</si>
  <si>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</si>
  <si>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</si>
  <si>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</si>
  <si>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</si>
  <si>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</si>
  <si>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</si>
  <si>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</si>
  <si>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</si>
  <si>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</si>
  <si>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</si>
  <si>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</si>
  <si>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</si>
  <si>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</si>
  <si>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</si>
  <si>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</si>
  <si>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</si>
  <si>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</si>
  <si>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</si>
  <si>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</si>
  <si>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</si>
  <si>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</si>
  <si>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</si>
  <si>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</si>
  <si>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</si>
  <si>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</si>
  <si>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</si>
  <si>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</si>
  <si>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</si>
  <si>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</si>
  <si>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</si>
  <si>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</si>
  <si>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</si>
  <si>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</si>
  <si>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</si>
  <si>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</si>
  <si>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</si>
  <si>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</si>
  <si>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</si>
  <si>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</si>
  <si>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</si>
  <si>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</si>
  <si>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</si>
  <si>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</si>
  <si>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</si>
  <si>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</si>
  <si>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</si>
  <si>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</si>
  <si>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</si>
  <si>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</si>
  <si>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</si>
  <si>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</si>
  <si>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</si>
  <si>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</si>
  <si>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</si>
  <si>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</si>
  <si>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</si>
  <si>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</si>
  <si>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</si>
  <si>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</si>
  <si>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</si>
  <si>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</si>
  <si>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</si>
  <si>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</si>
  <si>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</si>
  <si>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</si>
  <si>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</si>
  <si>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</si>
  <si>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</si>
  <si>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</si>
  <si>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</si>
  <si>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</si>
  <si>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</si>
  <si>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</si>
  <si>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</si>
  <si>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</si>
  <si>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</si>
  <si>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</si>
  <si>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</si>
  <si>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</si>
  <si>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</si>
  <si>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</si>
  <si>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</si>
  <si>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</si>
  <si>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</si>
  <si>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</si>
  <si>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</si>
  <si>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</si>
  <si>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</si>
  <si>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</si>
  <si>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</si>
  <si>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</si>
  <si>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</si>
  <si>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</si>
  <si>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</si>
  <si>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</si>
  <si>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</si>
  <si>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</si>
  <si>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</si>
  <si>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</si>
  <si>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</si>
  <si>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</si>
  <si>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</si>
  <si>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</si>
  <si>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</si>
  <si>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</si>
  <si>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</si>
  <si>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</si>
  <si>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</si>
  <si>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</si>
  <si>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</si>
  <si>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</si>
  <si>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</si>
  <si>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</si>
  <si>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</si>
  <si>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</si>
  <si>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</si>
  <si>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</si>
  <si>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</si>
  <si>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</si>
  <si>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</si>
  <si>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</si>
  <si>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</si>
  <si>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</si>
  <si>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</si>
  <si>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</si>
  <si>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</si>
  <si>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</si>
  <si>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</si>
  <si>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</si>
  <si>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</si>
  <si>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</si>
  <si>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</si>
  <si>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</si>
  <si>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</si>
  <si>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</si>
  <si>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</si>
  <si>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</si>
  <si>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</si>
  <si>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</si>
  <si>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</si>
  <si>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</si>
  <si>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</si>
  <si>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</si>
  <si>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</si>
  <si>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</si>
  <si>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</si>
  <si>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</si>
  <si>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</si>
  <si>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</si>
  <si>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</si>
  <si>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</si>
  <si>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</si>
  <si>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</si>
  <si>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</si>
  <si>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</si>
  <si>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</si>
  <si>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</si>
  <si>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</si>
  <si>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</si>
  <si>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</si>
  <si>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</si>
  <si>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</si>
  <si>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</si>
  <si>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</si>
  <si>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</si>
  <si>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</si>
  <si>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</si>
  <si>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</si>
  <si>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</si>
  <si>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</si>
  <si>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</si>
  <si>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</si>
  <si>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</si>
  <si>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</si>
  <si>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</si>
  <si>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</si>
  <si>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</si>
  <si>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</si>
  <si>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</si>
  <si>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</si>
  <si>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</si>
  <si>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</si>
  <si>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</si>
  <si>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</si>
  <si>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</si>
  <si>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</si>
  <si>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</si>
  <si>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</si>
  <si>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</si>
  <si>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</si>
  <si>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</si>
  <si>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</si>
  <si>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</si>
  <si>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</si>
  <si>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</si>
  <si>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</si>
  <si>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</si>
  <si>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</si>
  <si>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</si>
  <si>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</si>
  <si>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</si>
  <si>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</si>
  <si>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</si>
  <si>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</si>
  <si>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</si>
  <si>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</si>
  <si>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</si>
  <si>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</si>
  <si>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</si>
  <si>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</si>
  <si>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</si>
  <si>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</si>
  <si>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</si>
  <si>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</si>
  <si>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</si>
  <si>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</si>
  <si>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</si>
  <si>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</si>
  <si>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</si>
  <si>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</si>
  <si>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</si>
  <si>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</si>
  <si>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</si>
  <si>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</si>
  <si>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</si>
  <si>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</si>
  <si>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</si>
  <si>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</si>
  <si>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</si>
  <si>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</si>
  <si>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</si>
  <si>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</si>
  <si>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</si>
  <si>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</si>
  <si>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</si>
  <si>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</si>
  <si>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</si>
  <si>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</si>
  <si>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</si>
  <si>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</si>
  <si>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</si>
  <si>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</si>
  <si>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</si>
  <si>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</si>
  <si>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</si>
  <si>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</si>
  <si>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</si>
  <si>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</si>
  <si>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</si>
  <si>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</si>
  <si>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</si>
  <si>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</si>
  <si>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</si>
  <si>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</si>
  <si>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</si>
  <si>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</si>
  <si>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</si>
  <si>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</si>
  <si>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</si>
  <si>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</si>
  <si>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</si>
  <si>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</si>
  <si>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</si>
  <si>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</si>
  <si>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</si>
  <si>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</si>
  <si>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</si>
  <si>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</si>
  <si>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</si>
  <si>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</si>
  <si>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</si>
  <si>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</si>
  <si>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</si>
  <si>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</si>
  <si>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</si>
  <si>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</si>
  <si>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</si>
  <si>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</si>
  <si>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</si>
  <si>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</si>
  <si>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</si>
  <si>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</si>
  <si>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</si>
  <si>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</si>
  <si>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</si>
  <si>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</si>
  <si>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</si>
  <si>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</si>
  <si>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</si>
  <si>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</si>
  <si>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</si>
  <si>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</si>
  <si>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</si>
  <si>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</si>
  <si>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</si>
  <si>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</si>
  <si>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</si>
  <si>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</si>
  <si>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</si>
  <si>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</si>
  <si>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</si>
  <si>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</si>
  <si>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</si>
  <si>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</si>
  <si>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</si>
  <si>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</si>
  <si>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</si>
  <si>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</si>
  <si>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</si>
  <si>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</si>
  <si>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</si>
  <si>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</si>
  <si>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</si>
  <si>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</si>
  <si>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</si>
  <si>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</si>
  <si>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</si>
  <si>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</si>
  <si>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</si>
  <si>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</si>
  <si>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</si>
  <si>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</si>
  <si>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</si>
  <si>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</si>
  <si>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</si>
  <si>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</si>
  <si>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</si>
  <si>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</si>
  <si>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</si>
  <si>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</si>
  <si>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</si>
  <si>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</si>
  <si>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</si>
  <si>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</si>
  <si>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</si>
  <si>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</si>
  <si>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</si>
  <si>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</si>
  <si>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</si>
  <si>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</si>
  <si>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</si>
  <si>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</si>
  <si>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</si>
  <si>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</si>
  <si>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</si>
  <si>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</si>
  <si>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</si>
  <si>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</si>
  <si>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</si>
  <si>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</si>
  <si>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</si>
  <si>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</si>
  <si>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</si>
  <si>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</si>
  <si>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</si>
  <si>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</si>
  <si>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</si>
  <si>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</si>
  <si>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</si>
  <si>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</si>
  <si>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</si>
  <si>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</si>
  <si>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</si>
  <si>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</si>
  <si>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</si>
  <si>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</si>
  <si>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</si>
  <si>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</si>
  <si>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</si>
  <si>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</si>
  <si>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</si>
  <si>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</si>
  <si>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</si>
  <si>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</si>
  <si>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</si>
  <si>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</si>
  <si>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</si>
  <si>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</si>
  <si>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</si>
  <si>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</si>
  <si>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</si>
  <si>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</si>
  <si>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</si>
  <si>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</si>
  <si>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</si>
  <si>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</si>
  <si>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</si>
  <si>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</si>
  <si>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</si>
  <si>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</si>
  <si>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</si>
  <si>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</si>
  <si>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</si>
  <si>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</si>
  <si>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</si>
  <si>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</si>
  <si>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</si>
  <si>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</si>
  <si>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</si>
  <si>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</si>
  <si>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</si>
  <si>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</si>
  <si>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</si>
  <si>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</si>
  <si>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</si>
  <si>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</si>
  <si>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</si>
  <si>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</si>
  <si>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</si>
  <si>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</si>
  <si>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</si>
  <si>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</si>
  <si>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</si>
  <si>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</si>
  <si>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</si>
  <si>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</si>
  <si>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</si>
  <si>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</si>
  <si>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</si>
  <si>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</si>
  <si>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</si>
  <si>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</si>
  <si>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</si>
  <si>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</si>
  <si>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</si>
  <si>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</si>
  <si>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</si>
  <si>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</si>
  <si>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</si>
  <si>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</si>
  <si>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</si>
  <si>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</si>
  <si>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</si>
  <si>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</si>
  <si>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</si>
  <si>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</si>
  <si>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</si>
  <si>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</si>
  <si>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</si>
  <si>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</si>
  <si>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</si>
  <si>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</si>
  <si>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</si>
  <si>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</si>
  <si>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</si>
  <si>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</si>
  <si>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</si>
  <si>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</si>
  <si>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</si>
  <si>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</si>
  <si>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</si>
  <si>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</si>
  <si>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</si>
  <si>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</si>
  <si>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</si>
  <si>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</si>
  <si>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</si>
  <si>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</si>
  <si>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</si>
  <si>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</si>
  <si>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</si>
  <si>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</si>
  <si>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</si>
  <si>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</si>
  <si>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</si>
  <si>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</si>
  <si>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</si>
  <si>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</si>
  <si>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</si>
  <si>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</si>
  <si>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</si>
  <si>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</si>
  <si>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</si>
  <si>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</si>
  <si>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</si>
  <si>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</si>
  <si>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</si>
  <si>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</si>
  <si>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</si>
  <si>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</si>
  <si>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</si>
  <si>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</si>
  <si>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</si>
  <si>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</si>
  <si>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</si>
  <si>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</si>
  <si>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</si>
  <si>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</si>
  <si>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</si>
  <si>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</si>
  <si>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</si>
  <si>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</si>
  <si>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</si>
  <si>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</si>
  <si>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</si>
  <si>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</si>
  <si>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</si>
  <si>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</si>
  <si>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</si>
  <si>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</si>
  <si>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</si>
  <si>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</si>
  <si>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</si>
  <si>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</si>
  <si>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</si>
  <si>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</si>
  <si>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</si>
  <si>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</si>
  <si>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</si>
  <si>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</si>
  <si>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</si>
  <si>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</si>
  <si>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</si>
  <si>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</si>
  <si>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</si>
  <si>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</si>
  <si>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</si>
  <si>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</si>
  <si>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</si>
  <si>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</si>
  <si>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</si>
  <si>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</si>
  <si>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</si>
  <si>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</si>
  <si>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</si>
  <si>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</si>
  <si>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</si>
  <si>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</si>
  <si>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</si>
  <si>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</si>
  <si>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</si>
  <si>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是</t>
  </si>
  <si>
    <t>否</t>
  </si>
  <si>
    <t>出让</t>
  </si>
  <si>
    <t>已注销</t>
  </si>
  <si>
    <t>商业项目</t>
  </si>
  <si>
    <t>商场</t>
  </si>
  <si>
    <t>现房</t>
  </si>
  <si>
    <t>通路</t>
  </si>
  <si>
    <t>通电</t>
  </si>
  <si>
    <t>通讯</t>
  </si>
  <si>
    <t>通上水</t>
  </si>
  <si>
    <t>通下水</t>
  </si>
  <si>
    <t>地上</t>
  </si>
  <si>
    <t>地下</t>
  </si>
  <si>
    <t>层数</t>
    <phoneticPr fontId="140" type="noConversion"/>
  </si>
  <si>
    <t>人防面积</t>
    <phoneticPr fontId="140" type="noConversion"/>
  </si>
  <si>
    <t>建筑面积  （不含人防）</t>
    <phoneticPr fontId="140" type="noConversion"/>
  </si>
  <si>
    <t>合计</t>
    <phoneticPr fontId="140" type="noConversion"/>
  </si>
  <si>
    <t>附属用房</t>
    <phoneticPr fontId="140" type="noConversion"/>
  </si>
  <si>
    <t>建筑面积占比</t>
    <phoneticPr fontId="140" type="noConversion"/>
  </si>
  <si>
    <t>车库</t>
  </si>
  <si>
    <t>车库</t>
    <phoneticPr fontId="140" type="noConversion"/>
  </si>
  <si>
    <t>商业</t>
    <phoneticPr fontId="140" type="noConversion"/>
  </si>
  <si>
    <t>车库—商业</t>
  </si>
  <si>
    <t>附属用房</t>
    <phoneticPr fontId="3" type="noConversion"/>
  </si>
  <si>
    <t>商业</t>
    <phoneticPr fontId="7" type="noConversion"/>
  </si>
  <si>
    <t>成新度</t>
  </si>
  <si>
    <t>利息：取LPR加浮动点数</t>
  </si>
  <si>
    <t>不临58条商业街</t>
  </si>
  <si>
    <t>批发零售用地</t>
  </si>
  <si>
    <t>平整</t>
  </si>
  <si>
    <t>与级别开发程度不一致</t>
  </si>
  <si>
    <t>按公示增长率计算</t>
  </si>
  <si>
    <t>楼层修正</t>
  </si>
  <si>
    <t>一般</t>
  </si>
  <si>
    <t>较好</t>
  </si>
  <si>
    <t>较差</t>
  </si>
  <si>
    <t>未包含在土地购买价格中</t>
  </si>
  <si>
    <t>全部缴纳</t>
  </si>
  <si>
    <t>已包含在土地取得成本中</t>
  </si>
  <si>
    <t>成本法</t>
  </si>
  <si>
    <t>押一</t>
  </si>
  <si>
    <t>按租金收入计税</t>
  </si>
  <si>
    <t>钢混</t>
  </si>
  <si>
    <t>非生产用房</t>
  </si>
  <si>
    <t>按面积比例</t>
  </si>
  <si>
    <t>收益法-商业</t>
  </si>
  <si>
    <t>收益法-商业</t>
    <phoneticPr fontId="16" type="noConversion"/>
  </si>
  <si>
    <t>收益法-车库</t>
    <phoneticPr fontId="16" type="noConversion"/>
  </si>
  <si>
    <t>总价</t>
  </si>
  <si>
    <t>成本比率</t>
  </si>
  <si>
    <t>可出租铺位统计表</t>
  </si>
  <si>
    <t>项目</t>
  </si>
  <si>
    <t>序号</t>
  </si>
  <si>
    <t>楼层</t>
  </si>
  <si>
    <t>铺位号</t>
  </si>
  <si>
    <t>面积㎡</t>
  </si>
  <si>
    <t>铺位类型
（一级）</t>
  </si>
  <si>
    <t>铺位类型
（二级）</t>
  </si>
  <si>
    <t>出租状态</t>
  </si>
  <si>
    <t>租约号</t>
  </si>
  <si>
    <t>品牌名称</t>
  </si>
  <si>
    <t>租户名称</t>
  </si>
  <si>
    <t>业态</t>
  </si>
  <si>
    <t>固定租金
（元/天/㎡）</t>
  </si>
  <si>
    <t>扣率
（%）</t>
  </si>
  <si>
    <t>营运管理费
（元/天/㎡）</t>
  </si>
  <si>
    <t>签约年限</t>
  </si>
  <si>
    <t>合同开始时间</t>
  </si>
  <si>
    <t>合同终止时间</t>
  </si>
  <si>
    <t>掉铺风险</t>
  </si>
  <si>
    <t>同成街</t>
  </si>
  <si>
    <t>B2</t>
  </si>
  <si>
    <t>B2-01</t>
  </si>
  <si>
    <t>固定铺位</t>
  </si>
  <si>
    <t>固定边厅</t>
  </si>
  <si>
    <t>已出租</t>
  </si>
  <si>
    <t>靓车行</t>
  </si>
  <si>
    <t>北京腾达靓汽车用品有限公司</t>
  </si>
  <si>
    <t>健康&amp;生活</t>
  </si>
  <si>
    <t>汽车美容</t>
  </si>
  <si>
    <t>9年</t>
  </si>
  <si>
    <t>2013-12-01</t>
  </si>
  <si>
    <t>2022-11-30</t>
  </si>
  <si>
    <t>无</t>
  </si>
  <si>
    <t>B2-KF-04</t>
  </si>
  <si>
    <t>库房</t>
  </si>
  <si>
    <t>椰子泰</t>
  </si>
  <si>
    <t>北京椰子泰餐饮有限公司</t>
  </si>
  <si>
    <t>餐饮</t>
  </si>
  <si>
    <t>东南亚</t>
  </si>
  <si>
    <t>3年7个月</t>
  </si>
  <si>
    <t>2018-10-01</t>
  </si>
  <si>
    <t>2022-04-30</t>
  </si>
  <si>
    <t>B2-KF-05</t>
  </si>
  <si>
    <t>乐友库房</t>
  </si>
  <si>
    <t>北京乐友达康商贸有限公司</t>
  </si>
  <si>
    <t>儿童</t>
  </si>
  <si>
    <t>母婴用品</t>
  </si>
  <si>
    <t>3年零8个月</t>
  </si>
  <si>
    <t>2018-11-01</t>
  </si>
  <si>
    <t>2022-06-30</t>
  </si>
  <si>
    <t>B2-02</t>
  </si>
  <si>
    <t>杰尼尔</t>
  </si>
  <si>
    <t>杰尼尔（北京）皮革清洁养护服务有限公司</t>
  </si>
  <si>
    <t>皮具护理</t>
  </si>
  <si>
    <t>3年零7天</t>
  </si>
  <si>
    <t>2018-12-25</t>
  </si>
  <si>
    <t>2021-12-31</t>
  </si>
  <si>
    <t>B2-KF-07</t>
  </si>
  <si>
    <t>艺术伞库房</t>
  </si>
  <si>
    <t>北京小蕃茄教育咨询有限公司</t>
  </si>
  <si>
    <t>绘画</t>
  </si>
  <si>
    <t>3年</t>
  </si>
  <si>
    <t>2019-01-01</t>
  </si>
  <si>
    <t>B1-TCC-11,B2-TCC-03</t>
  </si>
  <si>
    <t>场外经营</t>
  </si>
  <si>
    <t>停车场铺位</t>
  </si>
  <si>
    <t>停车场</t>
  </si>
  <si>
    <t>北京中联顺达停车管理有限公司</t>
  </si>
  <si>
    <t>B2-KF-01</t>
  </si>
  <si>
    <t>绿茶库房</t>
  </si>
  <si>
    <t>西藏绿茶餐饮管理有限公司北京市昌平区第五分公司</t>
  </si>
  <si>
    <t>江浙菜</t>
  </si>
  <si>
    <t>2019-11-01</t>
  </si>
  <si>
    <t>2022-10-31</t>
  </si>
  <si>
    <t>B2-KF-03</t>
  </si>
  <si>
    <t>西遇库房</t>
  </si>
  <si>
    <t>深圳市西遇时尚服饰有限公司</t>
  </si>
  <si>
    <t>零售</t>
  </si>
  <si>
    <t>服装集合店</t>
  </si>
  <si>
    <t>2年零2个月</t>
  </si>
  <si>
    <t>B2-KF-02</t>
  </si>
  <si>
    <t>一點點</t>
  </si>
  <si>
    <t>北京鼎盛昌餐饮管理有限公司</t>
  </si>
  <si>
    <t>茶饮</t>
  </si>
  <si>
    <t>1年11个月零10天</t>
  </si>
  <si>
    <t>2020-07-21</t>
  </si>
  <si>
    <t>B2-KF-06</t>
  </si>
  <si>
    <t>贝乐童话库房</t>
  </si>
  <si>
    <t>北京博文科宇文化交流有限公司</t>
  </si>
  <si>
    <t>主题乐园</t>
  </si>
  <si>
    <t>1年5个月25天</t>
  </si>
  <si>
    <t>2020-12-07</t>
  </si>
  <si>
    <t>2022-05-31</t>
  </si>
  <si>
    <t>续约流程未走完</t>
  </si>
  <si>
    <t>B2-KF-08</t>
  </si>
  <si>
    <t>和府捞面库房</t>
  </si>
  <si>
    <t>北京喆喆餐饮管理有限公司</t>
  </si>
  <si>
    <t>1年</t>
  </si>
  <si>
    <t>2021-05-15</t>
  </si>
  <si>
    <t>2022-05-14</t>
  </si>
  <si>
    <t>B1</t>
  </si>
  <si>
    <t>B1-01</t>
  </si>
  <si>
    <t>伊尔萨</t>
  </si>
  <si>
    <t>李环</t>
  </si>
  <si>
    <t>洗衣改衣</t>
  </si>
  <si>
    <t>6年9个月7天</t>
  </si>
  <si>
    <t>2015-05-25</t>
  </si>
  <si>
    <t>2022-02-28</t>
  </si>
  <si>
    <t>B1-KF-05</t>
  </si>
  <si>
    <t>精品烟草</t>
  </si>
  <si>
    <t>北京诚和实信商贸有限公司</t>
  </si>
  <si>
    <t>烟酒茶糖</t>
  </si>
  <si>
    <t>5年</t>
  </si>
  <si>
    <t>2017-01-01</t>
  </si>
  <si>
    <t>b1-03b</t>
  </si>
  <si>
    <t>多乐士</t>
  </si>
  <si>
    <t>北京同心源涂料商贸有限公司</t>
  </si>
  <si>
    <t>家具家装</t>
  </si>
  <si>
    <t>5年零22天</t>
  </si>
  <si>
    <t>2017-03-10</t>
  </si>
  <si>
    <t>2022-03-31</t>
  </si>
  <si>
    <t>B1-04</t>
  </si>
  <si>
    <t>川名堂</t>
  </si>
  <si>
    <t>杨雪琼</t>
  </si>
  <si>
    <t>包装食品</t>
  </si>
  <si>
    <t>5年零7天</t>
  </si>
  <si>
    <t>2017-05-25</t>
  </si>
  <si>
    <t>B1-SE-03</t>
  </si>
  <si>
    <t>充电桩</t>
  </si>
  <si>
    <t>北汽特来电（北京）新能源科技有限公司</t>
  </si>
  <si>
    <t>自助设备</t>
  </si>
  <si>
    <t>10年</t>
  </si>
  <si>
    <t>2016-09-05</t>
  </si>
  <si>
    <t>2026-09-04</t>
  </si>
  <si>
    <t>B1-05,B1-06</t>
  </si>
  <si>
    <t>COCO都可</t>
  </si>
  <si>
    <t>北京珮可餐饮管理有限公司</t>
  </si>
  <si>
    <t>4年零7天</t>
  </si>
  <si>
    <t>2018-10-25</t>
  </si>
  <si>
    <t>B1-03A</t>
  </si>
  <si>
    <t>泊之利乐</t>
  </si>
  <si>
    <t>汤艳</t>
  </si>
  <si>
    <t>美妆集合店</t>
  </si>
  <si>
    <t>3年3个月</t>
  </si>
  <si>
    <t>2018-12-01</t>
  </si>
  <si>
    <t>B1-KF-06</t>
  </si>
  <si>
    <t>金宝贝库房</t>
  </si>
  <si>
    <t>北京烁晖教育科技有限公司</t>
  </si>
  <si>
    <t>早教</t>
  </si>
  <si>
    <t>2019-09-01</t>
  </si>
  <si>
    <t>2022-08-31</t>
  </si>
  <si>
    <t>F3-SE-06,F4-SE-02,B1-SE-01</t>
  </si>
  <si>
    <t>天使之橙</t>
  </si>
  <si>
    <t>上海巨昂科技有限公司</t>
  </si>
  <si>
    <t>2年零1个月</t>
  </si>
  <si>
    <t>2020-01-01</t>
  </si>
  <si>
    <t>2022-01-31</t>
  </si>
  <si>
    <t>B1-KF-02</t>
  </si>
  <si>
    <t>天使之橙库房</t>
  </si>
  <si>
    <t>B1-SE-04</t>
  </si>
  <si>
    <t>47885_1</t>
  </si>
  <si>
    <t>19八3</t>
  </si>
  <si>
    <t>福建一九八三文化创意有限公司</t>
  </si>
  <si>
    <t>礼品/工艺品</t>
  </si>
  <si>
    <t>3年零2天</t>
  </si>
  <si>
    <t>2019-11-29</t>
  </si>
  <si>
    <t>B1-KF-01</t>
  </si>
  <si>
    <t>HANAJIRUSHI库房</t>
  </si>
  <si>
    <t>天津龙和隆盛化妆品销售有限公司</t>
  </si>
  <si>
    <t>护肤</t>
  </si>
  <si>
    <t>2年4个月22天</t>
  </si>
  <si>
    <t>2019-12-10</t>
  </si>
  <si>
    <t>B1-07</t>
  </si>
  <si>
    <t>八马茶业</t>
  </si>
  <si>
    <t>骆昊阳</t>
  </si>
  <si>
    <t>2021-07-10</t>
  </si>
  <si>
    <t>2022-07-09</t>
  </si>
  <si>
    <t>B1-KF-04</t>
  </si>
  <si>
    <t>华为库房</t>
  </si>
  <si>
    <t>易联讯达（北京）科技有限公司</t>
  </si>
  <si>
    <t>数码体验店</t>
  </si>
  <si>
    <t>2年零11天</t>
  </si>
  <si>
    <t>2020-06-20</t>
  </si>
  <si>
    <t>B1-09</t>
  </si>
  <si>
    <t>超市</t>
  </si>
  <si>
    <t>北京华联生活超市有限公司</t>
  </si>
  <si>
    <t>主力店</t>
  </si>
  <si>
    <t>13年零24天</t>
  </si>
  <si>
    <t>2020-05-01</t>
  </si>
  <si>
    <t>2033-05-24</t>
  </si>
  <si>
    <t>B1-110</t>
  </si>
  <si>
    <t>BHG超市库房</t>
  </si>
  <si>
    <t>B1-ZD-09</t>
  </si>
  <si>
    <t>固定中岛</t>
  </si>
  <si>
    <t>冰封果粹</t>
  </si>
  <si>
    <t>朱睿冰</t>
  </si>
  <si>
    <t>2年</t>
  </si>
  <si>
    <t>2020-10-01</t>
  </si>
  <si>
    <t>2022-09-30</t>
  </si>
  <si>
    <t>B1-02</t>
  </si>
  <si>
    <t>一柒</t>
  </si>
  <si>
    <t>何花</t>
  </si>
  <si>
    <t>美甲美睫</t>
  </si>
  <si>
    <t>1年3个月22天</t>
  </si>
  <si>
    <t>2020-11-09</t>
  </si>
  <si>
    <t>B1-SE-02</t>
  </si>
  <si>
    <t>禾美万像</t>
  </si>
  <si>
    <t>禾美万像（北京）摄影有限公司</t>
  </si>
  <si>
    <t>摄影</t>
  </si>
  <si>
    <t>2021-01-01</t>
  </si>
  <si>
    <t>B1-KF-03</t>
  </si>
  <si>
    <t>空置</t>
  </si>
  <si>
    <t/>
  </si>
  <si>
    <t>F1</t>
  </si>
  <si>
    <t>F-1</t>
  </si>
  <si>
    <t>882财务部</t>
  </si>
  <si>
    <t>2013-04-12</t>
  </si>
  <si>
    <t>2023-04-11</t>
  </si>
  <si>
    <t>F1-01</t>
  </si>
  <si>
    <t>华为</t>
  </si>
  <si>
    <t>2020-04-01</t>
  </si>
  <si>
    <t>F1-02/03,F2-03</t>
  </si>
  <si>
    <t>麦当劳</t>
  </si>
  <si>
    <t>北京麦当劳食品有限公司</t>
  </si>
  <si>
    <t>西式快餐</t>
  </si>
  <si>
    <t>12年零1个月零6天</t>
  </si>
  <si>
    <t>2013-05-25</t>
  </si>
  <si>
    <t>2025-06-30</t>
  </si>
  <si>
    <t>F1-04</t>
  </si>
  <si>
    <t>宝岛眼镜</t>
  </si>
  <si>
    <t>晶华宝岛（北京）眼镜有限公司昌平第五十四分公司</t>
  </si>
  <si>
    <t>时尚配饰</t>
  </si>
  <si>
    <t>2年11个月</t>
  </si>
  <si>
    <t>2019-10-01</t>
  </si>
  <si>
    <t>F1-05</t>
  </si>
  <si>
    <t>暴龙</t>
  </si>
  <si>
    <t>北京中关汇粹商务服务有限公司</t>
  </si>
  <si>
    <t>3年6个月21天</t>
  </si>
  <si>
    <t>2019-04-10</t>
  </si>
  <si>
    <t>F1-08</t>
  </si>
  <si>
    <t>飞鸟与新酒</t>
  </si>
  <si>
    <t>浙江海明实业有限公司</t>
  </si>
  <si>
    <t>女装</t>
  </si>
  <si>
    <t>3年7个月7天</t>
  </si>
  <si>
    <t>2018-05-25</t>
  </si>
  <si>
    <t>F1-09</t>
  </si>
  <si>
    <t>lily</t>
  </si>
  <si>
    <t>上海丝绸集团品牌发展有限公司</t>
  </si>
  <si>
    <t>4年3个月</t>
  </si>
  <si>
    <t>2018-07-01</t>
  </si>
  <si>
    <t>F1-10</t>
  </si>
  <si>
    <t>暇步士</t>
  </si>
  <si>
    <t>北京天达华信服装服饰有限公司</t>
  </si>
  <si>
    <t>3年零22天</t>
  </si>
  <si>
    <t>2019-10-10</t>
  </si>
  <si>
    <t>F1-11/12/26a</t>
  </si>
  <si>
    <t>优衣库</t>
  </si>
  <si>
    <t>迅销（中国）商贸有限公司北京回龙观育知东路店</t>
  </si>
  <si>
    <t>快销</t>
  </si>
  <si>
    <t>10年零3个月</t>
  </si>
  <si>
    <t>2016-05-20</t>
  </si>
  <si>
    <t>2026-08-19</t>
  </si>
  <si>
    <t>F2-16/17/18/19</t>
  </si>
  <si>
    <t>吉野家、DQ</t>
  </si>
  <si>
    <t>北京吉野家快餐有限公司</t>
  </si>
  <si>
    <t>F1-14</t>
  </si>
  <si>
    <t>品真阁</t>
  </si>
  <si>
    <t>北京华夏理想文化集团有限责任公司</t>
  </si>
  <si>
    <t>黄金珠宝</t>
  </si>
  <si>
    <t>1年9个月</t>
  </si>
  <si>
    <t>2020-06-01</t>
  </si>
  <si>
    <t>2022-07-31</t>
  </si>
  <si>
    <t>F1-15</t>
  </si>
  <si>
    <t>瑞恩</t>
  </si>
  <si>
    <t>翁丽芳</t>
  </si>
  <si>
    <t>3年零4个月</t>
  </si>
  <si>
    <t>F1-16</t>
  </si>
  <si>
    <t>千叶珠宝</t>
  </si>
  <si>
    <t>北京金欣福珠宝有限公司</t>
  </si>
  <si>
    <t>2年6个月</t>
  </si>
  <si>
    <t>2021-07-01</t>
  </si>
  <si>
    <t>2023-12-31</t>
  </si>
  <si>
    <t>F1-17</t>
  </si>
  <si>
    <t>周大福</t>
  </si>
  <si>
    <t>北京周大福珠宝金行有限公司</t>
  </si>
  <si>
    <t>4年2个月</t>
  </si>
  <si>
    <t>2018-08-01</t>
  </si>
  <si>
    <t>F1-18</t>
  </si>
  <si>
    <t>面包新语</t>
  </si>
  <si>
    <t xml:space="preserve">北京星物语餐饮管理有限公司                                                      </t>
  </si>
  <si>
    <t>甜品/烘焙/糕点</t>
  </si>
  <si>
    <t>9年零3个月</t>
  </si>
  <si>
    <t>2013-03-01</t>
  </si>
  <si>
    <t>F1-19</t>
  </si>
  <si>
    <t>Costa Coffee</t>
  </si>
  <si>
    <t>华联咖世家（北京）餐饮管理有限公司</t>
  </si>
  <si>
    <t>咖啡</t>
  </si>
  <si>
    <t>11年零3个月</t>
  </si>
  <si>
    <t>2024-05-31</t>
  </si>
  <si>
    <t>F1-20</t>
  </si>
  <si>
    <t>周大生</t>
  </si>
  <si>
    <t>北京老凡祥千花珠宝有限公司</t>
  </si>
  <si>
    <t>2年零7个月零1天</t>
  </si>
  <si>
    <t>2020-11-30</t>
  </si>
  <si>
    <t>2023-06-30</t>
  </si>
  <si>
    <t>F1-21</t>
  </si>
  <si>
    <t>idole</t>
  </si>
  <si>
    <t>上海拉谷谷时装有限公司</t>
  </si>
  <si>
    <t>2019-03-01</t>
  </si>
  <si>
    <t>F1-22,F2-06/07/08</t>
  </si>
  <si>
    <t>TOPFEELING</t>
  </si>
  <si>
    <t>上海笕尚服饰有限公司北京回龙观分公司</t>
  </si>
  <si>
    <t>8年8个月</t>
  </si>
  <si>
    <t>2013-07-01</t>
  </si>
  <si>
    <t>F1-25</t>
  </si>
  <si>
    <t>50973_2</t>
  </si>
  <si>
    <t>小米之家</t>
  </si>
  <si>
    <t>拼铂(石家庄)科技有限公司北京分公司</t>
  </si>
  <si>
    <t>2年零6个月零22天</t>
  </si>
  <si>
    <t>2020-11-10</t>
  </si>
  <si>
    <t>2023-05-31</t>
  </si>
  <si>
    <t>F1-25A</t>
  </si>
  <si>
    <t>oppo</t>
  </si>
  <si>
    <t>北京铭新电子产品有限公司</t>
  </si>
  <si>
    <t>2年1个月</t>
  </si>
  <si>
    <t>2021-03-01</t>
  </si>
  <si>
    <t>2023-03-31</t>
  </si>
  <si>
    <t>F1-26b</t>
  </si>
  <si>
    <t>F1-27</t>
  </si>
  <si>
    <t>Rigant</t>
  </si>
  <si>
    <t>北京博泓芸集商贸有限公司</t>
  </si>
  <si>
    <t>2年1个月12天</t>
  </si>
  <si>
    <t>2020-08-20</t>
  </si>
  <si>
    <t>f1-28b，F1-28a</t>
  </si>
  <si>
    <t>荣耀</t>
  </si>
  <si>
    <t>北京华康君泰贸易有限公司</t>
  </si>
  <si>
    <t>2021-12-01</t>
  </si>
  <si>
    <t>2023-11-30</t>
  </si>
  <si>
    <t>F1-30B</t>
  </si>
  <si>
    <t>F1-31A</t>
  </si>
  <si>
    <t>OYEA</t>
  </si>
  <si>
    <t>厦门市欧野实业有限公司北京昌平区回龙观第一分公司</t>
  </si>
  <si>
    <t>2年零1个月零12天</t>
  </si>
  <si>
    <t>2020-07-20</t>
  </si>
  <si>
    <t>F1-31B</t>
  </si>
  <si>
    <t>Velwin</t>
  </si>
  <si>
    <t>上海雅蓝时装有限公司</t>
  </si>
  <si>
    <t>5年10个月16天</t>
  </si>
  <si>
    <t>2016-03-16</t>
  </si>
  <si>
    <t>F1-32</t>
  </si>
  <si>
    <t>lagogo</t>
  </si>
  <si>
    <t>F1-13</t>
  </si>
  <si>
    <t>73086</t>
  </si>
  <si>
    <t>菜百首饰</t>
  </si>
  <si>
    <t>北京菜市口百货股份有限公司</t>
  </si>
  <si>
    <t>F1-13A</t>
  </si>
  <si>
    <t>F1-36A</t>
  </si>
  <si>
    <t>F1-29</t>
  </si>
  <si>
    <t>阳光里的汀兰</t>
  </si>
  <si>
    <t>古巢皖韵(北京）商贸有限公司</t>
  </si>
  <si>
    <t>6个月</t>
  </si>
  <si>
    <t>F1-07</t>
  </si>
  <si>
    <t>BOWNOLL帛而</t>
  </si>
  <si>
    <t>北京云端筑梦服装品牌管理有限公司</t>
  </si>
  <si>
    <t>2021-08-01</t>
  </si>
  <si>
    <t>2024-01-31</t>
  </si>
  <si>
    <t>F1-33</t>
  </si>
  <si>
    <t>73440</t>
  </si>
  <si>
    <t>李宁（LI-NING）</t>
  </si>
  <si>
    <t xml:space="preserve">北京李宁体育用品销售有限公司 </t>
  </si>
  <si>
    <t>运动</t>
  </si>
  <si>
    <t>2年6个月21天</t>
  </si>
  <si>
    <t>2021-11-10</t>
  </si>
  <si>
    <t>F1-34</t>
  </si>
  <si>
    <t>F1-35</t>
  </si>
  <si>
    <t>F1-36</t>
  </si>
  <si>
    <t>ONLY、JACK JONES、VEROMODA、SELECTED</t>
  </si>
  <si>
    <t>绫致时装销售（天津）有限公司</t>
  </si>
  <si>
    <t>8个月6天</t>
  </si>
  <si>
    <t>2021-03-26</t>
  </si>
  <si>
    <t>2021-11-30</t>
  </si>
  <si>
    <t>F1-LS-23</t>
  </si>
  <si>
    <t>YUSITU</t>
  </si>
  <si>
    <t>盐城市羽思图商贸有限公司</t>
  </si>
  <si>
    <t>女鞋</t>
  </si>
  <si>
    <t>2021-04-01</t>
  </si>
  <si>
    <t>F1-SE-13</t>
  </si>
  <si>
    <t>趣客潮玩</t>
  </si>
  <si>
    <t>北京千里云联科技有限公司</t>
  </si>
  <si>
    <t>1年8个月22天</t>
  </si>
  <si>
    <t>2020-12-10</t>
  </si>
  <si>
    <t>F1-SQU-16</t>
  </si>
  <si>
    <t>外广场铺位</t>
  </si>
  <si>
    <t>小绿人</t>
  </si>
  <si>
    <t>北京绿星小绿人科技有限公司</t>
  </si>
  <si>
    <t>2019-02-16</t>
  </si>
  <si>
    <t>2022-02-15</t>
  </si>
  <si>
    <t>F1-ZD-01</t>
  </si>
  <si>
    <t>名表维修</t>
  </si>
  <si>
    <t>北京天时兴业科贸有限公司</t>
  </si>
  <si>
    <t>维修服务</t>
  </si>
  <si>
    <t>5年7个月</t>
  </si>
  <si>
    <t>2017-03-01</t>
  </si>
  <si>
    <t>F1-ZD-02</t>
  </si>
  <si>
    <t>2020-08-01</t>
  </si>
  <si>
    <t>F1-ZD-03</t>
  </si>
  <si>
    <t>老庙黄金</t>
  </si>
  <si>
    <t>翁春喜</t>
  </si>
  <si>
    <t>6年零4个月零2天</t>
  </si>
  <si>
    <t>2015-11-30</t>
  </si>
  <si>
    <t>F1-ZD-04</t>
  </si>
  <si>
    <t>中国黄金</t>
  </si>
  <si>
    <t>F1-ZD-10</t>
  </si>
  <si>
    <t>爱回收</t>
  </si>
  <si>
    <t>上海悦亿网络信息技术有限公司</t>
  </si>
  <si>
    <t>4年4个月2天</t>
  </si>
  <si>
    <t>2018-05-30</t>
  </si>
  <si>
    <t>F2-SE-08,F3-SE-15,F4-SE-19,F4-SE-20,F1-SE-08,F4-SE-05</t>
  </si>
  <si>
    <t>乐摩吧</t>
  </si>
  <si>
    <t>北京硕人商贸有限责任公司</t>
  </si>
  <si>
    <t>F4-SE-15,F1-SE-06,F1-SE-07</t>
  </si>
  <si>
    <t>到期不续</t>
  </si>
  <si>
    <t>F2</t>
  </si>
  <si>
    <t>F2-22</t>
  </si>
  <si>
    <t>屈臣氏</t>
  </si>
  <si>
    <t>北京屈臣氏个人用品连锁商店有限公司</t>
  </si>
  <si>
    <t>11年4个月16天</t>
  </si>
  <si>
    <t>2013-06-01</t>
  </si>
  <si>
    <t>2024-10-16</t>
  </si>
  <si>
    <t>F2-02</t>
  </si>
  <si>
    <t>May Emotion</t>
  </si>
  <si>
    <t>北京百氏万达国际贸易有限公司</t>
  </si>
  <si>
    <t>内衣</t>
  </si>
  <si>
    <t>8年7个月</t>
  </si>
  <si>
    <t>2014-03-01</t>
  </si>
  <si>
    <t>F2-01B</t>
  </si>
  <si>
    <t>希小白</t>
  </si>
  <si>
    <t>北京希小白科技有限公司</t>
  </si>
  <si>
    <t>F2-11</t>
  </si>
  <si>
    <t>热风</t>
  </si>
  <si>
    <t>北京热风时尚贸易有限公司</t>
  </si>
  <si>
    <t>6年零12天</t>
  </si>
  <si>
    <t>2015-12-26</t>
  </si>
  <si>
    <t>2022-01-06</t>
  </si>
  <si>
    <t>F2-13A</t>
  </si>
  <si>
    <t>古田森</t>
  </si>
  <si>
    <t>北京古田森商贸有限公司</t>
  </si>
  <si>
    <t>6年1个月11天</t>
  </si>
  <si>
    <t>2016-07-21</t>
  </si>
  <si>
    <t>F2-13B</t>
  </si>
  <si>
    <t>73451</t>
  </si>
  <si>
    <t>萨格帝诺（Sagreottino）、康姗（KANSION）</t>
  </si>
  <si>
    <t>鞋包集合店</t>
  </si>
  <si>
    <t>1年1个月1天</t>
  </si>
  <si>
    <t>2021-10-31</t>
  </si>
  <si>
    <t>F2-25</t>
  </si>
  <si>
    <t>汉风佰格</t>
  </si>
  <si>
    <t>北京汉风佰格服饰有限公司</t>
  </si>
  <si>
    <t>4年9个月</t>
  </si>
  <si>
    <t>F2-34</t>
  </si>
  <si>
    <t>麦颂</t>
  </si>
  <si>
    <t>北京信合一诺文化传媒有限公司</t>
  </si>
  <si>
    <t>娱乐体验</t>
  </si>
  <si>
    <t>KTV</t>
  </si>
  <si>
    <t>7年零13天</t>
  </si>
  <si>
    <t>2017-02-01</t>
  </si>
  <si>
    <t>2024-02-13</t>
  </si>
  <si>
    <t>F2-14,F2-15</t>
  </si>
  <si>
    <t>百武西</t>
  </si>
  <si>
    <t>北京武西商贸有限公司</t>
  </si>
  <si>
    <t>5年1个月7天</t>
  </si>
  <si>
    <t>F2-ZD-07</t>
  </si>
  <si>
    <t>雅梵诺</t>
  </si>
  <si>
    <t>北京阿蒙吉商贸有限公司</t>
  </si>
  <si>
    <t>2017-09-01</t>
  </si>
  <si>
    <t>F2-ZD-04</t>
  </si>
  <si>
    <t>结绳匠</t>
  </si>
  <si>
    <t>北京千珺雅苑企业管理有限公司</t>
  </si>
  <si>
    <t>5年零14天</t>
  </si>
  <si>
    <t>2017-08-18</t>
  </si>
  <si>
    <t>F2-04B</t>
  </si>
  <si>
    <t>时尚殿堂spa</t>
  </si>
  <si>
    <t>北京时尚殿堂美容美发有限责任公司</t>
  </si>
  <si>
    <t>美容美发</t>
  </si>
  <si>
    <t>4年6个月</t>
  </si>
  <si>
    <t>2017-12-01</t>
  </si>
  <si>
    <t>F2-35</t>
  </si>
  <si>
    <t>F2-29A</t>
  </si>
  <si>
    <t>KAMA</t>
  </si>
  <si>
    <t>北京卡玛原创服装服饰有限公司</t>
  </si>
  <si>
    <t>3年6个月</t>
  </si>
  <si>
    <t>F2-30B</t>
  </si>
  <si>
    <t>The green party</t>
  </si>
  <si>
    <t>龚维交</t>
  </si>
  <si>
    <t>3年零16天</t>
  </si>
  <si>
    <t>2018-11-15</t>
  </si>
  <si>
    <t>F2-30A</t>
  </si>
  <si>
    <t>尚品宅配</t>
  </si>
  <si>
    <t>雍家兵</t>
  </si>
  <si>
    <t>3年零1个月零6天</t>
  </si>
  <si>
    <t>2018-12-26</t>
  </si>
  <si>
    <t>F2-29B</t>
  </si>
  <si>
    <t>F2-ZD-02</t>
  </si>
  <si>
    <t>樊文花</t>
  </si>
  <si>
    <t>钱秀梅</t>
  </si>
  <si>
    <t>2019-04-01</t>
  </si>
  <si>
    <t>F2-09</t>
  </si>
  <si>
    <t>织悟</t>
  </si>
  <si>
    <t>北京盛唐风韵商贸有限公司</t>
  </si>
  <si>
    <t>3年1个月</t>
  </si>
  <si>
    <t>2019-06-01</t>
  </si>
  <si>
    <t>F2-26</t>
  </si>
  <si>
    <t>名创优品</t>
  </si>
  <si>
    <t>王莹</t>
  </si>
  <si>
    <t>家居/杂货</t>
  </si>
  <si>
    <t>2年7个月</t>
  </si>
  <si>
    <t>2019-08-01</t>
  </si>
  <si>
    <t>F2-ZD-03</t>
  </si>
  <si>
    <t>爱机百变</t>
  </si>
  <si>
    <t>北京壳果点点科技有限公司</t>
  </si>
  <si>
    <t>2019-10-13</t>
  </si>
  <si>
    <t>2022-10-12</t>
  </si>
  <si>
    <t>F2-ZD-05</t>
  </si>
  <si>
    <t>RELX悦刻电子烟</t>
  </si>
  <si>
    <t>北京聚康盛贸易有限公司</t>
  </si>
  <si>
    <t>F2-KF-01</t>
  </si>
  <si>
    <t>TOPFEELING库房</t>
  </si>
  <si>
    <t>F2-12</t>
  </si>
  <si>
    <t>JESSY LINE</t>
  </si>
  <si>
    <t>张微娜</t>
  </si>
  <si>
    <t>2年2个月</t>
  </si>
  <si>
    <t>F2-33</t>
  </si>
  <si>
    <t>F2-ZD-01</t>
  </si>
  <si>
    <t>F2-20/21</t>
  </si>
  <si>
    <t>西遇</t>
  </si>
  <si>
    <t>1年零7个月</t>
  </si>
  <si>
    <t>F2-04A</t>
  </si>
  <si>
    <t>都市丽人</t>
  </si>
  <si>
    <t>北京暄诚贸易有限公司</t>
  </si>
  <si>
    <t>F2-01A</t>
  </si>
  <si>
    <t>polo sport特卖</t>
  </si>
  <si>
    <t>桐乡耀林贸易有限公司</t>
  </si>
  <si>
    <t>男装</t>
  </si>
  <si>
    <t>2个月</t>
  </si>
  <si>
    <t>2021-11-01</t>
  </si>
  <si>
    <t>F2-10</t>
  </si>
  <si>
    <t>回力/飞跃</t>
  </si>
  <si>
    <t>王刚</t>
  </si>
  <si>
    <t>1年6个月20天</t>
  </si>
  <si>
    <t>2020-09-11</t>
  </si>
  <si>
    <t>F2-ZD-08</t>
  </si>
  <si>
    <t>YOOZ</t>
  </si>
  <si>
    <t>北京宝胜利和科技有限公司</t>
  </si>
  <si>
    <t>电器</t>
  </si>
  <si>
    <t>1年零10天</t>
  </si>
  <si>
    <t>2020-12-22</t>
  </si>
  <si>
    <t>F2-23</t>
  </si>
  <si>
    <t>CARTELO特卖</t>
  </si>
  <si>
    <t>上海新和兆企业发展有限公司</t>
  </si>
  <si>
    <t>11个月13天</t>
  </si>
  <si>
    <t>2020-12-19</t>
  </si>
  <si>
    <t>F2-24</t>
  </si>
  <si>
    <t>思可菲亚</t>
  </si>
  <si>
    <t>北京曲威吕馨服装服饰有限公司</t>
  </si>
  <si>
    <t>F2-27</t>
  </si>
  <si>
    <t>松山棉店</t>
  </si>
  <si>
    <t>北京松松成林服饰有限公司</t>
  </si>
  <si>
    <t>F2-05</t>
  </si>
  <si>
    <t>青橙照相馆</t>
  </si>
  <si>
    <t>北京鸿歌科技有限公司</t>
  </si>
  <si>
    <t>2023-07-31</t>
  </si>
  <si>
    <t>F2-31</t>
  </si>
  <si>
    <t>F2-32</t>
  </si>
  <si>
    <t>F2-36</t>
  </si>
  <si>
    <t>F2-28A/28B</t>
  </si>
  <si>
    <t>F3</t>
  </si>
  <si>
    <t>F3-04/05</t>
  </si>
  <si>
    <t>时尚殿堂</t>
  </si>
  <si>
    <t>9年6个月</t>
  </si>
  <si>
    <t>2012-12-01</t>
  </si>
  <si>
    <t>F3-12</t>
  </si>
  <si>
    <t>22905_1</t>
  </si>
  <si>
    <t>菲尔德国际教育</t>
  </si>
  <si>
    <t>北京易轻松教育咨询有限公司</t>
  </si>
  <si>
    <t>英语</t>
  </si>
  <si>
    <t>9年零2个月零20天</t>
  </si>
  <si>
    <t>2013-03-12</t>
  </si>
  <si>
    <t>F3-14</t>
  </si>
  <si>
    <t>乐友</t>
  </si>
  <si>
    <t>8年零6天</t>
  </si>
  <si>
    <t>2013-06-25</t>
  </si>
  <si>
    <t>F3-ZD-09</t>
  </si>
  <si>
    <t>战火金刚</t>
  </si>
  <si>
    <t>王艳秋</t>
  </si>
  <si>
    <t>电子竞技</t>
  </si>
  <si>
    <t>6年零11天</t>
  </si>
  <si>
    <t>2016-06-20</t>
  </si>
  <si>
    <t>F3-19</t>
  </si>
  <si>
    <t>B.DUCK KIDS（小黄鸭）</t>
  </si>
  <si>
    <t>张丽娜</t>
  </si>
  <si>
    <t>时尚童装</t>
  </si>
  <si>
    <t>2021-08-23</t>
  </si>
  <si>
    <t>2023-08-22</t>
  </si>
  <si>
    <t>F3-01</t>
  </si>
  <si>
    <t>一品焖锅</t>
  </si>
  <si>
    <t>北京一品佳汇餐饮管理有限公司回龙观分店</t>
  </si>
  <si>
    <t>蛙锅/焖锅/肉蟹煲</t>
  </si>
  <si>
    <t>5年零10个月</t>
  </si>
  <si>
    <t>2017-08-01</t>
  </si>
  <si>
    <t>F3-06A</t>
  </si>
  <si>
    <t>Queen  s  Nail</t>
  </si>
  <si>
    <t>李靖</t>
  </si>
  <si>
    <t>F3-07</t>
  </si>
  <si>
    <t>巴拉巴拉</t>
  </si>
  <si>
    <t>北京巴拉巴拉服饰有限公司</t>
  </si>
  <si>
    <t>4年零1个月</t>
  </si>
  <si>
    <t>F3-17,F3-18</t>
  </si>
  <si>
    <t>adidas kids</t>
  </si>
  <si>
    <t>北京奇妙佳儿童用品有限责任公司</t>
  </si>
  <si>
    <t>运动童装</t>
  </si>
  <si>
    <t>F3-29</t>
  </si>
  <si>
    <t>贝乐童话</t>
  </si>
  <si>
    <t>5年2个月</t>
  </si>
  <si>
    <t>2018-04-01</t>
  </si>
  <si>
    <t>F3-15A</t>
  </si>
  <si>
    <t>金宝贝</t>
  </si>
  <si>
    <t>5年零2个月零16天</t>
  </si>
  <si>
    <t>2018-07-15</t>
  </si>
  <si>
    <t>2023-09-30</t>
  </si>
  <si>
    <t>F3-06B</t>
  </si>
  <si>
    <t>艺术伞</t>
  </si>
  <si>
    <t>F3-ZD-02</t>
  </si>
  <si>
    <t>卡雷拉</t>
  </si>
  <si>
    <t>张勇</t>
  </si>
  <si>
    <t>小型娱乐</t>
  </si>
  <si>
    <t>2年9个月</t>
  </si>
  <si>
    <t>2019-05-01</t>
  </si>
  <si>
    <t>F3-31</t>
  </si>
  <si>
    <t>小星DIY手工坊</t>
  </si>
  <si>
    <t>曹玉莲</t>
  </si>
  <si>
    <t>4年</t>
  </si>
  <si>
    <t>2018-06-01</t>
  </si>
  <si>
    <t>F3-13D</t>
  </si>
  <si>
    <t>40966_1</t>
  </si>
  <si>
    <t>kadamoo</t>
  </si>
  <si>
    <t>北京咖搭姆教育科技有限公司</t>
  </si>
  <si>
    <t>科技机器人</t>
  </si>
  <si>
    <t>5年零1个月零1天</t>
  </si>
  <si>
    <t>F3-10/11</t>
  </si>
  <si>
    <t>Kidsland</t>
  </si>
  <si>
    <t>北京孩思乐商业有限公司</t>
  </si>
  <si>
    <t>玩具</t>
  </si>
  <si>
    <t>3年零6个月零21天</t>
  </si>
  <si>
    <t>2018-06-11</t>
  </si>
  <si>
    <t>F3-ZD-10</t>
  </si>
  <si>
    <t>小火车</t>
  </si>
  <si>
    <t>3年9个月</t>
  </si>
  <si>
    <t>2018-05-01</t>
  </si>
  <si>
    <t>F3-ZD-13C</t>
  </si>
  <si>
    <t>阿布溜溜</t>
  </si>
  <si>
    <t>北京阿布溜溜体育发展有限公司</t>
  </si>
  <si>
    <t>冰雪运动</t>
  </si>
  <si>
    <t>3年4个月</t>
  </si>
  <si>
    <t>F3-24A,F3-24B</t>
  </si>
  <si>
    <t>布布斯Book Buzz</t>
  </si>
  <si>
    <t>北京多特凯兹文化发展有限公司</t>
  </si>
  <si>
    <t>儿童书店/绘本馆</t>
  </si>
  <si>
    <t>2021-08-20</t>
  </si>
  <si>
    <t>F3-24D</t>
  </si>
  <si>
    <t>采薇寻美MINI博物馆</t>
  </si>
  <si>
    <t>北京弦知音文化传播有限公司</t>
  </si>
  <si>
    <t>2年零26天</t>
  </si>
  <si>
    <t>2021-09-05</t>
  </si>
  <si>
    <t>F3-ZD-04</t>
  </si>
  <si>
    <t>巧虎乐智小天地</t>
  </si>
  <si>
    <t>倍乐生商贸（中国）有限公司</t>
  </si>
  <si>
    <t>桌椅文具</t>
  </si>
  <si>
    <t>F3-ZD-05</t>
  </si>
  <si>
    <t>梅你不渴</t>
  </si>
  <si>
    <t>北京宏瑞佳品餐饮管理有限公司</t>
  </si>
  <si>
    <t>F3-ZD-01</t>
  </si>
  <si>
    <t>驾驶轴动力</t>
  </si>
  <si>
    <t>张健</t>
  </si>
  <si>
    <t>F3-27A</t>
  </si>
  <si>
    <t>新辣道</t>
  </si>
  <si>
    <t>北京新辣道餐饮管理有限公司</t>
  </si>
  <si>
    <t>川渝火锅</t>
  </si>
  <si>
    <t>5年零2个月零11天</t>
  </si>
  <si>
    <t>2019-10-21</t>
  </si>
  <si>
    <t>2024-12-31</t>
  </si>
  <si>
    <t>F3-21</t>
  </si>
  <si>
    <t>贝友乐趣</t>
  </si>
  <si>
    <t>贝友乐趣（北京）文化科技有限公司</t>
  </si>
  <si>
    <t>2年零2个月零4天</t>
  </si>
  <si>
    <t>2019-12-25</t>
  </si>
  <si>
    <t>F3-26B</t>
  </si>
  <si>
    <t>茶太良品</t>
  </si>
  <si>
    <t>北京茶太良品餐饮管理有限公司昌平分公司</t>
  </si>
  <si>
    <t>F3-KF-03</t>
  </si>
  <si>
    <t>羽思图库房</t>
  </si>
  <si>
    <t>1年6个月</t>
  </si>
  <si>
    <t>F3-20</t>
  </si>
  <si>
    <t>棉果果</t>
  </si>
  <si>
    <t>北京棉果果科技发展有限公司第一分公司</t>
  </si>
  <si>
    <t>2020-07-01</t>
  </si>
  <si>
    <t>F3-32</t>
  </si>
  <si>
    <t>2平米</t>
  </si>
  <si>
    <t>北京拓进商贸有限公司</t>
  </si>
  <si>
    <t>F3-ZD-08</t>
  </si>
  <si>
    <t>乐客VR</t>
  </si>
  <si>
    <t>田凯</t>
  </si>
  <si>
    <t>科技体验</t>
  </si>
  <si>
    <t>1年零26天</t>
  </si>
  <si>
    <t>2021-08-06</t>
  </si>
  <si>
    <t>F3-03</t>
  </si>
  <si>
    <t>思蒂欧兰</t>
  </si>
  <si>
    <t>北京佳韵轩美容有限公司</t>
  </si>
  <si>
    <t>2020-12-01</t>
  </si>
  <si>
    <t>2022-12-31</t>
  </si>
  <si>
    <t>F3-KF-02</t>
  </si>
  <si>
    <t>上官家库房</t>
  </si>
  <si>
    <t>天津集飞餐饮管理有限公司北京回龙观分公司</t>
  </si>
  <si>
    <t>融合菜</t>
  </si>
  <si>
    <t>2021-10-01</t>
  </si>
  <si>
    <t>F3-15B</t>
  </si>
  <si>
    <t>多多飞侠乐园</t>
  </si>
  <si>
    <t>北京多多乐园文化发展有限公司</t>
  </si>
  <si>
    <t>2020-11-15</t>
  </si>
  <si>
    <t>F3-ZD-06</t>
  </si>
  <si>
    <t>73599</t>
  </si>
  <si>
    <t>中草集</t>
  </si>
  <si>
    <t>谢莹</t>
  </si>
  <si>
    <t>1年零1天</t>
  </si>
  <si>
    <t>F3-26A</t>
  </si>
  <si>
    <t>51086_1</t>
  </si>
  <si>
    <t>BeauFit</t>
  </si>
  <si>
    <t>北京享燃健康科技有限公司回龙观分公司</t>
  </si>
  <si>
    <t>健身/瑜伽/搏击</t>
  </si>
  <si>
    <t>2年零7个月零9天</t>
  </si>
  <si>
    <t>2020-12-23</t>
  </si>
  <si>
    <t>LF3-03</t>
  </si>
  <si>
    <t>申泽智能SUNZEE</t>
  </si>
  <si>
    <t>北京思友文化旅游发展有限公司</t>
  </si>
  <si>
    <t>F3-08</t>
  </si>
  <si>
    <t>日出茶太 Chatime</t>
  </si>
  <si>
    <t>孙海芹</t>
  </si>
  <si>
    <t>1年零20天</t>
  </si>
  <si>
    <t>2020-12-12</t>
  </si>
  <si>
    <t>F3-25</t>
  </si>
  <si>
    <t>舞蕾舞蹈</t>
  </si>
  <si>
    <t>北京蓝泉文化艺术有限公司</t>
  </si>
  <si>
    <t>舞蹈</t>
  </si>
  <si>
    <t>2年零4个月零2天</t>
  </si>
  <si>
    <t>2020-09-30</t>
  </si>
  <si>
    <t>2023-01-31</t>
  </si>
  <si>
    <t>F3-02</t>
  </si>
  <si>
    <t>霸蛮</t>
  </si>
  <si>
    <t>范士威</t>
  </si>
  <si>
    <t>中式快餐</t>
  </si>
  <si>
    <t>2021-09-20</t>
  </si>
  <si>
    <t>2024-03-19</t>
  </si>
  <si>
    <t>F3-09</t>
  </si>
  <si>
    <t>思邈爷爷</t>
  </si>
  <si>
    <t>辽宁散养娃健康管理有限公司</t>
  </si>
  <si>
    <t>儿童推拿</t>
  </si>
  <si>
    <t>2021-06-01</t>
  </si>
  <si>
    <t>F3-13A</t>
  </si>
  <si>
    <t>成果美育</t>
  </si>
  <si>
    <t>成果美育(北京)国际教育科技发展有限公司</t>
  </si>
  <si>
    <t>2021-10-15</t>
  </si>
  <si>
    <t>2024-04-14</t>
  </si>
  <si>
    <t>F3-13b</t>
  </si>
  <si>
    <t>F3-16</t>
  </si>
  <si>
    <t>匠艺时尚</t>
  </si>
  <si>
    <t>匠艺（北京）婚纱摄影有限公司</t>
  </si>
  <si>
    <t>2021-05-01</t>
  </si>
  <si>
    <t>F3-27B,F3-28</t>
  </si>
  <si>
    <t>比格</t>
  </si>
  <si>
    <t xml:space="preserve">北京比格送餐饮管理有限责任公司 </t>
  </si>
  <si>
    <t>2021-05-18</t>
  </si>
  <si>
    <t>2026-05-17</t>
  </si>
  <si>
    <t>F3-30</t>
  </si>
  <si>
    <t>金宝贝早教（Gymboree）</t>
  </si>
  <si>
    <t>2021-07-15</t>
  </si>
  <si>
    <t>2023-07-14</t>
  </si>
  <si>
    <t>F4</t>
  </si>
  <si>
    <t>F4-07</t>
  </si>
  <si>
    <t>呷哺呷哺</t>
  </si>
  <si>
    <t>呷哺呷哺餐饮管理有限公司</t>
  </si>
  <si>
    <t>9年零5个月零24天</t>
  </si>
  <si>
    <t>2022-05-24</t>
  </si>
  <si>
    <t>F4-111</t>
  </si>
  <si>
    <t>沃美影院</t>
  </si>
  <si>
    <t>北京沃美世聚广源文化有限公司</t>
  </si>
  <si>
    <t>影院</t>
  </si>
  <si>
    <t>10年零6个月</t>
  </si>
  <si>
    <t>2013-11-12</t>
  </si>
  <si>
    <t>2024-05-11</t>
  </si>
  <si>
    <t>F4-ZD-02</t>
  </si>
  <si>
    <t>COEE可逸</t>
  </si>
  <si>
    <t>北京昌瑞恒泰通信设备有限公司</t>
  </si>
  <si>
    <t>1年零13天</t>
  </si>
  <si>
    <t>2021-08-19</t>
  </si>
  <si>
    <t>F4-02B</t>
  </si>
  <si>
    <t>小恒水饺</t>
  </si>
  <si>
    <t>福元十品（北京）餐饮管理有限公司</t>
  </si>
  <si>
    <t>7个月</t>
  </si>
  <si>
    <t>F4-09B</t>
  </si>
  <si>
    <t>椰皇泰</t>
  </si>
  <si>
    <t>4年1个月26天</t>
  </si>
  <si>
    <t>2018-03-06</t>
  </si>
  <si>
    <t>F4-10A</t>
  </si>
  <si>
    <t>正一味</t>
  </si>
  <si>
    <t xml:space="preserve">北京市正一味快餐管理有限公司                                                    </t>
  </si>
  <si>
    <t>4年1个月7天</t>
  </si>
  <si>
    <t>F4-15</t>
  </si>
  <si>
    <t>阿甘锅盔</t>
  </si>
  <si>
    <t>特色小吃</t>
  </si>
  <si>
    <t>4年零23天</t>
  </si>
  <si>
    <t>2018-06-08</t>
  </si>
  <si>
    <t>F4-14</t>
  </si>
  <si>
    <t>阿芮烤鸡爪开味花甲</t>
  </si>
  <si>
    <t>3年零11个月零8天</t>
  </si>
  <si>
    <t>2018-07-23</t>
  </si>
  <si>
    <t>F4-06C</t>
  </si>
  <si>
    <t>亚米亚米</t>
  </si>
  <si>
    <t>北京其林餐饮管理有限公司</t>
  </si>
  <si>
    <t>3年零17天</t>
  </si>
  <si>
    <t>2019-04-14</t>
  </si>
  <si>
    <t>F4-03</t>
  </si>
  <si>
    <t>姐弟俩</t>
  </si>
  <si>
    <t>北京风之城科技有限公司</t>
  </si>
  <si>
    <t>3年零1个月</t>
  </si>
  <si>
    <t>F4-ZD-18</t>
  </si>
  <si>
    <t>举个栗子</t>
  </si>
  <si>
    <t>北京普乐家食品科技有限公司</t>
  </si>
  <si>
    <t>2019-11-24</t>
  </si>
  <si>
    <t>F4-KF-01</t>
  </si>
  <si>
    <t>F4-04</t>
  </si>
  <si>
    <t>绿茶</t>
  </si>
  <si>
    <t>4年零10个月</t>
  </si>
  <si>
    <t>2024-10-31</t>
  </si>
  <si>
    <t>F4-05B</t>
  </si>
  <si>
    <t>江边城外</t>
  </si>
  <si>
    <t>美诺（北京）餐饮管理有限公司</t>
  </si>
  <si>
    <t>烤鱼</t>
  </si>
  <si>
    <t>3年零2个月零12天</t>
  </si>
  <si>
    <t>2019-12-27</t>
  </si>
  <si>
    <t>2023-03-10</t>
  </si>
  <si>
    <t>F4-05C</t>
  </si>
  <si>
    <t>和府捞面</t>
  </si>
  <si>
    <t>3年1个月14天</t>
  </si>
  <si>
    <t>2021-02-15</t>
  </si>
  <si>
    <t>2024-03-31</t>
  </si>
  <si>
    <t>F4-06A,F4-13</t>
  </si>
  <si>
    <t>井格</t>
  </si>
  <si>
    <t>北京盛世兴旺餐饮店</t>
  </si>
  <si>
    <t>2年零9个月</t>
  </si>
  <si>
    <t>F4-02A</t>
  </si>
  <si>
    <t>潼爱潼乡油泼面</t>
  </si>
  <si>
    <t>北京馋猫小子餐饮有限公司</t>
  </si>
  <si>
    <t>F4-06B</t>
  </si>
  <si>
    <t>渝是乎</t>
  </si>
  <si>
    <t>北京渝与鱼遇餐饮管理有限公司</t>
  </si>
  <si>
    <t>3年零9天</t>
  </si>
  <si>
    <t>2020-07-07</t>
  </si>
  <si>
    <t>2023-07-15</t>
  </si>
  <si>
    <t>F4-KF-02</t>
  </si>
  <si>
    <t>都市丽人库房</t>
  </si>
  <si>
    <t>F4-ZD-01A</t>
  </si>
  <si>
    <t>久久丫/玩儿串串</t>
  </si>
  <si>
    <t>陈永仁</t>
  </si>
  <si>
    <t>2年零1天</t>
  </si>
  <si>
    <t>2020-10-31</t>
  </si>
  <si>
    <t>F4-12</t>
  </si>
  <si>
    <t>巴四</t>
  </si>
  <si>
    <t>北京七小厨餐饮管理有限公司</t>
  </si>
  <si>
    <t>2年零7个月零15天</t>
  </si>
  <si>
    <t>2020-11-01</t>
  </si>
  <si>
    <t>2023-06-15</t>
  </si>
  <si>
    <t>F4-09A</t>
  </si>
  <si>
    <t>上官家</t>
  </si>
  <si>
    <t>1年零11个月</t>
  </si>
  <si>
    <t>F4-ZD-05</t>
  </si>
  <si>
    <t>F4-01</t>
  </si>
  <si>
    <t>阿香米线</t>
  </si>
  <si>
    <t>北京阿香餐饮管理有限公司</t>
  </si>
  <si>
    <t>3年零30天</t>
  </si>
  <si>
    <t>2020-12-21</t>
  </si>
  <si>
    <t>2024-01-19</t>
  </si>
  <si>
    <t>F4-05</t>
  </si>
  <si>
    <t>金牌汉拿山</t>
  </si>
  <si>
    <t>北京汉拿山金鑫餐饮管理有限公司昌平回龙观分店</t>
  </si>
  <si>
    <t>烤肉</t>
  </si>
  <si>
    <t>2年零3个月零1天</t>
  </si>
  <si>
    <t>2023-04-01</t>
  </si>
  <si>
    <t>F4-SE-04</t>
  </si>
  <si>
    <t>蛋壳窝扭蛋</t>
  </si>
  <si>
    <t>九零盛点（北京）商贸有限公司</t>
  </si>
  <si>
    <t>2021-06-23</t>
  </si>
  <si>
    <t>2022-06-22</t>
  </si>
  <si>
    <t>F4-ZD-03</t>
  </si>
  <si>
    <t>可C可D果蔬氧吧</t>
  </si>
  <si>
    <t>郭艳红</t>
  </si>
  <si>
    <t>F4-SE-16</t>
  </si>
  <si>
    <t>敲可爱美拍屋</t>
  </si>
  <si>
    <t>一年3个月7天</t>
  </si>
  <si>
    <t>2021-04-24</t>
  </si>
  <si>
    <t>总可出租面积</t>
    <phoneticPr fontId="140" type="noConversion"/>
  </si>
  <si>
    <t>已出租面积</t>
    <phoneticPr fontId="140" type="noConversion"/>
  </si>
  <si>
    <t>2019年</t>
    <phoneticPr fontId="140" type="noConversion"/>
  </si>
  <si>
    <t>2020年</t>
    <phoneticPr fontId="140" type="noConversion"/>
  </si>
  <si>
    <t>2021年预计</t>
    <phoneticPr fontId="140" type="noConversion"/>
  </si>
  <si>
    <t>燃气</t>
  </si>
  <si>
    <t>郑燚</t>
  </si>
  <si>
    <t>崔锴</t>
  </si>
  <si>
    <t>与邢轲亦庄华联统一计取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</si>
</sst>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10804]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微软雅黑"/>
      <family val="2"/>
      <charset val="134"/>
    </font>
    <font>
      <sz val="12"/>
      <color indexed="8"/>
      <name val="宋体"/>
      <family val="3"/>
      <charset val="134"/>
      <scheme val="major"/>
    </font>
    <font>
      <sz val="12"/>
      <name val="宋体"/>
      <family val="3"/>
      <charset val="134"/>
      <scheme val="major"/>
    </font>
    <font>
      <sz val="9"/>
      <color rgb="FF000000"/>
      <name val="宋体"/>
      <family val="3"/>
      <charset val="134"/>
    </font>
    <font>
      <b/>
      <sz val="9"/>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3" fontId="37" fillId="0" borderId="1"/>
    <xf numFmtId="9" fontId="98" fillId="0" borderId="0" applyFont="0" applyFill="0" applyBorder="0" applyAlignment="0" applyProtection="0">
      <alignment vertical="center"/>
    </xf>
    <xf numFmtId="198" fontId="98" fillId="0" borderId="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0" xfId="0" applyFont="1" applyAlignment="1">
      <alignment vertical="center" wrapText="1"/>
    </xf>
    <xf numFmtId="9" fontId="0" fillId="0" borderId="0" xfId="17" applyFont="1">
      <alignment vertical="center"/>
    </xf>
    <xf numFmtId="2" fontId="0" fillId="0" borderId="0" xfId="0" applyNumberFormat="1">
      <alignment vertical="center"/>
    </xf>
    <xf numFmtId="197" fontId="0" fillId="0" borderId="0" xfId="17" applyNumberFormat="1" applyFont="1">
      <alignment vertical="center"/>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2" fontId="60" fillId="0" borderId="1" xfId="8" applyNumberFormat="1" applyFont="1" applyFill="1" applyBorder="1" applyAlignment="1" applyProtection="1">
      <alignment horizontal="center" vertical="center" wrapText="1"/>
      <protection locked="0"/>
    </xf>
    <xf numFmtId="0" fontId="98" fillId="0" borderId="0" xfId="2" applyFill="1" applyAlignment="1">
      <alignment horizontal="center" vertical="center"/>
    </xf>
    <xf numFmtId="0" fontId="256" fillId="20" borderId="1" xfId="2" applyFont="1" applyFill="1" applyBorder="1" applyAlignment="1">
      <alignment horizontal="center" vertical="center"/>
    </xf>
    <xf numFmtId="177" fontId="256" fillId="20" borderId="1" xfId="2" applyNumberFormat="1" applyFont="1" applyFill="1" applyBorder="1" applyAlignment="1">
      <alignment horizontal="center" vertical="center"/>
    </xf>
    <xf numFmtId="0" fontId="256" fillId="20" borderId="1" xfId="2" applyFont="1" applyFill="1" applyBorder="1" applyAlignment="1">
      <alignment horizontal="center" vertical="center" wrapText="1"/>
    </xf>
    <xf numFmtId="0" fontId="256" fillId="20" borderId="15" xfId="2" applyFont="1" applyFill="1" applyBorder="1" applyAlignment="1">
      <alignment horizontal="center" vertical="center" wrapText="1"/>
    </xf>
    <xf numFmtId="0" fontId="256" fillId="20" borderId="1" xfId="2" applyNumberFormat="1" applyFont="1" applyFill="1" applyBorder="1" applyAlignment="1">
      <alignment horizontal="center" vertical="center" wrapText="1"/>
    </xf>
    <xf numFmtId="0" fontId="99" fillId="0" borderId="0" xfId="2" applyFont="1" applyFill="1" applyAlignment="1">
      <alignment horizontal="center" vertical="center"/>
    </xf>
    <xf numFmtId="0" fontId="177" fillId="0" borderId="1" xfId="2" applyFont="1" applyFill="1" applyBorder="1" applyAlignment="1">
      <alignment horizontal="center" vertical="center"/>
    </xf>
    <xf numFmtId="0" fontId="98" fillId="0" borderId="1" xfId="2" applyNumberFormat="1" applyFill="1" applyBorder="1" applyAlignment="1">
      <alignment horizontal="center" vertical="center"/>
    </xf>
    <xf numFmtId="0" fontId="257" fillId="0" borderId="1" xfId="2" applyFont="1" applyFill="1" applyBorder="1" applyAlignment="1">
      <alignment horizontal="center" vertical="center" wrapText="1"/>
    </xf>
    <xf numFmtId="0" fontId="258" fillId="0" borderId="1" xfId="2" applyFont="1" applyFill="1" applyBorder="1" applyAlignment="1">
      <alignment horizontal="center" vertical="center"/>
    </xf>
    <xf numFmtId="179" fontId="258" fillId="0" borderId="5" xfId="2" applyNumberFormat="1" applyFont="1" applyFill="1" applyBorder="1" applyAlignment="1">
      <alignment horizontal="center" vertical="center"/>
    </xf>
    <xf numFmtId="0" fontId="98" fillId="0" borderId="1" xfId="2" applyFont="1" applyFill="1" applyBorder="1" applyAlignment="1">
      <alignment horizontal="center" vertical="center"/>
    </xf>
    <xf numFmtId="0" fontId="98" fillId="0" borderId="3" xfId="2" applyFont="1" applyFill="1" applyBorder="1" applyAlignment="1">
      <alignment horizontal="center" vertical="center"/>
    </xf>
    <xf numFmtId="0" fontId="258" fillId="0" borderId="3" xfId="2" applyNumberFormat="1" applyFont="1" applyFill="1" applyBorder="1" applyAlignment="1">
      <alignment horizontal="center" vertical="center"/>
    </xf>
    <xf numFmtId="3" fontId="258" fillId="0" borderId="1" xfId="18" applyFont="1" applyFill="1" applyBorder="1" applyAlignment="1">
      <alignment horizontal="center" vertical="center" wrapText="1"/>
    </xf>
    <xf numFmtId="179" fontId="98" fillId="0" borderId="1" xfId="2" applyNumberFormat="1" applyFill="1" applyBorder="1" applyAlignment="1">
      <alignment horizontal="center" vertical="center"/>
    </xf>
    <xf numFmtId="10" fontId="98" fillId="0" borderId="1" xfId="2" applyNumberFormat="1" applyFont="1" applyFill="1" applyBorder="1" applyAlignment="1">
      <alignment horizontal="center" vertical="center"/>
    </xf>
    <xf numFmtId="0" fontId="98" fillId="0" borderId="1" xfId="2" applyFill="1" applyBorder="1" applyAlignment="1">
      <alignment horizontal="center" vertical="center"/>
    </xf>
    <xf numFmtId="0" fontId="98" fillId="0" borderId="0" xfId="2" applyFont="1" applyFill="1" applyAlignment="1">
      <alignment horizontal="center" vertical="center"/>
    </xf>
    <xf numFmtId="49" fontId="98" fillId="0" borderId="1" xfId="2" applyNumberFormat="1" applyFill="1" applyBorder="1" applyAlignment="1">
      <alignment horizontal="center" vertical="center"/>
    </xf>
    <xf numFmtId="0" fontId="98" fillId="0" borderId="0" xfId="2" applyFont="1" applyFill="1" applyAlignment="1">
      <alignment horizontal="left" vertical="center"/>
    </xf>
    <xf numFmtId="0" fontId="259" fillId="0" borderId="160" xfId="2" applyNumberFormat="1" applyFont="1" applyFill="1" applyBorder="1" applyAlignment="1">
      <alignment horizontal="center" vertical="center" wrapText="1" readingOrder="1"/>
    </xf>
    <xf numFmtId="0" fontId="258" fillId="0" borderId="1" xfId="2" applyFont="1" applyFill="1" applyBorder="1" applyAlignment="1">
      <alignment horizontal="center" vertical="center" wrapText="1"/>
    </xf>
    <xf numFmtId="179" fontId="258" fillId="0" borderId="1" xfId="2" applyNumberFormat="1" applyFont="1" applyFill="1" applyBorder="1" applyAlignment="1">
      <alignment horizontal="center" vertical="center"/>
    </xf>
    <xf numFmtId="10" fontId="0" fillId="0" borderId="1" xfId="19" applyNumberFormat="1" applyFont="1" applyFill="1" applyBorder="1" applyAlignment="1">
      <alignment horizontal="center" vertical="center"/>
    </xf>
    <xf numFmtId="14" fontId="98" fillId="0" borderId="1" xfId="2" applyNumberFormat="1" applyFill="1" applyBorder="1" applyAlignment="1">
      <alignment horizontal="center" vertical="center"/>
    </xf>
    <xf numFmtId="0" fontId="98" fillId="0" borderId="0" xfId="2" applyFill="1" applyBorder="1" applyAlignment="1">
      <alignment horizontal="center"/>
    </xf>
    <xf numFmtId="177" fontId="98" fillId="0" borderId="0" xfId="2" applyNumberFormat="1" applyFill="1" applyBorder="1" applyAlignment="1">
      <alignment horizontal="center"/>
    </xf>
    <xf numFmtId="0" fontId="98" fillId="0" borderId="0" xfId="2" applyNumberFormat="1" applyFill="1" applyBorder="1" applyAlignment="1">
      <alignment horizontal="center"/>
    </xf>
    <xf numFmtId="179" fontId="98" fillId="0" borderId="0" xfId="2" applyNumberFormat="1" applyFill="1" applyBorder="1" applyAlignment="1">
      <alignment horizontal="center"/>
    </xf>
    <xf numFmtId="0" fontId="98" fillId="0" borderId="0" xfId="2" applyFill="1" applyAlignment="1">
      <alignment horizontal="center"/>
    </xf>
    <xf numFmtId="0" fontId="98" fillId="0" borderId="0" xfId="2" applyFont="1" applyFill="1" applyBorder="1" applyAlignment="1">
      <alignment horizontal="center"/>
    </xf>
    <xf numFmtId="10" fontId="103" fillId="18" borderId="23" xfId="0" applyNumberFormat="1" applyFont="1" applyFill="1" applyBorder="1" applyAlignment="1" applyProtection="1">
      <alignment vertical="center"/>
      <protection locked="0"/>
    </xf>
    <xf numFmtId="179" fontId="134" fillId="18" borderId="0" xfId="0" applyNumberFormat="1" applyFont="1" applyFill="1" applyAlignment="1" applyProtection="1">
      <alignment vertical="center"/>
      <protection locked="0"/>
    </xf>
    <xf numFmtId="0" fontId="46" fillId="18"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lignment vertical="center"/>
    </xf>
    <xf numFmtId="0" fontId="203" fillId="20" borderId="1" xfId="2" applyFont="1" applyFill="1" applyBorder="1" applyAlignment="1">
      <alignment horizontal="center" vertical="center"/>
    </xf>
    <xf numFmtId="177" fontId="203" fillId="20" borderId="1" xfId="2" applyNumberFormat="1" applyFont="1" applyFill="1" applyBorder="1" applyAlignment="1">
      <alignment horizontal="center" vertical="center"/>
    </xf>
    <xf numFmtId="0" fontId="203" fillId="20" borderId="1" xfId="2" applyNumberFormat="1" applyFont="1" applyFill="1" applyBorder="1" applyAlignment="1">
      <alignment horizontal="center" vertical="center"/>
    </xf>
  </cellXfs>
  <cellStyles count="21">
    <cellStyle name="Change A&amp;ll" xfId="18"/>
    <cellStyle name="百分比" xfId="17" builtinId="5"/>
    <cellStyle name="百分比 2" xfId="14"/>
    <cellStyle name="百分比 3" xfId="19"/>
    <cellStyle name="常规" xfId="0" builtinId="0"/>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估价对象为北京市房地产，为所有。根据《国有土地使用证》[]，估价对象（分摊）出让国有建设用地使用权面积为16578.4平方米，建筑面积为60635.1平方米。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估价对象为北京市房地产,属开发建设的商业项目，该项目尚在开发建设中。根据《国有土地使用证》[]，估价对象（分摊）出让国有建设用地使用权面积为16578.4平方米，规划建筑面积为60635.1平方米。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2022年1月5日</v>
      </c>
    </row>
    <row r="13" spans="1:2" s="1337" customFormat="1">
      <c r="A13" s="1335" t="s">
        <v>1135</v>
      </c>
      <c r="B13" s="1336"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131540</v>
      </c>
    </row>
    <row r="21" spans="1:2" s="1337" customFormat="1">
      <c r="A21" s="1335" t="s">
        <v>1143</v>
      </c>
      <c r="B21" s="1336">
        <f ca="1">'预评函-2'!D7</f>
        <v>21694</v>
      </c>
    </row>
    <row r="22" spans="1:2" s="1337" customFormat="1">
      <c r="A22" s="1335" t="s">
        <v>1144</v>
      </c>
      <c r="B22" s="1336" t="str">
        <f ca="1">'预评函-2'!D6</f>
        <v>壹拾叁亿壹仟伍佰肆拾万元整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131540</v>
      </c>
    </row>
    <row r="35" spans="1:2" s="1337" customFormat="1">
      <c r="A35" s="1335" t="s">
        <v>1183</v>
      </c>
      <c r="B35" s="1336">
        <f ca="1">'预评函-2'!D18</f>
        <v>21694</v>
      </c>
    </row>
    <row r="36" spans="1:2" s="1337" customFormat="1">
      <c r="A36" s="1335" t="s">
        <v>1150</v>
      </c>
      <c r="B36" s="1336" t="str">
        <f ca="1">'预评函-2'!D17</f>
        <v>壹拾叁亿壹仟伍佰肆拾万元整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60635.1</v>
      </c>
    </row>
    <row r="44" spans="1:2" s="1337" customFormat="1">
      <c r="A44" s="1335" t="s">
        <v>1181</v>
      </c>
      <c r="B44" s="1336" t="str">
        <f>'预评函-3'!C2</f>
        <v>(分摊)土地面积</v>
      </c>
    </row>
    <row r="45" spans="1:2" s="1337" customFormat="1">
      <c r="A45" s="1335" t="s">
        <v>1153</v>
      </c>
      <c r="B45" s="1336">
        <f>'预评函-3'!C4</f>
        <v>16578.400000000001</v>
      </c>
    </row>
    <row r="46" spans="1:2" s="1337" customFormat="1">
      <c r="A46" s="1335" t="s">
        <v>1179</v>
      </c>
      <c r="B46" s="1336" t="str">
        <f>'预评函-3'!D2</f>
        <v>出让国有建设用地使用权价值</v>
      </c>
    </row>
    <row r="47" spans="1:2" s="1337" customFormat="1">
      <c r="A47" s="1335" t="s">
        <v>1154</v>
      </c>
      <c r="B47" s="1336">
        <f ca="1">'预评函-3'!D4</f>
        <v>100365</v>
      </c>
    </row>
    <row r="48" spans="1:2" s="1337" customFormat="1">
      <c r="A48" s="1335" t="s">
        <v>1155</v>
      </c>
      <c r="B48" s="1336">
        <f ca="1">'预评函-3'!E4</f>
        <v>16553</v>
      </c>
    </row>
    <row r="49" spans="1:2" s="1337" customFormat="1">
      <c r="A49" s="1335" t="s">
        <v>1156</v>
      </c>
      <c r="B49" s="1336" t="str">
        <f ca="1">'预评函-3'!D5</f>
        <v>壹拾亿零叁佰陆拾伍万元整</v>
      </c>
    </row>
    <row r="50" spans="1:2" s="1337" customFormat="1">
      <c r="A50" s="1335" t="s">
        <v>1180</v>
      </c>
      <c r="B50" s="1336" t="str">
        <f>'预评函-3'!F2</f>
        <v>在建建筑物价值</v>
      </c>
    </row>
    <row r="51" spans="1:2" s="1337" customFormat="1">
      <c r="A51" s="1335" t="s">
        <v>1157</v>
      </c>
      <c r="B51" s="1336">
        <f ca="1">'预评函-3'!F4</f>
        <v>31175</v>
      </c>
    </row>
    <row r="52" spans="1:2" s="1337" customFormat="1">
      <c r="A52" s="1335" t="s">
        <v>1158</v>
      </c>
      <c r="B52" s="1336">
        <f ca="1">'预评函-3'!G4</f>
        <v>5141</v>
      </c>
    </row>
    <row r="53" spans="1:2" s="1337" customFormat="1">
      <c r="A53" s="1335" t="s">
        <v>1186</v>
      </c>
      <c r="B53" s="1336" t="str">
        <f ca="1">'预评函-3'!F5</f>
        <v>叁亿壹仟壹佰柒拾伍万元整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4" t="s">
        <v>3177</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3178</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709" t="s">
        <v>832</v>
      </c>
      <c r="C54" s="1706" t="s">
        <v>1189</v>
      </c>
    </row>
    <row r="55" spans="1:4">
      <c r="A55" s="3305"/>
      <c r="B55" s="1709" t="s">
        <v>833</v>
      </c>
      <c r="C55" s="1706" t="s">
        <v>1190</v>
      </c>
    </row>
    <row r="56" spans="1:4">
      <c r="A56" s="3305"/>
      <c r="B56" s="1709" t="s">
        <v>834</v>
      </c>
      <c r="C56" s="1706" t="s">
        <v>1194</v>
      </c>
    </row>
    <row r="57" spans="1:4">
      <c r="A57" s="330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v>44201</v>
      </c>
      <c r="C3" s="2568" t="s">
        <v>2855</v>
      </c>
      <c r="D3" s="2567">
        <v>44566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4096</v>
      </c>
      <c r="C4" s="2570">
        <f ca="1">SUMIF(注册房地产估价师,B4,估价师及机构信息!B3:B24)</f>
        <v>1120070131</v>
      </c>
      <c r="D4" s="2569" t="s">
        <v>4097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309" t="s">
        <v>2861</v>
      </c>
      <c r="E8" s="2585" t="s">
        <v>3133</v>
      </c>
      <c r="F8" s="2586"/>
      <c r="G8" s="2860"/>
      <c r="H8" s="2860"/>
      <c r="I8" s="2860"/>
      <c r="J8" s="2635"/>
      <c r="K8" s="2810"/>
      <c r="L8" s="2809"/>
      <c r="M8" s="2809"/>
      <c r="N8" s="2635"/>
      <c r="O8" s="2646"/>
      <c r="P8" s="2635"/>
      <c r="Q8" s="2635"/>
      <c r="R8" s="2635"/>
    </row>
    <row r="9" spans="1:28" ht="13.5" thickBot="1">
      <c r="A9" s="2587" t="s">
        <v>2862</v>
      </c>
      <c r="B9" s="2588" t="s">
        <v>3127</v>
      </c>
      <c r="C9" s="2589"/>
      <c r="D9" s="3310"/>
      <c r="E9" s="2588"/>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3132</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53948</v>
      </c>
      <c r="F13" s="965"/>
      <c r="G13" s="965">
        <v>57601</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25.7</v>
      </c>
      <c r="F15" s="2606" t="str">
        <f>IF(B12="出让",IF(F13="","",ROUNDDOWN(MIN((F13-$D$3)/365,F14),2)),F14)</f>
        <v/>
      </c>
      <c r="G15" s="2606">
        <f>IF(B12="出让",IF(G13="","",ROUNDDOWN(MIN((G13-$D$3)/365,G14),2)),G14)</f>
        <v>35.71</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316"/>
      <c r="C16" s="3317"/>
      <c r="D16" s="3318"/>
      <c r="E16" s="2609" t="s">
        <v>2878</v>
      </c>
      <c r="F16" s="3319"/>
      <c r="G16" s="3320"/>
      <c r="H16" s="3320"/>
      <c r="I16" s="3321"/>
      <c r="J16" s="2635"/>
      <c r="K16" s="2814"/>
      <c r="L16" s="2647"/>
      <c r="M16" s="2647"/>
      <c r="N16" s="2705"/>
      <c r="O16" s="2647"/>
      <c r="P16" s="2705"/>
      <c r="Q16" s="2635"/>
      <c r="R16" s="2635"/>
    </row>
    <row r="17" spans="1:28">
      <c r="A17" s="319" t="s">
        <v>2879</v>
      </c>
      <c r="B17" s="308" t="s">
        <v>2880</v>
      </c>
      <c r="C17" s="11">
        <f>'数据-汇总表'!E3</f>
        <v>60635.1</v>
      </c>
      <c r="D17" s="2515" t="s">
        <v>2881</v>
      </c>
      <c r="E17" s="3322" t="s">
        <v>2882</v>
      </c>
      <c r="F17" s="3323"/>
      <c r="G17" s="3323"/>
      <c r="H17" s="3323"/>
      <c r="I17" s="3324"/>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16578.400000000001</v>
      </c>
      <c r="D18" s="1224" t="s">
        <v>2885</v>
      </c>
      <c r="E18" s="3325" t="s">
        <v>2886</v>
      </c>
      <c r="F18" s="3326"/>
      <c r="G18" s="3326"/>
      <c r="H18" s="3326"/>
      <c r="I18" s="3327"/>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3130</v>
      </c>
      <c r="D19" s="1719" t="s">
        <v>2888</v>
      </c>
      <c r="E19" s="1720" t="s">
        <v>3131</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312" t="s">
        <v>2890</v>
      </c>
      <c r="C20" s="3313"/>
      <c r="D20" s="3314" t="s">
        <v>2891</v>
      </c>
      <c r="E20" s="3315"/>
      <c r="F20" s="2844" t="s">
        <v>1681</v>
      </c>
      <c r="G20" s="2861"/>
      <c r="H20" s="2861"/>
      <c r="I20" s="2861"/>
      <c r="J20" s="2635"/>
      <c r="K20" s="331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3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3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29" t="s">
        <v>2898</v>
      </c>
      <c r="B27" s="326" t="s">
        <v>2899</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29"/>
      <c r="B28" s="308" t="s">
        <v>2900</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29"/>
      <c r="B29" s="308" t="s">
        <v>2901</v>
      </c>
      <c r="C29" s="2616" t="s">
        <v>3131</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30"/>
      <c r="B30" s="308" t="s">
        <v>2902</v>
      </c>
      <c r="C30" s="3331"/>
      <c r="D30" s="3332"/>
      <c r="E30" s="2861"/>
      <c r="F30" s="2861"/>
      <c r="G30" s="2861"/>
      <c r="H30" s="2861"/>
      <c r="I30" s="2861"/>
      <c r="J30" s="2635"/>
      <c r="K30" s="2812"/>
      <c r="L30" s="2809"/>
      <c r="M30" s="2809"/>
      <c r="N30" s="2635"/>
      <c r="O30" s="2646"/>
      <c r="P30" s="2635"/>
      <c r="Q30" s="2635"/>
      <c r="R30" s="2635"/>
      <c r="S30" s="2635"/>
      <c r="T30" s="2635"/>
      <c r="U30" s="2635"/>
      <c r="V30" s="2635"/>
    </row>
    <row r="31" spans="1:28">
      <c r="A31" s="3333" t="s">
        <v>2903</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3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3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3137</v>
      </c>
      <c r="C34" s="2184" t="s">
        <v>3138</v>
      </c>
      <c r="D34" s="2184" t="s">
        <v>3139</v>
      </c>
      <c r="E34" s="2184" t="s">
        <v>3140</v>
      </c>
      <c r="F34" s="2184" t="s">
        <v>3141</v>
      </c>
      <c r="G34" s="2184" t="s">
        <v>4095</v>
      </c>
      <c r="H34" s="2184"/>
      <c r="I34" s="2861"/>
      <c r="J34" s="2635"/>
      <c r="K34" s="2623">
        <f>COUNTIF(B34:H34,"——")</f>
        <v>0</v>
      </c>
      <c r="L34" s="329" t="s">
        <v>2905</v>
      </c>
      <c r="M34" s="329" t="s">
        <v>2906</v>
      </c>
      <c r="N34" s="329" t="s">
        <v>2907</v>
      </c>
      <c r="O34" s="329" t="s">
        <v>2908</v>
      </c>
      <c r="P34" s="329" t="s">
        <v>2909</v>
      </c>
      <c r="Q34" s="329" t="s">
        <v>2910</v>
      </c>
      <c r="R34" s="329" t="s">
        <v>2911</v>
      </c>
      <c r="S34" s="3328" t="s">
        <v>2912</v>
      </c>
      <c r="T34" s="2624" t="str">
        <f>NUMBERSTRING(7-K34,1)&amp;"通"</f>
        <v>七通</v>
      </c>
      <c r="U34" s="2635"/>
      <c r="V34" s="2635"/>
    </row>
    <row r="35" spans="1:30">
      <c r="A35" s="2625"/>
      <c r="B35" s="3335" t="s">
        <v>2913</v>
      </c>
      <c r="C35" s="3335"/>
      <c r="D35" s="3335"/>
      <c r="E35" s="3335"/>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8"/>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Z18" sqref="Z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16578.400000000001</v>
      </c>
      <c r="B3" s="14">
        <f>IF(C3="否",G5-AT5,G5)</f>
        <v>60635.1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60635.1</v>
      </c>
      <c r="H5" s="16">
        <f t="shared" ref="H5:AT5" si="0">SUM(H13:H656)</f>
        <v>60635.1</v>
      </c>
      <c r="I5" s="16">
        <f t="shared" si="0"/>
        <v>37962.699999999997</v>
      </c>
      <c r="J5" s="16">
        <f t="shared" si="0"/>
        <v>0</v>
      </c>
      <c r="K5" s="16">
        <f t="shared" si="0"/>
        <v>9766.6</v>
      </c>
      <c r="L5" s="16">
        <f t="shared" si="0"/>
        <v>0</v>
      </c>
      <c r="M5" s="16">
        <f t="shared" si="0"/>
        <v>12905.800000000001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60635.1</v>
      </c>
      <c r="BA5" s="18">
        <f t="shared" si="1"/>
        <v>60635.1</v>
      </c>
      <c r="BB5" s="18">
        <f t="shared" si="1"/>
        <v>37962.699999999997</v>
      </c>
      <c r="BC5" s="18">
        <f t="shared" si="1"/>
        <v>9766.6</v>
      </c>
      <c r="BD5" s="18">
        <f t="shared" si="1"/>
        <v>12905.800000000001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16578.399999999998</v>
      </c>
      <c r="F6" s="16" t="s">
        <v>1</v>
      </c>
      <c r="G6" s="16" t="s">
        <v>2</v>
      </c>
      <c r="H6" s="20">
        <f>SUMIF(I$12:AB$12,"总值",I6:AB6)</f>
        <v>16578.399999999998</v>
      </c>
      <c r="I6" s="16">
        <f t="shared" ref="I6:AB6" si="2">ROUND($A$3*I5/$B$3,2)</f>
        <v>10379.48</v>
      </c>
      <c r="J6" s="16">
        <f t="shared" si="2"/>
        <v>0</v>
      </c>
      <c r="K6" s="16">
        <f t="shared" si="2"/>
        <v>2670.31</v>
      </c>
      <c r="L6" s="16">
        <f t="shared" si="2"/>
        <v>0</v>
      </c>
      <c r="M6" s="16">
        <f t="shared" si="2"/>
        <v>3528.61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16578.400000000001</v>
      </c>
      <c r="AZ6" s="16" t="s">
        <v>3</v>
      </c>
      <c r="BA6" s="16">
        <f>ROUND($AY$6*BA5/$AZ$5,2)</f>
        <v>16578.400000000001</v>
      </c>
      <c r="BB6" s="16">
        <f>ROUND($AY$6*BB5/$AZ$5,2)</f>
        <v>10379.48</v>
      </c>
      <c r="BC6" s="16">
        <f t="shared" ref="BC6:BH6" si="4">ROUND($AY$6*BC5/$AZ$5,2)</f>
        <v>2670.31</v>
      </c>
      <c r="BD6" s="16">
        <f t="shared" si="4"/>
        <v>3528.61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3142</v>
      </c>
      <c r="J9" s="918"/>
      <c r="K9" s="1758" t="s">
        <v>3143</v>
      </c>
      <c r="L9" s="918"/>
      <c r="M9" s="1758" t="s">
        <v>3143</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3153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v>-2</v>
      </c>
      <c r="D13" s="1780" t="s">
        <v>3130</v>
      </c>
      <c r="E13" s="16">
        <f>IF($C$3="是",ROUND($A$3*G13/$B$3,2),ROUND($A$3*(G13-AT13)/$B$3,2))</f>
        <v>2485.83</v>
      </c>
      <c r="F13" s="32"/>
      <c r="G13" s="33">
        <f>H13+AC13+AT13</f>
        <v>9091.8700000000008</v>
      </c>
      <c r="H13" s="20">
        <f>SUMIF(I$12:AB$12,"总值",I13:AB13)</f>
        <v>9091.8700000000008</v>
      </c>
      <c r="I13" s="1781"/>
      <c r="J13" s="1781"/>
      <c r="K13" s="1781"/>
      <c r="L13" s="1781"/>
      <c r="M13" s="1782">
        <v>9091.8700000000008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-2</v>
      </c>
      <c r="AY13" s="1503">
        <f>ROUND($AY$6*AZ13/$AZ$5,2)</f>
        <v>2485.83</v>
      </c>
      <c r="AZ13" s="16">
        <f>BA13+BL13</f>
        <v>9091.8700000000008</v>
      </c>
      <c r="BA13" s="16">
        <f>SUM(BB13:BK13)</f>
        <v>9091.8700000000008</v>
      </c>
      <c r="BB13" s="16">
        <f>IF($D13="是",I13-J13,0)</f>
        <v>0</v>
      </c>
      <c r="BC13" s="16">
        <f>IF($D13="是",K13-L13,0)</f>
        <v>0</v>
      </c>
      <c r="BD13" s="16">
        <f>IF($D13="是",M13-N13,0)</f>
        <v>9091.8700000000008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v>-1</v>
      </c>
      <c r="D14" s="1780" t="s">
        <v>3130</v>
      </c>
      <c r="E14" s="16">
        <f>IF($C$3="是",ROUND($A$3*G14/$B$3,2),ROUND($A$3*(G14-AT14)/$B$3,2))</f>
        <v>3713.09</v>
      </c>
      <c r="F14" s="32"/>
      <c r="G14" s="33">
        <f>H14+AC14+AT14</f>
        <v>13580.53</v>
      </c>
      <c r="H14" s="20">
        <f>SUMIF(I$12:AB$12,"总值",I14:AB14)</f>
        <v>13580.53</v>
      </c>
      <c r="I14" s="1781"/>
      <c r="J14" s="1781"/>
      <c r="K14" s="1781">
        <f>Sheet1!E25</f>
        <v>9766.6</v>
      </c>
      <c r="L14" s="1781"/>
      <c r="M14" s="1782">
        <v>3813.93</v>
      </c>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-1</v>
      </c>
      <c r="AY14" s="1503">
        <f>ROUND($AY$6*AZ14/$AZ$5,2)</f>
        <v>3713.09</v>
      </c>
      <c r="AZ14" s="16">
        <f>BA14+BL14</f>
        <v>13580.53</v>
      </c>
      <c r="BA14" s="16">
        <f>SUM(BB14:BK14)</f>
        <v>13580.53</v>
      </c>
      <c r="BB14" s="16">
        <f>IF($D14="是",I14-J14,0)</f>
        <v>0</v>
      </c>
      <c r="BC14" s="16">
        <f>IF($D14="是",K14-L14,0)</f>
        <v>9766.6</v>
      </c>
      <c r="BD14" s="16">
        <f>IF($D14="是",M14-N14,0)</f>
        <v>3813.93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v>1</v>
      </c>
      <c r="D15" s="1780" t="s">
        <v>3130</v>
      </c>
      <c r="E15" s="16">
        <f>IF($C$3="是",ROUND($A$3*G15/$B$3,2),ROUND($A$3*(G15-AT15)/$B$3,2))</f>
        <v>2597.62</v>
      </c>
      <c r="F15" s="32"/>
      <c r="G15" s="33">
        <f>H15+AC15+AT15</f>
        <v>9500.73</v>
      </c>
      <c r="H15" s="20">
        <f>SUMIF(I$12:AB$12,"总值",I15:AB15)</f>
        <v>9500.73</v>
      </c>
      <c r="I15" s="1781">
        <f>Sheet1!E26</f>
        <v>9500.73</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1</v>
      </c>
      <c r="AY15" s="1503">
        <f>ROUND($AY$6*AZ15/$AZ$5,2)</f>
        <v>2597.62</v>
      </c>
      <c r="AZ15" s="16">
        <f>BA15+BL15</f>
        <v>9500.73</v>
      </c>
      <c r="BA15" s="16">
        <f>SUM(BB15:BK15)</f>
        <v>9500.73</v>
      </c>
      <c r="BB15" s="16">
        <f>IF($D15="是",I15-J15,0)</f>
        <v>9500.73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v>2</v>
      </c>
      <c r="D16" s="1780" t="s">
        <v>3130</v>
      </c>
      <c r="E16" s="16">
        <f>IF($C$3="是",ROUND($A$3*G16/$B$3,2),ROUND($A$3*(G16-AT16)/$B$3,2))</f>
        <v>2529.12</v>
      </c>
      <c r="F16" s="32"/>
      <c r="G16" s="33">
        <f>H16+AC16+AT16</f>
        <v>9250.2000000000007</v>
      </c>
      <c r="H16" s="20">
        <f>SUMIF(I$12:AB$12,"总值",I16:AB16)</f>
        <v>9250.2000000000007</v>
      </c>
      <c r="I16" s="1781">
        <f>Sheet1!E27</f>
        <v>9250.2000000000007</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2</v>
      </c>
      <c r="AY16" s="1503">
        <f>ROUND($AY$6*AZ16/$AZ$5,2)</f>
        <v>2529.12</v>
      </c>
      <c r="AZ16" s="16">
        <f>BA16+BL16</f>
        <v>9250.2000000000007</v>
      </c>
      <c r="BA16" s="16">
        <f>SUM(BB16:BK16)</f>
        <v>9250.2000000000007</v>
      </c>
      <c r="BB16" s="16">
        <f>IF($D16="是",I16-J16,0)</f>
        <v>9250.2000000000007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v>3</v>
      </c>
      <c r="D17" s="1780" t="s">
        <v>3130</v>
      </c>
      <c r="E17" s="16">
        <f>IF($C$3="是",ROUND($A$3*G17/$B$3,2),ROUND($A$3*(G17-AT17)/$B$3,2))</f>
        <v>2552.64</v>
      </c>
      <c r="F17" s="32"/>
      <c r="G17" s="33">
        <f>H17+AC17+AT17</f>
        <v>9336.2199999999993</v>
      </c>
      <c r="H17" s="20">
        <f>SUMIF(I$12:AB$12,"总值",I17:AB17)</f>
        <v>9336.2199999999993</v>
      </c>
      <c r="I17" s="1781">
        <f>Sheet1!E28</f>
        <v>9336.2199999999993</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3</v>
      </c>
      <c r="AY17" s="1503">
        <f>ROUND($AY$6*AZ17/$AZ$5,2)</f>
        <v>2552.64</v>
      </c>
      <c r="AZ17" s="16">
        <f>BA17+BL17</f>
        <v>9336.2199999999993</v>
      </c>
      <c r="BA17" s="16">
        <f>SUM(BB17:BK17)</f>
        <v>9336.2199999999993</v>
      </c>
      <c r="BB17" s="16">
        <f>IF($D17="是",I17-J17,0)</f>
        <v>9336.2199999999993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725">
        <v>4</v>
      </c>
      <c r="D18" s="1780" t="s">
        <v>3130</v>
      </c>
      <c r="E18" s="35">
        <f t="shared" ref="E18:E112" si="7">IF($C$3="是",ROUND($A$3*G18/$B$3,2),ROUND($A$3*(G18-AT18)/$B$3,2))</f>
        <v>2561.23</v>
      </c>
      <c r="F18" s="36"/>
      <c r="G18" s="37">
        <f t="shared" ref="G18:G109" si="8">H18+AC18+AT18</f>
        <v>9367.6299999999992</v>
      </c>
      <c r="H18" s="38">
        <f t="shared" ref="H18:H109" si="9">SUMIF(I$12:AB$12,"总值",I18:AB18)</f>
        <v>9367.6299999999992</v>
      </c>
      <c r="I18" s="1781">
        <f>Sheet1!E29</f>
        <v>9367.6299999999992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4</v>
      </c>
      <c r="AY18" s="42">
        <f t="shared" ref="AY18:AY109" si="14">ROUND($AY$6*AZ18/$AZ$5,2)</f>
        <v>2561.23</v>
      </c>
      <c r="AZ18" s="35">
        <f t="shared" ref="AZ18:AZ109" si="15">BA18+BL18</f>
        <v>9367.6299999999992</v>
      </c>
      <c r="BA18" s="35">
        <f t="shared" ref="BA18:BA109" si="16">SUM(BB18:BK18)</f>
        <v>9367.6299999999992</v>
      </c>
      <c r="BB18" s="35">
        <f t="shared" ref="BB18:BB109" si="17">IF($D18="是",I18-J18,0)</f>
        <v>9367.6299999999992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22" t="s">
        <v>3154</v>
      </c>
      <c r="D19" s="1780" t="s">
        <v>3130</v>
      </c>
      <c r="E19" s="35">
        <f t="shared" si="7"/>
        <v>138.87</v>
      </c>
      <c r="F19" s="36"/>
      <c r="G19" s="37">
        <f t="shared" si="8"/>
        <v>507.92</v>
      </c>
      <c r="H19" s="38">
        <f t="shared" si="9"/>
        <v>507.92</v>
      </c>
      <c r="I19" s="39">
        <f>Sheet1!E30</f>
        <v>507.92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t="str">
        <f t="shared" si="13"/>
        <v>附属用房</v>
      </c>
      <c r="AY19" s="42">
        <f t="shared" si="14"/>
        <v>138.87</v>
      </c>
      <c r="AZ19" s="35">
        <f t="shared" si="15"/>
        <v>507.92</v>
      </c>
      <c r="BA19" s="35">
        <f t="shared" si="16"/>
        <v>507.92</v>
      </c>
      <c r="BB19" s="35">
        <f t="shared" si="17"/>
        <v>507.92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t="s">
        <v>3130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47" t="s">
        <v>1755</v>
      </c>
      <c r="B2" s="3347"/>
      <c r="C2" s="3347"/>
      <c r="D2" s="904" t="s">
        <v>1732</v>
      </c>
      <c r="E2" s="1794" t="s">
        <v>1733</v>
      </c>
      <c r="F2" s="2856"/>
      <c r="G2" s="2847"/>
      <c r="H2" s="2848"/>
      <c r="I2" s="2518" t="s">
        <v>1756</v>
      </c>
      <c r="J2" s="2856"/>
      <c r="K2" s="2856"/>
      <c r="L2" s="2856"/>
      <c r="M2" s="2856"/>
      <c r="N2" s="2858"/>
      <c r="O2" s="2856"/>
      <c r="P2" s="2856"/>
    </row>
    <row r="3" spans="1:16" ht="15.75" thickBot="1">
      <c r="A3" s="3348" t="s">
        <v>1730</v>
      </c>
      <c r="B3" s="3348"/>
      <c r="C3" s="3348"/>
      <c r="D3" s="46">
        <f>'数据-基础表'!AY6</f>
        <v>16578.400000000001</v>
      </c>
      <c r="E3" s="46">
        <f>'数据-基础表'!AZ5</f>
        <v>60635.1</v>
      </c>
      <c r="F3" s="2856"/>
      <c r="G3" s="1279"/>
      <c r="H3" s="1157" t="s">
        <v>1731</v>
      </c>
      <c r="I3" s="964">
        <f>ROUND('数据-基础表'!B3/'数据-基础表'!A3,2)</f>
        <v>3.66</v>
      </c>
      <c r="J3" s="2856"/>
      <c r="K3" s="2856"/>
      <c r="L3" s="2856"/>
      <c r="M3" s="2856"/>
      <c r="N3" s="2858"/>
      <c r="O3" s="2856"/>
      <c r="P3" s="2856"/>
    </row>
    <row r="4" spans="1:16" ht="15">
      <c r="A4" s="3349"/>
      <c r="B4" s="3350"/>
      <c r="C4" s="3351"/>
      <c r="D4" s="1796" t="s">
        <v>1732</v>
      </c>
      <c r="E4" s="1797" t="s">
        <v>1733</v>
      </c>
      <c r="F4" s="2856"/>
      <c r="G4" s="2849" t="s">
        <v>1757</v>
      </c>
      <c r="H4" s="1157" t="s">
        <v>1738</v>
      </c>
      <c r="I4" s="964">
        <f>ROUND(SUMIF('数据-基础表'!I9:AS9,"地上",'数据-基础表'!I5:AS5)/'数据-基础表'!A3,2)</f>
        <v>2.29</v>
      </c>
      <c r="J4" s="2856"/>
      <c r="K4" s="2856"/>
      <c r="L4" s="2856"/>
      <c r="M4" s="2856"/>
      <c r="N4" s="2858"/>
      <c r="O4" s="2856"/>
      <c r="P4" s="2856"/>
    </row>
    <row r="5" spans="1:16">
      <c r="A5" s="47" t="s">
        <v>1734</v>
      </c>
      <c r="B5" s="3352" t="s">
        <v>1735</v>
      </c>
      <c r="C5" s="3352"/>
      <c r="D5" s="48">
        <f>ROUND($D$3*E5/$E$3,2)</f>
        <v>0</v>
      </c>
      <c r="E5" s="49">
        <f>SUMIF('数据-基础表'!$11:$11,"住宅",'数据-基础表'!$5:$5)</f>
        <v>0</v>
      </c>
      <c r="F5" s="2856"/>
      <c r="G5" s="1279"/>
      <c r="H5" s="1157" t="s">
        <v>1731</v>
      </c>
      <c r="I5" s="964">
        <f>ROUND(E31/D31,2)</f>
        <v>3.66</v>
      </c>
      <c r="J5" s="2856"/>
      <c r="K5" s="2856"/>
      <c r="L5" s="2856"/>
      <c r="M5" s="2856"/>
      <c r="N5" s="2856"/>
      <c r="O5" s="2856"/>
      <c r="P5" s="2856"/>
    </row>
    <row r="6" spans="1:16" ht="15" thickBot="1">
      <c r="A6" s="1799"/>
      <c r="B6" s="3352" t="s">
        <v>1736</v>
      </c>
      <c r="C6" s="3352"/>
      <c r="D6" s="48">
        <f>ROUND($D$3*E6/$E$3,2)</f>
        <v>16578.400000000001</v>
      </c>
      <c r="E6" s="49">
        <f>E3-E5</f>
        <v>60635.1</v>
      </c>
      <c r="F6" s="2856"/>
      <c r="G6" s="2850" t="s">
        <v>1737</v>
      </c>
      <c r="H6" s="1280" t="s">
        <v>1738</v>
      </c>
      <c r="I6" s="2851">
        <f>ROUND(F31/D31,2)</f>
        <v>2.29</v>
      </c>
      <c r="J6" s="2856"/>
      <c r="K6" s="2856"/>
      <c r="L6" s="2856"/>
      <c r="M6" s="2856"/>
      <c r="N6" s="2856"/>
      <c r="O6" s="2856"/>
      <c r="P6" s="2856"/>
    </row>
    <row r="7" spans="1:16" ht="15.75" thickBot="1">
      <c r="A7" s="3344"/>
      <c r="B7" s="3345"/>
      <c r="C7" s="3346"/>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10379.48</v>
      </c>
      <c r="E8" s="51">
        <f>SUMIF('数据-基础表'!BB10:BK10,"地上",'数据-基础表'!BB5:BK5)</f>
        <v>37962.699999999997</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1752</v>
      </c>
      <c r="D10" s="48">
        <f t="shared" si="0"/>
        <v>2670.31</v>
      </c>
      <c r="E10" s="51">
        <f>SUMPRODUCT(('数据-基础表'!BB10:BK10="地下")*('数据-基础表'!BB11:BK11="商业")*('数据-基础表'!BB5:BK5))</f>
        <v>9766.6</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3528.61</v>
      </c>
      <c r="E14" s="51">
        <f>SUMPRODUCT(('数据-基础表'!BB10:BK10="地下")*('数据-基础表'!BB11:BK11="车库—商业")*('数据-基础表'!BB5:BK5))</f>
        <v>12905.800000000001</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16578.399999999998</v>
      </c>
      <c r="E16" s="53">
        <f>SUM(E8:E15)</f>
        <v>60635.1</v>
      </c>
      <c r="F16" s="2856"/>
      <c r="G16" s="2857"/>
      <c r="H16" s="1803" t="s">
        <v>1759</v>
      </c>
      <c r="I16" s="1804"/>
      <c r="J16" s="1273"/>
      <c r="K16" s="3341" t="s">
        <v>1759</v>
      </c>
      <c r="L16" s="3342"/>
      <c r="M16" s="3342"/>
      <c r="N16" s="3342"/>
      <c r="O16" s="3342"/>
      <c r="P16" s="3343"/>
    </row>
    <row r="17" spans="1:19" ht="15">
      <c r="A17" s="1805" t="s">
        <v>1760</v>
      </c>
      <c r="B17" s="1806" t="s">
        <v>1761</v>
      </c>
      <c r="C17" s="1807" t="s">
        <v>1762</v>
      </c>
      <c r="D17" s="1808" t="s">
        <v>1750</v>
      </c>
      <c r="E17" s="1809" t="s">
        <v>1751</v>
      </c>
      <c r="F17" s="1810"/>
      <c r="G17" s="1811"/>
      <c r="H17" s="1812" t="s">
        <v>1763</v>
      </c>
      <c r="I17" s="1813" t="s">
        <v>3175</v>
      </c>
      <c r="J17" s="1273"/>
      <c r="K17" s="3338" t="s">
        <v>1764</v>
      </c>
      <c r="L17" s="3339"/>
      <c r="M17" s="3340"/>
      <c r="N17" s="3338" t="s">
        <v>1765</v>
      </c>
      <c r="O17" s="3339"/>
      <c r="P17" s="3340"/>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23" t="s">
        <v>3155</v>
      </c>
      <c r="D19" s="48">
        <f>ROUND($D$3*E19/$E$3,2)</f>
        <v>16578.400000000001</v>
      </c>
      <c r="E19" s="56">
        <f t="shared" ref="E19:E26" si="1">SUM(F19:G19)</f>
        <v>60635.1</v>
      </c>
      <c r="F19" s="3224">
        <f>'数据-基础表'!I5</f>
        <v>37962.699999999997</v>
      </c>
      <c r="G19" s="3225">
        <f>'数据-基础表'!K5+'数据-基础表'!M5</f>
        <v>22672.400000000001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16578.400000000001</v>
      </c>
      <c r="S19" s="1158">
        <f t="shared" si="5"/>
        <v>60635.1</v>
      </c>
    </row>
    <row r="20" spans="1:19">
      <c r="A20" s="1826"/>
      <c r="B20" s="50" t="s">
        <v>1777</v>
      </c>
      <c r="C20" s="3223"/>
      <c r="D20" s="48">
        <f t="shared" ref="D20:D26" si="6">ROUND($D$3*E20/$E$3,2)</f>
        <v>0</v>
      </c>
      <c r="E20" s="56">
        <f t="shared" si="1"/>
        <v>0</v>
      </c>
      <c r="F20" s="2996"/>
      <c r="G20" s="322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16578.400000000001</v>
      </c>
      <c r="E27" s="1275">
        <f>IF(SUM(E19:E26)='数据-基础表'!BA5,SUM(E19:E26),IF(F27="地上面积有误","面积有误","地下面积有误"))</f>
        <v>60635.1</v>
      </c>
      <c r="F27" s="1274">
        <f>IF(SUM(F19:F26)=E8,SUM(F19:F26),"地上面积有误")</f>
        <v>37962.699999999997</v>
      </c>
      <c r="G27" s="1276">
        <f>SUM(G19:G26)</f>
        <v>22672.400000000001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16578.400000000001</v>
      </c>
      <c r="S27" s="1157">
        <f>IF(SUM(S19:S26)=$E$3,SUM(S19:S26),SUM(S19:S26)&amp;"误差"&amp;ROUND(SUM(S19:S26)-E3,2))</f>
        <v>60635.1</v>
      </c>
    </row>
    <row r="28" spans="1:19">
      <c r="A28" s="1826"/>
      <c r="B28" s="50" t="s">
        <v>1779</v>
      </c>
      <c r="C28" s="1169" t="s">
        <v>1780</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1782</v>
      </c>
      <c r="D31" s="685">
        <f>D27+D30</f>
        <v>16578.400000000001</v>
      </c>
      <c r="E31" s="685">
        <f>E27+E30</f>
        <v>60635.1</v>
      </c>
      <c r="F31" s="686">
        <f>F27+F30</f>
        <v>37962.699999999997</v>
      </c>
      <c r="G31" s="687">
        <f>G27+G30</f>
        <v>22672.400000000001</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3" width="7.25" style="1838" customWidth="1"/>
    <col min="34" max="34" width="10.1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44566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3156</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53948</v>
      </c>
      <c r="F6" s="68">
        <f>SUMIF(项目基本情况!D$12:I$12,C6,项目基本情况!D$15:I$15)</f>
        <v>25.7</v>
      </c>
      <c r="G6" s="69">
        <f>IF(ISERROR(ROUND(POWER(1+H6,D6-F6)*(POWER(1+H6,F6)-1)/(POWER(1+H6,D6)-1),3)),0,ROUND(POWER(1+H6,D6-F6)*(POWER(1+H6,F6)-1)/(POWER(1+H6,D6)-1),3))</f>
        <v>0.83299999999999996</v>
      </c>
      <c r="H6" s="741">
        <v>0.05</v>
      </c>
      <c r="I6" s="741">
        <v>5.5E-2</v>
      </c>
      <c r="J6" s="70">
        <v>8.5000000000000006E-2</v>
      </c>
      <c r="K6" s="1161">
        <f>SUMIF('数据-汇总表'!C$19:C$33,A6,'数据-汇总表'!E$19:E$33)</f>
        <v>60635.1</v>
      </c>
      <c r="L6" s="742">
        <v>4000</v>
      </c>
      <c r="M6" s="71">
        <f t="shared" ref="M6:M14" si="0">ROUND(K6*L6/10000,0)</f>
        <v>24254</v>
      </c>
      <c r="N6" s="740">
        <f>ROUND(1-(2021-2012)/60,2)</f>
        <v>0.85</v>
      </c>
      <c r="O6" s="71" t="str">
        <f>IF($N$5="成新度","——",ROUND(M6*N6,0))</f>
        <v>——</v>
      </c>
      <c r="P6" s="72" t="str">
        <f>IF($N$5="成新度","——",M6-O6)</f>
        <v>——</v>
      </c>
      <c r="Q6" s="743">
        <v>0.2</v>
      </c>
      <c r="R6" s="73">
        <f ca="1">SUMIF('数据-汇总表'!C$19:C$33,A6,'数据-汇总表'!R$19:R$27)</f>
        <v>16578.400000000001</v>
      </c>
      <c r="S6" s="54">
        <f>IF('数据-汇总表'!$I$17="按面积比例",SUMIF('数据-汇总表'!C$19:C$33,A6,'数据-汇总表'!K$19:K$33),SUMIF('数据-汇总表'!C$19:C$33,A6,'数据-汇总表'!N$19:N$33))</f>
        <v>0</v>
      </c>
      <c r="T6" s="1306">
        <f>ROUND($L$14*S6/10000,0)</f>
        <v>0</v>
      </c>
      <c r="U6" s="74">
        <v>6</v>
      </c>
      <c r="V6" s="75">
        <v>0.03</v>
      </c>
      <c r="W6" s="75">
        <v>0.1</v>
      </c>
      <c r="X6" s="1171"/>
      <c r="Y6" s="76">
        <f>N6</f>
        <v>0.85</v>
      </c>
      <c r="Z6" s="77"/>
      <c r="AA6" s="70"/>
      <c r="AB6" s="70"/>
      <c r="AC6" s="1171"/>
      <c r="AD6" s="78"/>
      <c r="AE6" s="1172">
        <f ca="1">IF(AN6="",0,SUMIF(INDIRECT("'"&amp;AN6&amp;"'"&amp;"!E:E"),$AE$5,INDIRECT("'"&amp;AN6&amp;"'"&amp;"!F:F")))</f>
        <v>25.7</v>
      </c>
      <c r="AF6" s="1502"/>
      <c r="AG6" s="143">
        <f>IF(AF6="",0,AE6-AF6)</f>
        <v>0</v>
      </c>
      <c r="AH6" s="79">
        <f>'数据-基础表'!I5+'数据-基础表'!K5</f>
        <v>47729.299999999996</v>
      </c>
      <c r="AI6" s="81">
        <v>365</v>
      </c>
      <c r="AJ6" s="82"/>
      <c r="AK6" s="83">
        <v>1.2E-2</v>
      </c>
      <c r="AL6" s="84">
        <v>1.5E-3</v>
      </c>
      <c r="AM6" s="85">
        <v>0.02</v>
      </c>
      <c r="AN6" s="1871" t="s">
        <v>3176</v>
      </c>
      <c r="AO6" s="55">
        <f ca="1">SUMIF(INDIRECT("'"&amp;AN6&amp;"'"&amp;"!A:A"),"总价",INDIRECT("'"&amp;AN6&amp;"'"&amp;"!B:B"))</f>
        <v>131896</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0.83299999999999996</v>
      </c>
      <c r="H16" s="95">
        <f>ROUND(SUMPRODUCT(H6:H13,K6:K13)/SUMPRODUCT((H6:H13&gt;0)*(K6:K13)),3)</f>
        <v>0.05</v>
      </c>
      <c r="I16" s="96"/>
      <c r="J16" s="96"/>
      <c r="K16" s="97">
        <f>SUM(K6:K15)</f>
        <v>60635.1</v>
      </c>
      <c r="L16" s="98">
        <f>ROUND(M16*10000/SUM(K6:K14),0)</f>
        <v>4000</v>
      </c>
      <c r="M16" s="98">
        <f>SUM(M6:M14)</f>
        <v>24254</v>
      </c>
      <c r="N16" s="99">
        <f>ROUND(SUMPRODUCT(M6:M14,N6:N14)/M16,3)</f>
        <v>0.85</v>
      </c>
      <c r="O16" s="98">
        <f>SUM(O6:O14)</f>
        <v>0</v>
      </c>
      <c r="P16" s="98">
        <f>SUM(P6:P14)</f>
        <v>0</v>
      </c>
      <c r="Q16" s="100">
        <f>ROUND(SUMPRODUCT(Q6:Q13,K6:K13)/SUMPRODUCT((Q6:Q13&gt;0)*(K6:K13)),2)</f>
        <v>0.2</v>
      </c>
      <c r="R16" s="1165">
        <f ca="1">SUM(R6:R13)</f>
        <v>16578.400000000001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ROUND(B28*'数据-基础表'!B3/10000,0)</f>
        <v>1213</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3.5000000000000003E-2</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1.4999999999999999E-2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5" t="s">
        <v>3157</v>
      </c>
      <c r="B40" s="1210">
        <f ca="1">IF(A40="利息：取LPR",存贷款利率!G1,存贷款利率!G1+C40)</f>
        <v>4.3499999999999997E-2</v>
      </c>
      <c r="C40" s="3260">
        <v>5.4999999999999997E-3</v>
      </c>
      <c r="D40" s="2870"/>
      <c r="E40" s="3261" t="s">
        <v>4098</v>
      </c>
      <c r="F40" s="326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3" t="s">
        <v>2970</v>
      </c>
      <c r="B1" s="3354"/>
      <c r="C1" s="3354"/>
      <c r="D1" s="3354"/>
      <c r="E1" s="3354"/>
      <c r="F1" s="3354"/>
      <c r="G1" s="335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60635.1</v>
      </c>
      <c r="C1" s="2885"/>
      <c r="D1" s="2885"/>
      <c r="E1" s="2885"/>
      <c r="F1" s="2885"/>
      <c r="G1" s="2886"/>
      <c r="H1" s="2887"/>
      <c r="I1" s="2887"/>
      <c r="J1" s="2887"/>
      <c r="K1" s="2887"/>
    </row>
    <row r="2" spans="1:11" ht="16.5">
      <c r="A2" s="2708" t="s">
        <v>1259</v>
      </c>
      <c r="B2" s="2708">
        <f>SUM(C14:C23)</f>
        <v>16578.400000000001</v>
      </c>
      <c r="C2" s="2885"/>
      <c r="D2" s="2885"/>
      <c r="E2" s="2885"/>
      <c r="F2" s="2885"/>
      <c r="G2" s="2886"/>
      <c r="H2" s="2887"/>
      <c r="I2" s="2887"/>
      <c r="J2" s="2887"/>
      <c r="K2" s="2887"/>
    </row>
    <row r="3" spans="1:11" ht="16.5">
      <c r="A3" s="2708" t="s">
        <v>1268</v>
      </c>
      <c r="B3" s="2710">
        <f>项目基本情况!D3</f>
        <v>44566</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131540</v>
      </c>
      <c r="C5" s="2708">
        <f ca="1">ROUND(B5*10000/$B$1,0)</f>
        <v>21694</v>
      </c>
      <c r="D5" s="2708">
        <f ca="1">ROUND(B5*10000/$B$2,0)</f>
        <v>79344</v>
      </c>
      <c r="E5" s="2885"/>
      <c r="F5" s="2886"/>
      <c r="G5" s="2886"/>
      <c r="H5" s="2887"/>
      <c r="I5" s="2887"/>
      <c r="J5" s="2887"/>
      <c r="K5" s="2887"/>
    </row>
    <row r="6" spans="1:11" ht="16.5">
      <c r="A6" s="2708" t="s">
        <v>1262</v>
      </c>
      <c r="B6" s="2708">
        <f>SUM(G14:G23)</f>
        <v>0</v>
      </c>
      <c r="C6" s="2708">
        <f>ROUND(B6*10000/$B$1,0)</f>
        <v>0</v>
      </c>
      <c r="D6" s="2708">
        <f>ROUND(B6*10000/$B$2,0)</f>
        <v>0</v>
      </c>
      <c r="E6" s="2885"/>
      <c r="F6" s="2886"/>
      <c r="G6" s="2886"/>
      <c r="H6" s="2887"/>
      <c r="I6" s="2887"/>
      <c r="J6" s="2887"/>
      <c r="K6" s="2887"/>
    </row>
    <row r="7" spans="1:11" ht="16.5">
      <c r="A7" s="2708" t="s">
        <v>1270</v>
      </c>
      <c r="B7" s="2708">
        <f ca="1">SUM(H14:H23)</f>
        <v>131540</v>
      </c>
      <c r="C7" s="2708">
        <f ca="1">ROUND(B7*10000/$B$1,0)</f>
        <v>21694</v>
      </c>
      <c r="D7" s="2708">
        <f ca="1">ROUND(B7*10000/$B$2,0)</f>
        <v>79344</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60635.1</v>
      </c>
      <c r="C14" s="2714">
        <f>结果表!C118</f>
        <v>16578.400000000001</v>
      </c>
      <c r="D14" s="2714">
        <f ca="1">结果表!H118</f>
        <v>131540</v>
      </c>
      <c r="E14" s="2714">
        <f ca="1">ROUND(D14*10000/B14,0)</f>
        <v>21694</v>
      </c>
      <c r="F14" s="2714">
        <f ca="1">ROUND(D14*10000/C14,0)</f>
        <v>79344</v>
      </c>
      <c r="G14" s="2714" t="str">
        <f>结果表!D122</f>
        <v>——</v>
      </c>
      <c r="H14" s="2714">
        <f ca="1">结果表!D124</f>
        <v>131540</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0" zoomScaleNormal="100" zoomScaleSheetLayoutView="80" zoomScalePageLayoutView="80" workbookViewId="0">
      <selection activeCell="D102" sqref="D10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25" t="str">
        <f>项目基本情况!S2</f>
        <v>北京市房地产</v>
      </c>
      <c r="B2" s="3426"/>
      <c r="C2" s="3426"/>
      <c r="D2" s="3426"/>
      <c r="E2" s="3426"/>
      <c r="F2" s="3426"/>
      <c r="G2" s="3426"/>
      <c r="H2" s="3426"/>
      <c r="I2" s="3427"/>
    </row>
    <row r="3" spans="1:12" ht="12.75">
      <c r="A3" s="3429" t="s">
        <v>1888</v>
      </c>
      <c r="B3" s="3430"/>
      <c r="C3" s="3430"/>
      <c r="D3" s="3430"/>
      <c r="E3" s="3430"/>
      <c r="F3" s="3430"/>
      <c r="G3" s="3430"/>
      <c r="H3" s="3430"/>
      <c r="I3" s="3430"/>
    </row>
    <row r="4" spans="1:12" ht="14.25">
      <c r="A4" s="1910" t="s">
        <v>1889</v>
      </c>
      <c r="B4" s="1911" t="s">
        <v>1890</v>
      </c>
      <c r="C4" s="1912" t="s">
        <v>3170</v>
      </c>
      <c r="D4" s="1912" t="s">
        <v>3176</v>
      </c>
      <c r="E4" s="3434" t="s">
        <v>1891</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0" t="s">
        <v>1892</v>
      </c>
      <c r="B5" s="3428">
        <v>25</v>
      </c>
      <c r="C5" s="3431"/>
      <c r="D5" s="3419"/>
      <c r="E5" s="136" t="s">
        <v>1893</v>
      </c>
      <c r="F5" s="1913"/>
      <c r="G5" s="1913"/>
      <c r="H5" s="1913"/>
      <c r="I5" s="1527"/>
    </row>
    <row r="6" spans="1:12" ht="12.75">
      <c r="A6" s="3370"/>
      <c r="B6" s="3428"/>
      <c r="C6" s="3433"/>
      <c r="D6" s="3419"/>
      <c r="E6" s="136" t="s">
        <v>1894</v>
      </c>
      <c r="F6" s="1913"/>
      <c r="G6" s="1913"/>
      <c r="H6" s="1913"/>
      <c r="I6" s="1527"/>
    </row>
    <row r="7" spans="1:12" ht="12.75">
      <c r="A7" s="3370"/>
      <c r="B7" s="3428"/>
      <c r="C7" s="3432"/>
      <c r="D7" s="3419"/>
      <c r="E7" s="136" t="s">
        <v>1895</v>
      </c>
      <c r="F7" s="1913"/>
      <c r="G7" s="1913"/>
      <c r="H7" s="1913"/>
      <c r="I7" s="1527"/>
    </row>
    <row r="8" spans="1:12" ht="12.75">
      <c r="A8" s="3370" t="s">
        <v>1896</v>
      </c>
      <c r="B8" s="3428">
        <v>15</v>
      </c>
      <c r="C8" s="3431"/>
      <c r="D8" s="3419"/>
      <c r="E8" s="136" t="s">
        <v>1897</v>
      </c>
      <c r="F8" s="1913"/>
      <c r="G8" s="1913"/>
      <c r="H8" s="1913"/>
      <c r="I8" s="1527"/>
    </row>
    <row r="9" spans="1:12" ht="12.75">
      <c r="A9" s="3370"/>
      <c r="B9" s="3428"/>
      <c r="C9" s="3432"/>
      <c r="D9" s="3419"/>
      <c r="E9" s="136" t="s">
        <v>1898</v>
      </c>
      <c r="F9" s="1913"/>
      <c r="G9" s="1913"/>
      <c r="H9" s="1913"/>
      <c r="I9" s="1527"/>
    </row>
    <row r="10" spans="1:12" ht="12.75">
      <c r="A10" s="3370" t="s">
        <v>1899</v>
      </c>
      <c r="B10" s="3428">
        <v>15</v>
      </c>
      <c r="C10" s="3431"/>
      <c r="D10" s="3419"/>
      <c r="E10" s="136" t="s">
        <v>1900</v>
      </c>
      <c r="F10" s="1913"/>
      <c r="G10" s="1913"/>
      <c r="H10" s="1913"/>
      <c r="I10" s="1527"/>
    </row>
    <row r="11" spans="1:12" ht="12.75">
      <c r="A11" s="3370"/>
      <c r="B11" s="3428"/>
      <c r="C11" s="3432"/>
      <c r="D11" s="3419"/>
      <c r="E11" s="136" t="s">
        <v>1901</v>
      </c>
      <c r="F11" s="1913"/>
      <c r="G11" s="1913"/>
      <c r="H11" s="1913"/>
      <c r="I11" s="1527"/>
    </row>
    <row r="12" spans="1:12" ht="12.75">
      <c r="A12" s="3370" t="s">
        <v>1902</v>
      </c>
      <c r="B12" s="3428">
        <v>15</v>
      </c>
      <c r="C12" s="3431"/>
      <c r="D12" s="3419"/>
      <c r="E12" s="136" t="s">
        <v>1903</v>
      </c>
      <c r="F12" s="1913"/>
      <c r="G12" s="1913"/>
      <c r="H12" s="1913"/>
      <c r="I12" s="1527"/>
    </row>
    <row r="13" spans="1:12" ht="12.75">
      <c r="A13" s="3370"/>
      <c r="B13" s="3428"/>
      <c r="C13" s="3432"/>
      <c r="D13" s="3419"/>
      <c r="E13" s="136" t="s">
        <v>1904</v>
      </c>
      <c r="F13" s="1913"/>
      <c r="G13" s="1913"/>
      <c r="H13" s="1913"/>
      <c r="I13" s="1527"/>
    </row>
    <row r="14" spans="1:12" ht="12.75">
      <c r="A14" s="3370" t="s">
        <v>1905</v>
      </c>
      <c r="B14" s="3428">
        <v>30</v>
      </c>
      <c r="C14" s="3431">
        <v>5</v>
      </c>
      <c r="D14" s="3419">
        <v>5</v>
      </c>
      <c r="E14" s="136" t="s">
        <v>1906</v>
      </c>
      <c r="F14" s="1913"/>
      <c r="G14" s="1913"/>
      <c r="H14" s="1913"/>
      <c r="I14" s="1527"/>
    </row>
    <row r="15" spans="1:12" ht="12.75">
      <c r="A15" s="3370"/>
      <c r="B15" s="3428"/>
      <c r="C15" s="3433"/>
      <c r="D15" s="3419"/>
      <c r="E15" s="136" t="s">
        <v>1907</v>
      </c>
      <c r="F15" s="1913"/>
      <c r="G15" s="1913"/>
      <c r="H15" s="1913"/>
      <c r="I15" s="1527"/>
    </row>
    <row r="16" spans="1:12" ht="12.75">
      <c r="A16" s="3370"/>
      <c r="B16" s="3428"/>
      <c r="C16" s="3432"/>
      <c r="D16" s="3419"/>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50" t="s">
        <v>2811</v>
      </c>
      <c r="F18" s="3451"/>
      <c r="G18" s="3451"/>
      <c r="H18" s="3451"/>
      <c r="I18" s="3451"/>
      <c r="K18" s="308" t="s">
        <v>1913</v>
      </c>
      <c r="L18" s="308">
        <f>IF(C1="",'数据-汇总表'!E3,SUMIF(项目类型,C1,'数据-汇总表'!E17:E26)+SUMIF(项目类型,C1,'数据-汇总表'!I17:I26))</f>
        <v>60635.1</v>
      </c>
      <c r="M18" s="308">
        <f>IF(C1="",'数据-汇总表'!E3,SUMIF(项目类型,C1,'数据-汇总表'!E17:E26))</f>
        <v>60635.1</v>
      </c>
    </row>
    <row r="19" spans="1:36" ht="15">
      <c r="A19" s="1917" t="s">
        <v>1914</v>
      </c>
      <c r="B19" s="1918" t="s">
        <v>1915</v>
      </c>
      <c r="C19" s="139">
        <f ca="1">SUMIF(INDIRECT("'"&amp;C4&amp;"'"&amp;"!A:A"),结果表!B19,INDIRECT("'"&amp;C4&amp;"'"&amp;"!B:B"))</f>
        <v>131183</v>
      </c>
      <c r="D19" s="140">
        <f ca="1">SUMIF(INDIRECT("'"&amp;D4&amp;"'"&amp;"!A:A"),结果表!B19,INDIRECT("'"&amp;D4&amp;"'"&amp;"!B:B"))</f>
        <v>131896</v>
      </c>
      <c r="E19" s="1917" t="s">
        <v>1916</v>
      </c>
      <c r="F19" s="1918" t="s">
        <v>1915</v>
      </c>
      <c r="G19" s="141">
        <f ca="1">ROUND(C19*$C$18+D19*$D$18,0)</f>
        <v>131540</v>
      </c>
      <c r="H19" s="1919" t="s">
        <v>1917</v>
      </c>
      <c r="I19" s="134"/>
      <c r="K19" s="308" t="s">
        <v>1918</v>
      </c>
      <c r="L19" s="308">
        <f>IF(C1="",'数据-汇总表'!D3,SUMIF(项目类型,C1,'数据-汇总表'!D17:D26)+SUMIF(项目类型,C1,'数据-汇总表'!H17:H27))</f>
        <v>16578.400000000001</v>
      </c>
      <c r="M19" s="308">
        <f>IF(C1="",'数据-汇总表'!D3,SUMIF(项目类型,C1,'数据-汇总表'!D17:D26))</f>
        <v>16578.400000000001</v>
      </c>
    </row>
    <row r="20" spans="1:36" ht="15">
      <c r="A20" s="1920"/>
      <c r="B20" s="1157" t="s">
        <v>1919</v>
      </c>
      <c r="C20" s="142">
        <f ca="1">SUMIF(INDIRECT("'"&amp;C4&amp;"'"&amp;"!A:A"),结果表!B20,INDIRECT("'"&amp;C4&amp;"'"&amp;"!B:B"))</f>
        <v>21635</v>
      </c>
      <c r="D20" s="143">
        <f ca="1">SUMIF(INDIRECT("'"&amp;D4&amp;"'"&amp;"!A:A"),结果表!B20,INDIRECT("'"&amp;D4&amp;"'"&amp;"!B:B"))</f>
        <v>21752</v>
      </c>
      <c r="E20" s="1920"/>
      <c r="F20" s="1157" t="s">
        <v>1919</v>
      </c>
      <c r="G20" s="144">
        <f ca="1">ROUND(C20*$C$18+D20*$D$18,0)</f>
        <v>21694</v>
      </c>
      <c r="H20" s="917" t="s">
        <v>1920</v>
      </c>
      <c r="I20" s="134"/>
    </row>
    <row r="21" spans="1:36" ht="15" customHeight="1" thickBot="1">
      <c r="A21" s="937"/>
      <c r="B21" s="1921" t="s">
        <v>1921</v>
      </c>
      <c r="C21" s="728">
        <f ca="1">ROUND(C19*10000/L19,0)</f>
        <v>79129</v>
      </c>
      <c r="D21" s="729">
        <f ca="1">ROUND(D19*10000/L19,0)</f>
        <v>79559</v>
      </c>
      <c r="E21" s="937"/>
      <c r="F21" s="1921" t="s">
        <v>1921</v>
      </c>
      <c r="G21" s="145">
        <f ca="1">ROUND(G19*10000/L19,0)</f>
        <v>79344</v>
      </c>
      <c r="H21" s="1922" t="s">
        <v>1920</v>
      </c>
      <c r="I21" s="134"/>
    </row>
    <row r="22" spans="1:36" ht="15" thickBot="1">
      <c r="A22" s="1844" t="s">
        <v>1922</v>
      </c>
      <c r="B22" s="1923"/>
      <c r="C22" s="1924"/>
      <c r="D22" s="730">
        <f ca="1">IF(C19&lt;D19,D19/C19-1,C19/D19-1)</f>
        <v>5.4351554698397475E-3</v>
      </c>
      <c r="E22" s="134"/>
      <c r="F22" s="134"/>
      <c r="G22" s="134"/>
      <c r="H22" s="134"/>
      <c r="I22" s="134"/>
    </row>
    <row r="23" spans="1:36" ht="13.5" thickBot="1">
      <c r="A23" s="1903"/>
      <c r="B23" s="1903"/>
      <c r="C23" s="1903"/>
      <c r="D23" s="1903"/>
      <c r="E23" s="134"/>
      <c r="F23" s="134"/>
      <c r="G23" s="134"/>
      <c r="H23" s="134"/>
      <c r="I23" s="134"/>
    </row>
    <row r="24" spans="1:36" ht="14.25">
      <c r="A24" s="3443" t="s">
        <v>1923</v>
      </c>
      <c r="B24" s="1918" t="s">
        <v>1915</v>
      </c>
      <c r="C24" s="141">
        <f>IF(B30=0,0,D30)</f>
        <v>0</v>
      </c>
      <c r="D24" s="1925"/>
      <c r="E24" s="134"/>
      <c r="F24" s="134"/>
      <c r="G24" s="134"/>
      <c r="H24" s="134"/>
      <c r="I24" s="134"/>
    </row>
    <row r="25" spans="1:36" ht="14.25">
      <c r="A25" s="3444"/>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131540</v>
      </c>
      <c r="D32" s="1931" t="s">
        <v>3179</v>
      </c>
      <c r="E32" s="134"/>
      <c r="F32" s="134"/>
      <c r="G32" s="134"/>
      <c r="H32" s="134"/>
      <c r="I32" s="134"/>
    </row>
    <row r="33" spans="1:15" ht="15">
      <c r="A33" s="894" t="s">
        <v>1930</v>
      </c>
      <c r="B33" s="1932"/>
      <c r="C33" s="1933" t="s">
        <v>3180</v>
      </c>
      <c r="D33" s="1934" t="s">
        <v>3170</v>
      </c>
      <c r="E33" s="1935" t="s">
        <v>1931</v>
      </c>
      <c r="F33" s="1936" t="str">
        <f>IF(D32="楼面单价","取值（单价）","取值（总价）")</f>
        <v>取值（总价）</v>
      </c>
      <c r="G33" s="134"/>
      <c r="H33" s="134"/>
      <c r="I33" s="134"/>
    </row>
    <row r="34" spans="1:15" ht="15">
      <c r="A34" s="1937"/>
      <c r="B34" s="1938" t="s">
        <v>1932</v>
      </c>
      <c r="C34" s="153">
        <f ca="1">IF(C33="自定义",F34,C32-C35)</f>
        <v>100365</v>
      </c>
      <c r="D34" s="970">
        <f ca="1">IF(C33="自定义",ROUND(C34/C32,3),IF(C33="收益比率",SUMIF(INDIRECT("'"&amp;D33&amp;"'"&amp;"!b:b"),"土地收益比率",INDIRECT("'"&amp;D33&amp;"'"&amp;"!c:c")),SUMIF(INDIRECT("'"&amp;D33&amp;"'"&amp;"!b:b"),"土地成本比率",INDIRECT("'"&amp;D33&amp;"'"&amp;"!c:c"))))</f>
        <v>0.76300000000000001</v>
      </c>
      <c r="E34" s="1939" t="s">
        <v>1933</v>
      </c>
      <c r="F34" s="1470"/>
      <c r="G34" s="134"/>
      <c r="H34" s="134"/>
      <c r="I34" s="134"/>
    </row>
    <row r="35" spans="1:15" ht="15.75" thickBot="1">
      <c r="A35" s="1940"/>
      <c r="B35" s="1941" t="s">
        <v>1934</v>
      </c>
      <c r="C35" s="1304">
        <f ca="1">IF(C33="自定义",F35,ROUND(C32*D35,0))</f>
        <v>31175</v>
      </c>
      <c r="D35" s="1305">
        <f ca="1">IF(C33="自定义",ROUND(C35/C32,3),IF(C33="收益比率",SUMIF(INDIRECT("'"&amp;D33&amp;"'"&amp;"!b:b"),"建筑物收益比率",INDIRECT("'"&amp;D33&amp;"'"&amp;"!c:c")),SUMIF(INDIRECT("'"&amp;D33&amp;"'"&amp;"!b:b"),"建筑物成本比率",INDIRECT("'"&amp;D33&amp;"'"&amp;"!c:c"))))</f>
        <v>0.23699999999999999</v>
      </c>
      <c r="E35" s="1942" t="s">
        <v>1935</v>
      </c>
      <c r="F35" s="159"/>
      <c r="G35" s="134"/>
      <c r="H35" s="134"/>
      <c r="I35" s="134"/>
    </row>
    <row r="36" spans="1:15" ht="15.75" thickBot="1">
      <c r="A36" s="3420" t="s">
        <v>1936</v>
      </c>
      <c r="B36" s="1943" t="s">
        <v>1937</v>
      </c>
      <c r="C36" s="150"/>
      <c r="D36" s="1944"/>
      <c r="E36" s="1945"/>
      <c r="F36" s="1946"/>
      <c r="G36" s="134"/>
      <c r="H36" s="134"/>
      <c r="I36" s="134"/>
    </row>
    <row r="37" spans="1:15" ht="15.75" thickBot="1">
      <c r="A37" s="3421"/>
      <c r="B37" s="1830" t="s">
        <v>1938</v>
      </c>
      <c r="C37" s="152"/>
      <c r="D37" s="1273"/>
      <c r="E37" s="1273"/>
      <c r="F37" s="1946"/>
      <c r="G37" s="134"/>
      <c r="H37" s="134"/>
      <c r="I37" s="134"/>
    </row>
    <row r="38" spans="1:15" ht="15.75" thickBot="1">
      <c r="A38" s="3422"/>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40" t="s">
        <v>1950</v>
      </c>
      <c r="B45" s="3441"/>
      <c r="C45" s="3442"/>
      <c r="D45" s="160">
        <f ca="1">ROUND(H101*F45,0)</f>
        <v>131540</v>
      </c>
      <c r="E45" s="161" t="s">
        <v>1951</v>
      </c>
      <c r="F45" s="162">
        <v>1</v>
      </c>
      <c r="G45" s="163" t="s">
        <v>1952</v>
      </c>
      <c r="H45" s="134"/>
      <c r="I45" s="134"/>
      <c r="J45" s="3357" t="s">
        <v>1953</v>
      </c>
      <c r="K45" s="3357"/>
      <c r="L45" s="3357"/>
      <c r="M45" s="3357"/>
      <c r="N45" s="3357"/>
      <c r="O45" s="3357"/>
    </row>
    <row r="46" spans="1:15" ht="14.25" customHeight="1">
      <c r="A46" s="3437" t="s">
        <v>1954</v>
      </c>
      <c r="B46" s="3438"/>
      <c r="C46" s="3438"/>
      <c r="D46" s="3438"/>
      <c r="E46" s="3438"/>
      <c r="F46" s="3438"/>
      <c r="G46" s="3439"/>
      <c r="H46" s="1962"/>
      <c r="I46" s="164"/>
      <c r="J46" s="2719">
        <v>1</v>
      </c>
      <c r="K46" s="3358" t="s">
        <v>1955</v>
      </c>
      <c r="L46" s="3358"/>
      <c r="M46" s="3359"/>
      <c r="N46" s="3359"/>
      <c r="O46" s="3359"/>
    </row>
    <row r="47" spans="1:15" ht="12" customHeight="1">
      <c r="A47" s="165" t="s">
        <v>1956</v>
      </c>
      <c r="B47" s="166"/>
      <c r="C47" s="167"/>
      <c r="D47" s="1219" t="s">
        <v>1957</v>
      </c>
      <c r="E47" s="308" t="s">
        <v>1958</v>
      </c>
      <c r="F47" s="168" t="s">
        <v>1959</v>
      </c>
      <c r="G47" s="2742" t="s">
        <v>1960</v>
      </c>
      <c r="H47" s="2743"/>
      <c r="I47" s="164"/>
      <c r="J47" s="2719">
        <v>2</v>
      </c>
      <c r="K47" s="3358" t="s">
        <v>1961</v>
      </c>
      <c r="L47" s="3358"/>
      <c r="M47" s="3360">
        <f>'数据-取费表'!B2</f>
        <v>44566</v>
      </c>
      <c r="N47" s="3360"/>
      <c r="O47" s="3360"/>
    </row>
    <row r="48" spans="1:15" ht="25.5">
      <c r="A48" s="3423" t="s">
        <v>1962</v>
      </c>
      <c r="B48" s="3424"/>
      <c r="C48" s="3424"/>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1963</v>
      </c>
      <c r="H48" s="2746"/>
      <c r="I48" s="1962"/>
      <c r="J48" s="2719">
        <v>3</v>
      </c>
      <c r="K48" s="3358" t="s">
        <v>1964</v>
      </c>
      <c r="L48" s="3358"/>
      <c r="M48" s="3361">
        <f ca="1">H101</f>
        <v>131540</v>
      </c>
      <c r="N48" s="3361"/>
      <c r="O48" s="3361"/>
    </row>
    <row r="49" spans="1:35" ht="25.5" customHeight="1">
      <c r="A49" s="2526" t="s">
        <v>1965</v>
      </c>
      <c r="B49" s="3406" t="s">
        <v>1966</v>
      </c>
      <c r="C49" s="3406"/>
      <c r="D49" s="1745">
        <v>0</v>
      </c>
      <c r="E49" s="330" t="s">
        <v>1967</v>
      </c>
      <c r="F49" s="2620" t="s">
        <v>34</v>
      </c>
      <c r="G49" s="3389"/>
      <c r="H49" s="2498" t="s">
        <v>2814</v>
      </c>
      <c r="I49" s="2499"/>
      <c r="J49" s="2719">
        <v>4</v>
      </c>
      <c r="K49" s="3358" t="str">
        <f>IF(项目基本情况!E8="房地产抵押价值","房地产抵押价值","抵押担保权已注销时的房地产抵押价值")</f>
        <v>抵押担保权已注销时的房地产抵押价值</v>
      </c>
      <c r="L49" s="3358"/>
      <c r="M49" s="3361">
        <f ca="1">IF(项目基本情况!E8="房地产抵押价值",H107,H109)</f>
        <v>131540</v>
      </c>
      <c r="N49" s="3361"/>
      <c r="O49" s="3361"/>
    </row>
    <row r="50" spans="1:35" ht="25.5" customHeight="1">
      <c r="A50" s="2747"/>
      <c r="B50" s="3406" t="s">
        <v>1968</v>
      </c>
      <c r="C50" s="3406"/>
      <c r="D50" s="2748"/>
      <c r="E50" s="338"/>
      <c r="F50" s="2620"/>
      <c r="G50" s="3390"/>
      <c r="H50" s="2500" t="s">
        <v>2815</v>
      </c>
      <c r="I50" s="2499"/>
      <c r="J50" s="3357" t="s">
        <v>1969</v>
      </c>
      <c r="K50" s="3357"/>
      <c r="L50" s="3357"/>
      <c r="M50" s="3357"/>
      <c r="N50" s="3357"/>
      <c r="O50" s="3357"/>
    </row>
    <row r="51" spans="1:35" ht="20.45" customHeight="1">
      <c r="A51" s="2749"/>
      <c r="B51" s="3406" t="s">
        <v>1970</v>
      </c>
      <c r="C51" s="3406"/>
      <c r="D51" s="1219"/>
      <c r="E51" s="333"/>
      <c r="F51" s="2620"/>
      <c r="G51" s="3391"/>
      <c r="H51" s="2500" t="s">
        <v>2816</v>
      </c>
      <c r="I51" s="2499"/>
      <c r="J51" s="2720" t="s">
        <v>1971</v>
      </c>
      <c r="K51" s="3358" t="s">
        <v>1972</v>
      </c>
      <c r="L51" s="3358"/>
      <c r="M51" s="2720" t="s">
        <v>1973</v>
      </c>
      <c r="N51" s="2720" t="s">
        <v>1974</v>
      </c>
      <c r="O51" s="2720" t="s">
        <v>1975</v>
      </c>
    </row>
    <row r="52" spans="1:35" ht="24" customHeight="1">
      <c r="A52" s="2528" t="s">
        <v>1976</v>
      </c>
      <c r="B52" s="3406" t="s">
        <v>1977</v>
      </c>
      <c r="C52" s="3406"/>
      <c r="D52" s="1219">
        <f ca="1">ROUND(D45*'数据-取费表'!B41/(1+'数据-取费表'!C42),0)</f>
        <v>7015</v>
      </c>
      <c r="E52" s="2527" t="s">
        <v>1978</v>
      </c>
      <c r="F52" s="2750">
        <f>'数据-取费表'!B41</f>
        <v>5.6000000000000001E-2</v>
      </c>
      <c r="G52" s="2751"/>
      <c r="H52" s="2740"/>
      <c r="I52" s="1963"/>
      <c r="J52" s="2719">
        <v>1</v>
      </c>
      <c r="K52" s="3383" t="s">
        <v>1979</v>
      </c>
      <c r="L52" s="3383"/>
      <c r="M52" s="2721" t="b">
        <f>D48</f>
        <v>0</v>
      </c>
      <c r="N52" s="2719" t="str">
        <f>E48</f>
        <v>销售额×税（费）率</v>
      </c>
      <c r="O52" s="2722">
        <f>F48</f>
        <v>5.6000000000000001E-2</v>
      </c>
    </row>
    <row r="53" spans="1:35" ht="12" customHeight="1">
      <c r="A53" s="2528" t="s">
        <v>1980</v>
      </c>
      <c r="B53" s="3407" t="s">
        <v>2975</v>
      </c>
      <c r="C53" s="3408"/>
      <c r="D53" s="1219">
        <f ca="1">ROUND(D45*'数据-取费表'!B41/(1+'数据-取费表'!C42),0)</f>
        <v>7015</v>
      </c>
      <c r="E53" s="2527" t="s">
        <v>1978</v>
      </c>
      <c r="F53" s="2750">
        <f>'数据-取费表'!B41</f>
        <v>5.6000000000000001E-2</v>
      </c>
      <c r="G53" s="2751"/>
      <c r="H53" s="2740"/>
      <c r="I53" s="1963"/>
      <c r="J53" s="2719">
        <v>2</v>
      </c>
      <c r="K53" s="3383" t="s">
        <v>1981</v>
      </c>
      <c r="L53" s="3383"/>
      <c r="M53" s="2721">
        <f t="shared" ref="M53:O54" ca="1" si="0">D55</f>
        <v>66</v>
      </c>
      <c r="N53" s="2719" t="str">
        <f t="shared" si="0"/>
        <v>销售额×税（费）率</v>
      </c>
      <c r="O53" s="2722" t="str">
        <f t="shared" si="0"/>
        <v>免征</v>
      </c>
    </row>
    <row r="54" spans="1:35" ht="12" customHeight="1">
      <c r="A54" s="2528" t="s">
        <v>1982</v>
      </c>
      <c r="B54" s="3407" t="s">
        <v>2976</v>
      </c>
      <c r="C54" s="3408"/>
      <c r="D54" s="1219">
        <f ca="1">C68</f>
        <v>7015</v>
      </c>
      <c r="E54" s="333" t="s">
        <v>1983</v>
      </c>
      <c r="F54" s="2750">
        <f>'数据-取费表'!B41</f>
        <v>5.6000000000000001E-2</v>
      </c>
      <c r="G54" s="2751"/>
      <c r="H54" s="2752"/>
      <c r="I54" s="1963"/>
      <c r="J54" s="2719">
        <v>3</v>
      </c>
      <c r="K54" s="3383" t="s">
        <v>1984</v>
      </c>
      <c r="L54" s="3383"/>
      <c r="M54" s="2721">
        <f t="shared" ca="1" si="0"/>
        <v>74451</v>
      </c>
      <c r="N54" s="2719" t="str">
        <f t="shared" si="0"/>
        <v>增值额×税（费）率</v>
      </c>
      <c r="O54" s="2723" t="str">
        <f t="shared" si="0"/>
        <v>免征</v>
      </c>
    </row>
    <row r="55" spans="1:35" ht="24" customHeight="1">
      <c r="A55" s="3446" t="s">
        <v>1985</v>
      </c>
      <c r="B55" s="3424"/>
      <c r="C55" s="3424"/>
      <c r="D55" s="2517">
        <f ca="1">IF(H55="个人住宅",0,ROUND(D45*I55,0))</f>
        <v>66</v>
      </c>
      <c r="E55" s="2527" t="s">
        <v>1986</v>
      </c>
      <c r="F55" s="2750" t="str">
        <f>IF(H55="正常",I55,"免征")</f>
        <v>免征</v>
      </c>
      <c r="G55" s="2751"/>
      <c r="H55" s="2746"/>
      <c r="I55" s="170">
        <f>'数据-取费表'!B49</f>
        <v>5.0000000000000001E-4</v>
      </c>
      <c r="J55" s="2719">
        <f>IF(H59="非个人房产","",4)</f>
        <v>4</v>
      </c>
      <c r="K55" s="3383" t="str">
        <f>IF(H59="非个人房产","——","个人所得税")</f>
        <v>个人所得税</v>
      </c>
      <c r="L55" s="3383"/>
      <c r="M55" s="2724">
        <f ca="1">D59</f>
        <v>1253</v>
      </c>
      <c r="N55" s="2198" t="str">
        <f>E59</f>
        <v>差额计税</v>
      </c>
      <c r="O55" s="2725">
        <f>F59</f>
        <v>0.01</v>
      </c>
    </row>
    <row r="56" spans="1:35" ht="24.75">
      <c r="A56" s="3446" t="s">
        <v>1987</v>
      </c>
      <c r="B56" s="3424"/>
      <c r="C56" s="3424"/>
      <c r="D56" s="2517">
        <f ca="1">IF(H56="个人住宅",D57,D58)</f>
        <v>74451</v>
      </c>
      <c r="E56" s="2527" t="s">
        <v>1988</v>
      </c>
      <c r="F56" s="2750" t="str">
        <f>IF(H56="正常",F58,"免征")</f>
        <v>免征</v>
      </c>
      <c r="G56" s="2753" t="s">
        <v>1989</v>
      </c>
      <c r="H56" s="2754"/>
      <c r="I56" s="1964"/>
      <c r="J56" s="2719" t="str">
        <f>IF(项目基本情况!K6="上海银行",IF(J55="",4,J55+1),"")</f>
        <v/>
      </c>
      <c r="K56" s="3364" t="str">
        <f>IF(项目基本情况!K6="上海银行","其他处置费用","")</f>
        <v/>
      </c>
      <c r="L56" s="3365"/>
      <c r="M56" s="2721" t="str">
        <f>IF(项目基本情况!K6="上海银行",M69,"")</f>
        <v/>
      </c>
      <c r="N56" s="3364" t="str">
        <f>IF(项目基本情况!K6="上海银行","包含处置中涉及的律师、诉讼、拍卖、评估等费用","")</f>
        <v/>
      </c>
      <c r="O56" s="3367"/>
    </row>
    <row r="57" spans="1:35" ht="12.75">
      <c r="A57" s="2528" t="s">
        <v>1965</v>
      </c>
      <c r="B57" s="3407" t="s">
        <v>1990</v>
      </c>
      <c r="C57" s="3408"/>
      <c r="D57" s="1745">
        <v>0</v>
      </c>
      <c r="E57" s="330" t="s">
        <v>1967</v>
      </c>
      <c r="F57" s="308"/>
      <c r="G57" s="2751"/>
      <c r="H57" s="2755"/>
      <c r="I57" s="1964"/>
      <c r="J57" s="3383">
        <f>IF(AND(J55="",J56=""),4,IF(项目基本情况!K6="上海银行",结果表!J56+1,结果表!J55+1))</f>
        <v>5</v>
      </c>
      <c r="K57" s="3383" t="s">
        <v>1991</v>
      </c>
      <c r="L57" s="2726" t="s">
        <v>1992</v>
      </c>
      <c r="M57" s="2727"/>
      <c r="N57" s="2728">
        <f ca="1">SUMIF(M52:M56,"&lt;9e307")</f>
        <v>75770</v>
      </c>
      <c r="O57" s="2729"/>
      <c r="P57" s="2889">
        <f ca="1">N57/M49</f>
        <v>0.57602250266078758</v>
      </c>
    </row>
    <row r="58" spans="1:35" ht="24.75">
      <c r="A58" s="2528" t="s">
        <v>1976</v>
      </c>
      <c r="B58" s="3407" t="s">
        <v>1993</v>
      </c>
      <c r="C58" s="3406"/>
      <c r="D58" s="2517">
        <f ca="1">IF(H58="转让取得",C81,C97)</f>
        <v>74451</v>
      </c>
      <c r="E58" s="2527" t="s">
        <v>1988</v>
      </c>
      <c r="F58" s="308" t="s">
        <v>34</v>
      </c>
      <c r="G58" s="2751"/>
      <c r="H58" s="2754"/>
      <c r="I58" s="1964"/>
      <c r="J58" s="3383"/>
      <c r="K58" s="3383"/>
      <c r="L58" s="2726" t="s">
        <v>1994</v>
      </c>
      <c r="M58" s="2730"/>
      <c r="N58" s="2731" t="str">
        <f ca="1">NUMBERSTRING(INT(N57*10000),2)&amp;"元整"</f>
        <v>柒亿伍仟柒佰柒拾万元整</v>
      </c>
      <c r="O58" s="2732"/>
    </row>
    <row r="59" spans="1:35" ht="24.75" thickBot="1">
      <c r="A59" s="3387" t="s">
        <v>1995</v>
      </c>
      <c r="B59" s="3388"/>
      <c r="C59" s="3388"/>
      <c r="D59" s="2756">
        <f ca="1">IF(H59="非个人房产","——",IF(H59="个人住宅（满五唯一有凭证）",0,IF(H59="个人其他（无凭证）",ROUND(D45*F59,0),ROUND(C67*F59,0))))</f>
        <v>1253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2817</v>
      </c>
      <c r="J59" s="3385">
        <f>J57+1</f>
        <v>6</v>
      </c>
      <c r="K59" s="3383" t="s">
        <v>1996</v>
      </c>
      <c r="L59" s="2719" t="s">
        <v>1992</v>
      </c>
      <c r="M59" s="2733"/>
      <c r="N59" s="2734">
        <f ca="1">M49-N57</f>
        <v>55770</v>
      </c>
      <c r="O59" s="2735"/>
    </row>
    <row r="60" spans="1:35" ht="12" customHeight="1">
      <c r="A60" s="1965"/>
      <c r="B60" s="1903"/>
      <c r="C60" s="1903"/>
      <c r="D60" s="1903"/>
      <c r="E60" s="1733"/>
      <c r="F60" s="1964"/>
      <c r="G60" s="1964"/>
      <c r="H60" s="1966"/>
      <c r="I60" s="134"/>
      <c r="J60" s="3386"/>
      <c r="K60" s="3383"/>
      <c r="L60" s="2726" t="s">
        <v>1994</v>
      </c>
      <c r="M60" s="2730"/>
      <c r="N60" s="2731" t="str">
        <f ca="1">NUMBERSTRING(INT(N59*10000),2)&amp;"元整"</f>
        <v>伍亿伍仟柒佰柒拾万元整</v>
      </c>
      <c r="O60" s="2732"/>
    </row>
    <row r="61" spans="1:35" ht="13.5" thickBot="1">
      <c r="A61" s="3445" t="s">
        <v>1997</v>
      </c>
      <c r="B61" s="3445"/>
      <c r="C61" s="3445"/>
      <c r="D61" s="3445"/>
      <c r="E61" s="3445"/>
      <c r="F61" s="1964"/>
      <c r="G61" s="1964"/>
      <c r="H61" s="1966"/>
      <c r="I61" s="134"/>
      <c r="J61" s="2719">
        <f>J59+1</f>
        <v>7</v>
      </c>
      <c r="K61" s="3383" t="s">
        <v>1998</v>
      </c>
      <c r="L61" s="3383"/>
      <c r="M61" s="2736"/>
      <c r="N61" s="2737">
        <f ca="1">ROUND(N59*10000/'数据-汇总表'!E3,0)</f>
        <v>9198</v>
      </c>
      <c r="O61" s="2738"/>
    </row>
    <row r="62" spans="1:35" ht="12.75">
      <c r="A62" s="3402" t="s">
        <v>1999</v>
      </c>
      <c r="B62" s="3403"/>
      <c r="C62" s="2179"/>
      <c r="D62" s="2179" t="s">
        <v>2000</v>
      </c>
      <c r="E62" s="171" t="s">
        <v>2001</v>
      </c>
      <c r="F62" s="1964"/>
      <c r="G62" s="1964"/>
      <c r="H62" s="1966"/>
      <c r="I62" s="134"/>
    </row>
    <row r="63" spans="1:35" ht="12.75">
      <c r="A63" s="178" t="s">
        <v>775</v>
      </c>
      <c r="B63" s="172" t="s">
        <v>2002</v>
      </c>
      <c r="C63" s="2760">
        <f ca="1">ROUND((C64+C65)/(1+'数据-取费表'!C42),0)</f>
        <v>125276</v>
      </c>
      <c r="D63" s="172"/>
      <c r="E63" s="173"/>
      <c r="F63" s="1964"/>
      <c r="G63" s="1964"/>
      <c r="H63" s="1966"/>
      <c r="I63" s="134"/>
      <c r="J63" s="3366" t="s">
        <v>2003</v>
      </c>
      <c r="K63" s="1472" t="s">
        <v>2004</v>
      </c>
      <c r="L63" s="1472">
        <f ca="1">IF(M49&gt;10000,M49*0.5%,IF(AND(M49&gt;1000,M49&lt;=10000),M49*1%,IF(AND(M49&gt;100,M49&lt;=1000),M49*3%,IF(AND(M49&gt;10,M49&lt;=100),M49*5%,M49*8%))))</f>
        <v>657.7</v>
      </c>
      <c r="M63" s="308">
        <f ca="1">ROUND(L63,1)</f>
        <v>657.7</v>
      </c>
      <c r="N63" s="2739"/>
      <c r="Z63" s="1908"/>
      <c r="AI63" s="1909"/>
    </row>
    <row r="64" spans="1:35" ht="14.25" customHeight="1">
      <c r="A64" s="174" t="s">
        <v>770</v>
      </c>
      <c r="B64" s="175" t="s">
        <v>2005</v>
      </c>
      <c r="C64" s="2761">
        <f ca="1">D45</f>
        <v>131540</v>
      </c>
      <c r="D64" s="175" t="s">
        <v>32</v>
      </c>
      <c r="E64" s="177"/>
      <c r="F64" s="1964"/>
      <c r="G64" s="1964"/>
      <c r="H64" s="1966"/>
      <c r="I64" s="134"/>
      <c r="J64" s="3366"/>
      <c r="K64" s="1472" t="s">
        <v>2006</v>
      </c>
      <c r="L64" s="1472">
        <f ca="1">IF(M49&gt;2000,M49*0.5%,IF(AND(M49&gt;1000,M49&lt;=2000),M49*0.6%,IF(AND(M49&gt;500,M49&lt;=1000),M49*0.7%,IF(AND(M49&gt;200,M49&lt;=500),M49*0.8%,IF(AND(M49&gt;100,M49&lt;=200),M49*0.9%,IF(AND(M49&gt;50,M49&lt;=100),M49*1%,IF(AND(M49&gt;20,M49&lt;=50),M49*1.5%,IF(AND(M49&gt;10,M49&lt;=20),M49*2%,IF(AND(M49&gt;1,M49&lt;=10),M49*2.5%)))))))))</f>
        <v>657.7</v>
      </c>
      <c r="M64" s="308">
        <f t="shared" ref="M64:M65" ca="1" si="1">ROUND(L64,1)</f>
        <v>657.7</v>
      </c>
      <c r="N64" s="2740" t="s">
        <v>2007</v>
      </c>
      <c r="Z64" s="1908"/>
      <c r="AI64" s="1909"/>
    </row>
    <row r="65" spans="1:35" ht="14.25" customHeight="1">
      <c r="A65" s="174" t="s">
        <v>771</v>
      </c>
      <c r="B65" s="175" t="s">
        <v>2008</v>
      </c>
      <c r="C65" s="2762"/>
      <c r="D65" s="175"/>
      <c r="E65" s="177"/>
      <c r="F65" s="1964"/>
      <c r="G65" s="1964"/>
      <c r="H65" s="1966"/>
      <c r="I65" s="134"/>
      <c r="J65" s="3366"/>
      <c r="K65" s="1472" t="s">
        <v>2009</v>
      </c>
      <c r="L65" s="1472">
        <f ca="1">IF(M49&gt;1000,M49*0.1%,IF(AND(M49&gt;500,M49&lt;=1000),M49*0.5%,IF(AND(M49&gt;50,M49&lt;=500),M49*1%,IF(AND(M49&gt;1,M49&lt;=50),M49*1.5%))))</f>
        <v>131.54</v>
      </c>
      <c r="M65" s="308">
        <f t="shared" ca="1" si="1"/>
        <v>131.5</v>
      </c>
      <c r="N65" s="2740" t="s">
        <v>2007</v>
      </c>
      <c r="Z65" s="1908"/>
      <c r="AI65" s="1909"/>
    </row>
    <row r="66" spans="1:35" ht="14.25" customHeight="1">
      <c r="A66" s="178" t="s">
        <v>772</v>
      </c>
      <c r="B66" s="179" t="s">
        <v>2010</v>
      </c>
      <c r="C66" s="2763"/>
      <c r="D66" s="179" t="s">
        <v>32</v>
      </c>
      <c r="E66" s="1479" t="s">
        <v>1277</v>
      </c>
      <c r="F66" s="1964"/>
      <c r="G66" s="1964"/>
      <c r="H66" s="1966"/>
      <c r="I66" s="134"/>
      <c r="J66" s="3366"/>
      <c r="K66" s="1472" t="s">
        <v>2011</v>
      </c>
      <c r="L66" s="1472">
        <f ca="1">M49*0.5%</f>
        <v>657.7</v>
      </c>
      <c r="M66" s="308">
        <f ca="1">IF(L66&gt;0.5,0.5,ROUND(L66,0))</f>
        <v>0.5</v>
      </c>
      <c r="N66" s="2740" t="s">
        <v>2012</v>
      </c>
      <c r="Z66" s="1908"/>
      <c r="AI66" s="1909"/>
    </row>
    <row r="67" spans="1:35" ht="14.25" customHeight="1">
      <c r="A67" s="178" t="s">
        <v>773</v>
      </c>
      <c r="B67" s="179" t="s">
        <v>2013</v>
      </c>
      <c r="C67" s="2764">
        <f ca="1">C63-C66</f>
        <v>125276</v>
      </c>
      <c r="D67" s="175" t="s">
        <v>32</v>
      </c>
      <c r="E67" s="177"/>
      <c r="F67" s="1964"/>
      <c r="G67" s="1964"/>
      <c r="H67" s="1966"/>
      <c r="I67" s="134"/>
      <c r="J67" s="3366"/>
      <c r="K67" s="1472" t="s">
        <v>2014</v>
      </c>
      <c r="L67" s="1472">
        <f ca="1">IF(M49&gt;=10000,(8.25+(M49-10000)*0.01%),IF(AND(M49&gt;=8000,M49&lt;10000),(7.85+(M49-8000)*0.02%),IF(AND(M49&gt;=5000,M49&lt;8000),(6.65+(M49-5000)*0.04%),IF(AND(M49&gt;=2000,M49&lt;5000),(4.25+(PM49-2000)*0.08%),IF(AND(M49&gt;=1000,M49&lt;2000),(2.75+(M49-1000)*0.15%),IF(AND(M49&gt;=100,M49&lt;1000),(0.5+(M49-100)*0.25%),IF(AND(M49&gt;0,M49&lt;100),M49*0.5%)))))))</f>
        <v>20.404</v>
      </c>
      <c r="M67" s="308">
        <f ca="1">ROUND(L67*0.9,1)</f>
        <v>18.399999999999999</v>
      </c>
      <c r="N67" s="2739"/>
      <c r="Z67" s="1908"/>
      <c r="AI67" s="1909"/>
    </row>
    <row r="68" spans="1:35" ht="14.25" customHeight="1" thickBot="1">
      <c r="A68" s="181" t="s">
        <v>774</v>
      </c>
      <c r="B68" s="182" t="s">
        <v>2015</v>
      </c>
      <c r="C68" s="2765">
        <f ca="1">IF(C67&lt;=0,0,ROUND(C67*D68,0))</f>
        <v>7015</v>
      </c>
      <c r="D68" s="2766">
        <f>'数据-取费表'!B41</f>
        <v>5.6000000000000001E-2</v>
      </c>
      <c r="E68" s="184"/>
      <c r="F68" s="1964"/>
      <c r="G68" s="1964"/>
      <c r="H68" s="1966"/>
      <c r="I68" s="134"/>
      <c r="J68" s="3366"/>
      <c r="K68" s="1472" t="s">
        <v>2016</v>
      </c>
      <c r="L68" s="1472">
        <f ca="1">IF(M49&gt;10000,M49*0.5%,IF(AND(M49&gt;5000,M49&lt;=10000),M49*1%,IF(AND(M49&gt;1000,M49&lt;=5000),M49*2%,IF(AND(M49&gt;200,M49&lt;=1000),M49*3%,M49*5%))))</f>
        <v>657.7</v>
      </c>
      <c r="M68" s="308">
        <f ca="1">ROUND(L68,1)</f>
        <v>657.7</v>
      </c>
      <c r="N68" s="2739"/>
      <c r="Z68" s="1908"/>
      <c r="AI68" s="1909"/>
    </row>
    <row r="69" spans="1:35" s="1928" customFormat="1" ht="16.5" customHeight="1">
      <c r="A69" s="1967"/>
      <c r="B69" s="1968"/>
      <c r="C69" s="1969"/>
      <c r="D69" s="1970"/>
      <c r="E69" s="1971"/>
      <c r="F69" s="1733"/>
      <c r="G69" s="1733"/>
      <c r="H69" s="1732"/>
      <c r="I69" s="1903"/>
      <c r="J69" s="3366"/>
      <c r="K69" s="1472" t="s">
        <v>2017</v>
      </c>
      <c r="L69" s="1472"/>
      <c r="M69" s="308">
        <f ca="1">ROUND(SUM(M63:M68),0)</f>
        <v>2124</v>
      </c>
      <c r="N69" s="2741">
        <f ca="1">M69/M49</f>
        <v>1.6147179565151284E-2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10" t="s">
        <v>2018</v>
      </c>
      <c r="B70" s="3411"/>
      <c r="C70" s="3411"/>
      <c r="D70" s="3411"/>
      <c r="E70" s="3411"/>
      <c r="F70" s="3411"/>
      <c r="G70" s="3411"/>
      <c r="H70" s="341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2" t="s">
        <v>1999</v>
      </c>
      <c r="B71" s="3403"/>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125276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752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407" t="s">
        <v>2026</v>
      </c>
      <c r="F76" s="3406"/>
      <c r="G76" s="3406"/>
      <c r="H76" s="340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752</v>
      </c>
      <c r="D78" s="2773">
        <f>'数据-取费表'!B43</f>
        <v>6.000000000000001E-3</v>
      </c>
      <c r="E78" s="3399" t="s">
        <v>2030</v>
      </c>
      <c r="F78" s="3400"/>
      <c r="G78" s="3400"/>
      <c r="H78" s="340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124524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165.59042553191489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74451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10" t="s">
        <v>2034</v>
      </c>
      <c r="B83" s="3411"/>
      <c r="C83" s="3411"/>
      <c r="D83" s="3411"/>
      <c r="E83" s="3411"/>
      <c r="F83" s="3411"/>
      <c r="G83" s="3411"/>
      <c r="H83" s="341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2" t="s">
        <v>1999</v>
      </c>
      <c r="B84" s="3403"/>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125276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752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368" t="s">
        <v>2809</v>
      </c>
      <c r="H90" s="3369"/>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99" t="s">
        <v>2043</v>
      </c>
      <c r="F91" s="3400"/>
      <c r="G91" s="340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99" t="s">
        <v>2046</v>
      </c>
      <c r="F92" s="3400"/>
      <c r="G92" s="3400"/>
      <c r="H92" s="3401"/>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752</v>
      </c>
      <c r="D93" s="2773">
        <f>'数据-取费表'!B43</f>
        <v>6.000000000000001E-3</v>
      </c>
      <c r="E93" s="3399" t="s">
        <v>2030</v>
      </c>
      <c r="F93" s="3400"/>
      <c r="G93" s="3400"/>
      <c r="H93" s="340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447" t="s">
        <v>2050</v>
      </c>
      <c r="F94" s="3448"/>
      <c r="G94" s="3448"/>
      <c r="H94" s="344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124524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165.59042553191489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74451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49" t="s">
        <v>2052</v>
      </c>
      <c r="B100" s="3350"/>
      <c r="C100" s="3350"/>
      <c r="D100" s="3384"/>
      <c r="E100" s="3350" t="s">
        <v>2053</v>
      </c>
      <c r="F100" s="3350"/>
      <c r="G100" s="3350"/>
      <c r="H100" s="3384"/>
      <c r="I100" s="134"/>
    </row>
    <row r="101" spans="1:35" ht="18.75" customHeight="1">
      <c r="A101" s="3392" t="s">
        <v>2054</v>
      </c>
      <c r="B101" s="3393"/>
      <c r="C101" s="2781" t="str">
        <f>C4</f>
        <v>成本法</v>
      </c>
      <c r="D101" s="2782" t="str">
        <f>D4</f>
        <v>收益法-商业</v>
      </c>
      <c r="E101" s="3362" t="s">
        <v>2055</v>
      </c>
      <c r="F101" s="3363"/>
      <c r="G101" s="1983" t="s">
        <v>2056</v>
      </c>
      <c r="H101" s="2791">
        <f ca="1">H118</f>
        <v>131540</v>
      </c>
      <c r="I101" s="134"/>
    </row>
    <row r="102" spans="1:35" ht="18.75" customHeight="1">
      <c r="A102" s="3394" t="s">
        <v>2057</v>
      </c>
      <c r="B102" s="2780" t="s">
        <v>2056</v>
      </c>
      <c r="C102" s="2781">
        <f ca="1">C19</f>
        <v>131183</v>
      </c>
      <c r="D102" s="2782">
        <f ca="1">D19</f>
        <v>131896</v>
      </c>
      <c r="E102" s="3362"/>
      <c r="F102" s="3363"/>
      <c r="G102" s="1983" t="s">
        <v>2058</v>
      </c>
      <c r="H102" s="2751">
        <f ca="1">I118</f>
        <v>21694</v>
      </c>
      <c r="I102" s="134"/>
    </row>
    <row r="103" spans="1:35" ht="42.75" customHeight="1">
      <c r="A103" s="3394"/>
      <c r="B103" s="2780" t="s">
        <v>2058</v>
      </c>
      <c r="C103" s="2783">
        <f ca="1">C20</f>
        <v>21635</v>
      </c>
      <c r="D103" s="2784">
        <f ca="1">D20</f>
        <v>21752</v>
      </c>
      <c r="E103" s="3355" t="s">
        <v>2059</v>
      </c>
      <c r="F103" s="3356"/>
      <c r="G103" s="1984" t="s">
        <v>2060</v>
      </c>
      <c r="H103" s="2791">
        <f>IF(D36="正常操作",H104+H105+H106,H105+H106)</f>
        <v>0</v>
      </c>
      <c r="I103" s="134"/>
    </row>
    <row r="104" spans="1:35" ht="18.75" customHeight="1">
      <c r="A104" s="3394" t="s">
        <v>2061</v>
      </c>
      <c r="B104" s="2785" t="s">
        <v>2056</v>
      </c>
      <c r="C104" s="2786">
        <f ca="1">H118</f>
        <v>131540</v>
      </c>
      <c r="D104" s="2787"/>
      <c r="E104" s="1830" t="s">
        <v>2062</v>
      </c>
      <c r="F104" s="1821"/>
      <c r="G104" s="1984" t="s">
        <v>2060</v>
      </c>
      <c r="H104" s="2792">
        <f>IF(D36="同一抵押权人同一抵押物续贷",C36&amp;"（续贷，未扣减，详见特别提示）",C36)</f>
        <v>0</v>
      </c>
      <c r="I104" s="134"/>
    </row>
    <row r="105" spans="1:35" ht="18.75" customHeight="1" thickBot="1">
      <c r="A105" s="3404"/>
      <c r="B105" s="2788" t="s">
        <v>2058</v>
      </c>
      <c r="C105" s="2789">
        <f ca="1">I118</f>
        <v>21694</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395" t="str">
        <f>IF(项目基本情况!E8="已注销","——","3.房地产抵押价值")</f>
        <v>——</v>
      </c>
      <c r="F107" s="3363"/>
      <c r="G107" s="1983" t="s">
        <v>2056</v>
      </c>
      <c r="H107" s="2791" t="str">
        <f>IF(E107="——","——",H101-H103)</f>
        <v>——</v>
      </c>
      <c r="I107" s="134"/>
    </row>
    <row r="108" spans="1:35" ht="18.75" customHeight="1">
      <c r="A108" s="134"/>
      <c r="B108" s="134"/>
      <c r="C108" s="134"/>
      <c r="D108" s="134"/>
      <c r="E108" s="3395"/>
      <c r="F108" s="3363"/>
      <c r="G108" s="1983" t="s">
        <v>2058</v>
      </c>
      <c r="H108" s="2751" t="e">
        <f>ROUND(H107*10000/'数据-汇总表'!E3,0)</f>
        <v>#VALUE!</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3.抵押担保权已注销时的房地产抵押价值</v>
      </c>
      <c r="F109" s="3363"/>
      <c r="G109" s="1983" t="s">
        <v>2056</v>
      </c>
      <c r="H109" s="2794">
        <f ca="1">IF(E109="——","——",H101-H105-H106)</f>
        <v>131540</v>
      </c>
      <c r="I109" s="134"/>
    </row>
    <row r="110" spans="1:35" ht="18.75" customHeight="1">
      <c r="A110" s="134"/>
      <c r="B110" s="134"/>
      <c r="C110" s="134"/>
      <c r="D110" s="134"/>
      <c r="E110" s="3395"/>
      <c r="F110" s="3363"/>
      <c r="G110" s="1983" t="s">
        <v>2058</v>
      </c>
      <c r="H110" s="2751">
        <f ca="1">IF(H109="——","——",ROUND(H109*10000/'数据-汇总表'!E3,0))</f>
        <v>21694</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83" t="s">
        <v>2056</v>
      </c>
      <c r="H111" s="2791" t="str">
        <f>IF(E111="——","——",N59)</f>
        <v>——</v>
      </c>
      <c r="I111" s="134"/>
    </row>
    <row r="112" spans="1:35" ht="18.75" customHeight="1" thickBot="1">
      <c r="A112" s="134"/>
      <c r="B112" s="134"/>
      <c r="C112" s="134"/>
      <c r="D112" s="134"/>
      <c r="E112" s="3397"/>
      <c r="F112" s="3398"/>
      <c r="G112" s="1986" t="s">
        <v>2058</v>
      </c>
      <c r="H112" s="2795" t="str">
        <f>IF(E111="——","——",N61)</f>
        <v>——</v>
      </c>
      <c r="I112" s="134"/>
    </row>
    <row r="113" spans="1:27" ht="18.75" customHeight="1">
      <c r="A113" s="134"/>
      <c r="B113" s="134"/>
      <c r="C113" s="134"/>
      <c r="D113" s="134"/>
      <c r="E113" s="3405" t="s">
        <v>2064</v>
      </c>
      <c r="F113" s="3405"/>
      <c r="G113" s="3405"/>
      <c r="H113" s="3405"/>
      <c r="I113" s="134"/>
    </row>
    <row r="114" spans="1:27" ht="3.75" customHeight="1">
      <c r="A114" s="1903"/>
      <c r="B114" s="1903"/>
      <c r="C114" s="1903"/>
      <c r="D114" s="1903"/>
      <c r="E114" s="1965"/>
      <c r="F114" s="1965"/>
      <c r="G114" s="1965"/>
      <c r="H114" s="1965"/>
      <c r="I114" s="1903"/>
    </row>
    <row r="115" spans="1:27" ht="18.75" customHeight="1">
      <c r="A115" s="3416" t="s">
        <v>2066</v>
      </c>
      <c r="B115" s="3417"/>
      <c r="C115" s="3417"/>
      <c r="D115" s="3417"/>
      <c r="E115" s="3417"/>
      <c r="F115" s="3417"/>
      <c r="G115" s="3417"/>
      <c r="H115" s="3417"/>
      <c r="I115" s="3418"/>
    </row>
    <row r="116" spans="1:27" ht="27" customHeight="1">
      <c r="A116" s="3370" t="s">
        <v>2067</v>
      </c>
      <c r="B116" s="3374" t="s">
        <v>2068</v>
      </c>
      <c r="C116" s="3374" t="s">
        <v>2069</v>
      </c>
      <c r="D116" s="3380" t="s">
        <v>2070</v>
      </c>
      <c r="E116" s="3381"/>
      <c r="F116" s="3412" t="s">
        <v>2071</v>
      </c>
      <c r="G116" s="3412"/>
      <c r="H116" s="3370" t="s">
        <v>2072</v>
      </c>
      <c r="I116" s="3370"/>
    </row>
    <row r="117" spans="1:27" ht="18.75" customHeight="1">
      <c r="A117" s="3370"/>
      <c r="B117" s="3375"/>
      <c r="C117" s="3375"/>
      <c r="D117" s="2522" t="s">
        <v>2073</v>
      </c>
      <c r="E117" s="2522" t="s">
        <v>2074</v>
      </c>
      <c r="F117" s="2522" t="s">
        <v>2073</v>
      </c>
      <c r="G117" s="2522" t="s">
        <v>2075</v>
      </c>
      <c r="H117" s="2522" t="s">
        <v>2073</v>
      </c>
      <c r="I117" s="2522" t="s">
        <v>2075</v>
      </c>
    </row>
    <row r="118" spans="1:27" ht="24.75" customHeight="1">
      <c r="A118" s="2796" t="str">
        <f>项目基本情况!S2</f>
        <v>北京市房地产</v>
      </c>
      <c r="B118" s="2522">
        <f>M18</f>
        <v>60635.1</v>
      </c>
      <c r="C118" s="2522">
        <f>M19</f>
        <v>16578.400000000001</v>
      </c>
      <c r="D118" s="2522">
        <f ca="1">ROUND(IF(D32="总价",C34,E118*B118/10000),0)</f>
        <v>100365</v>
      </c>
      <c r="E118" s="2522">
        <f ca="1">ROUND(IF(C33="自定义",IF(D32="楼面单价",C34,D118*10000/B118),I118-G118),0)</f>
        <v>16553</v>
      </c>
      <c r="F118" s="2522">
        <f ca="1">ROUND(IF(D32="总价",C35,G118*B118/10000),0)</f>
        <v>31175</v>
      </c>
      <c r="G118" s="2522">
        <f ca="1">ROUND(IF(D32="楼面单价",C35,F118*10000/B118),0)</f>
        <v>5141</v>
      </c>
      <c r="H118" s="2522">
        <f ca="1">ROUND(IF(D32="总价",C32,I118*B118/10000),0)</f>
        <v>131540</v>
      </c>
      <c r="I118" s="2522">
        <f ca="1">ROUND(IF(D32="楼面单价",C32,H118*10000/B118),0)</f>
        <v>21694</v>
      </c>
    </row>
    <row r="119" spans="1:27" ht="18.75" customHeight="1">
      <c r="A119" s="3370" t="s">
        <v>2076</v>
      </c>
      <c r="B119" s="3370"/>
      <c r="C119" s="3370"/>
      <c r="D119" s="3376" t="str">
        <f ca="1">NUMBERSTRING(INT(D118*10000),2)&amp;"元整"</f>
        <v>壹拾亿零叁佰陆拾伍万元整</v>
      </c>
      <c r="E119" s="3377"/>
      <c r="F119" s="3376" t="str">
        <f ca="1">NUMBERSTRING(INT(F118*10000),2)&amp;"元整"</f>
        <v>叁亿壹仟壹佰柒拾伍万元整</v>
      </c>
      <c r="G119" s="3377"/>
      <c r="H119" s="3376" t="str">
        <f ca="1">NUMBERSTRING(INT(H118*10000),2)&amp;"元整"</f>
        <v>壹拾叁亿壹仟伍佰肆拾万元整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3" t="s">
        <v>2076</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
      </c>
      <c r="B122" s="3382"/>
      <c r="C122" s="3382"/>
      <c r="D122" s="3371" t="str">
        <f>H107</f>
        <v>——</v>
      </c>
      <c r="E122" s="3372"/>
      <c r="F122" s="3372"/>
      <c r="G122" s="3372"/>
      <c r="H122" s="3372"/>
      <c r="I122" s="3373"/>
      <c r="AA122" s="734"/>
    </row>
    <row r="123" spans="1:27" ht="18.75" customHeight="1">
      <c r="A123" s="3370" t="s">
        <v>2076</v>
      </c>
      <c r="B123" s="3370"/>
      <c r="C123" s="3370"/>
      <c r="D123" s="3376" t="e">
        <f>NUMBERSTRING(INT(D122*10000),2)&amp;"元整"</f>
        <v>#VALUE!</v>
      </c>
      <c r="E123" s="3378"/>
      <c r="F123" s="3378"/>
      <c r="G123" s="3378"/>
      <c r="H123" s="3378"/>
      <c r="I123" s="3377"/>
      <c r="AA123" s="734"/>
    </row>
    <row r="124" spans="1:27" ht="18.75" customHeight="1">
      <c r="A124" s="3382" t="str">
        <f>IF(项目基本情况!B9="房地产市场价值","",MID(E109,3,LEN(E109)-2))</f>
        <v>抵押担保权已注销时的房地产抵押价值</v>
      </c>
      <c r="B124" s="3382"/>
      <c r="C124" s="3382"/>
      <c r="D124" s="3371">
        <f ca="1">H109</f>
        <v>131540</v>
      </c>
      <c r="E124" s="3372"/>
      <c r="F124" s="3372"/>
      <c r="G124" s="3372"/>
      <c r="H124" s="3372"/>
      <c r="I124" s="3373"/>
      <c r="AA124" s="734"/>
    </row>
    <row r="125" spans="1:27" ht="18.75" customHeight="1">
      <c r="A125" s="3370" t="s">
        <v>2076</v>
      </c>
      <c r="B125" s="3370"/>
      <c r="C125" s="3370"/>
      <c r="D125" s="3376" t="str">
        <f ca="1">NUMBERSTRING(INT(D124*10000),2)&amp;"元整"</f>
        <v>壹拾叁亿壹仟伍佰肆拾万元整</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2076</v>
      </c>
      <c r="B127" s="3370"/>
      <c r="C127" s="3370"/>
      <c r="D127" s="3376" t="e">
        <f>NUMBERSTRING(INT(D126*10000),2)&amp;"元整"</f>
        <v>#VALUE!</v>
      </c>
      <c r="E127" s="3378"/>
      <c r="F127" s="3378"/>
      <c r="G127" s="3378"/>
      <c r="H127" s="3378"/>
      <c r="I127" s="3377"/>
      <c r="AA127" s="734"/>
    </row>
    <row r="128" spans="1:27" ht="21.75" customHeight="1">
      <c r="A128" s="3379" t="s">
        <v>2077</v>
      </c>
      <c r="B128" s="3379"/>
      <c r="C128" s="3379"/>
      <c r="D128" s="3379"/>
      <c r="E128" s="3379"/>
      <c r="F128" s="3379"/>
      <c r="G128" s="3379"/>
      <c r="H128" s="3379"/>
      <c r="I128" s="3379"/>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131183</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21635</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C6+C7+C8</f>
        <v>70592</v>
      </c>
      <c r="D5" s="217" t="s">
        <v>2093</v>
      </c>
      <c r="E5" s="218" t="s">
        <v>2094</v>
      </c>
      <c r="F5" s="218" t="s">
        <v>2095</v>
      </c>
      <c r="G5" s="219"/>
    </row>
    <row r="6" spans="1:9" s="220" customFormat="1" ht="13.5" customHeight="1">
      <c r="A6" s="886" t="s">
        <v>2096</v>
      </c>
      <c r="B6" s="221" t="s">
        <v>2097</v>
      </c>
      <c r="C6" s="222">
        <f>基准地价修正!V2+基准地价修正!V3+基准地价修正!V4+基准地价修正!V5+基准地价修正!E33+基准地价修正!E39</f>
        <v>67326</v>
      </c>
      <c r="D6" s="223"/>
      <c r="E6" s="224"/>
      <c r="F6" s="224"/>
      <c r="G6" s="225"/>
    </row>
    <row r="7" spans="1:9" s="220" customFormat="1" ht="13.5" customHeight="1">
      <c r="A7" s="886" t="s">
        <v>2098</v>
      </c>
      <c r="B7" s="221" t="s">
        <v>2099</v>
      </c>
      <c r="C7" s="226">
        <f>ROUND(C6*F7,0)</f>
        <v>2053</v>
      </c>
      <c r="D7" s="226"/>
      <c r="E7" s="224"/>
      <c r="F7" s="227">
        <f>IF(项目基本情况!B8="出让",0,'数据-取费表'!B48+'数据-取费表'!B49)</f>
        <v>3.0499999999999999E-2</v>
      </c>
      <c r="G7" s="225"/>
    </row>
    <row r="8" spans="1:9" s="229" customFormat="1">
      <c r="A8" s="886" t="s">
        <v>2100</v>
      </c>
      <c r="B8" s="221" t="s">
        <v>2101</v>
      </c>
      <c r="C8" s="226">
        <f>IF(G8="已包含在土地购买价格中","0",IF(B1="",'数据-取费表'!B29,IF(G9="全部缴纳",C9+C10,H9)))</f>
        <v>1213</v>
      </c>
      <c r="D8" s="228"/>
      <c r="E8" s="226"/>
      <c r="F8" s="227"/>
      <c r="G8" s="2012" t="s">
        <v>3167</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0</v>
      </c>
      <c r="F9" s="227"/>
      <c r="G9" s="2013" t="s">
        <v>3168</v>
      </c>
      <c r="H9" s="1271"/>
      <c r="I9" s="2014" t="s">
        <v>2103</v>
      </c>
    </row>
    <row r="10" spans="1:9" s="220" customFormat="1" ht="13.5" customHeight="1">
      <c r="A10" s="887" t="s">
        <v>801</v>
      </c>
      <c r="B10" s="230" t="s">
        <v>2104</v>
      </c>
      <c r="C10" s="231">
        <f ca="1">ROUND(D10*E10/10000,0)</f>
        <v>1213</v>
      </c>
      <c r="D10" s="954">
        <f ca="1">IF(B1="",'数据-汇总表'!E6,IF(INDIRECT("'数据-取费表'!c"&amp;$G$1)="住宅",INDIRECT("'数据-取费表'!s"&amp;$G$1),INDIRECT("'数据-取费表'!k"&amp;$G$1)+INDIRECT("'数据-取费表'!s"&amp;$G$1)))</f>
        <v>60635.1</v>
      </c>
      <c r="E10" s="231">
        <f>'数据-取费表'!B28</f>
        <v>200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60635.1</v>
      </c>
      <c r="E19" s="217">
        <f>'数据-取费表'!B31</f>
        <v>200</v>
      </c>
      <c r="F19" s="237"/>
      <c r="G19" s="2012" t="s">
        <v>3169</v>
      </c>
    </row>
    <row r="20" spans="1:7" s="220" customFormat="1" ht="13.5" customHeight="1">
      <c r="A20" s="261" t="s">
        <v>2117</v>
      </c>
      <c r="B20" s="216" t="s">
        <v>2118</v>
      </c>
      <c r="C20" s="238">
        <f>ROUND((C5+C19)*F20,0)</f>
        <v>1059</v>
      </c>
      <c r="D20" s="238"/>
      <c r="E20" s="238"/>
      <c r="F20" s="239">
        <f>'数据-取费表'!B37</f>
        <v>1.4999999999999999E-2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6">
        <f ca="1">ROUND(SUM(C23:C25),0)</f>
        <v>6321</v>
      </c>
      <c r="D22" s="241">
        <f ca="1">C26</f>
        <v>8.9999999999999998E-4</v>
      </c>
      <c r="E22" s="242" t="s">
        <v>2122</v>
      </c>
      <c r="F22" s="243">
        <f ca="1">'数据-取费表'!B40</f>
        <v>4.3499999999999997E-2</v>
      </c>
      <c r="G22" s="240" t="str">
        <f>IF('数据-取费表'!B22&lt;=1,"单利计息","复利计息")</f>
        <v>复利计息</v>
      </c>
    </row>
    <row r="23" spans="1:7" s="220" customFormat="1" ht="13.5" customHeight="1">
      <c r="A23" s="888" t="s">
        <v>2126</v>
      </c>
      <c r="B23" s="221" t="s">
        <v>2127</v>
      </c>
      <c r="C23" s="1237">
        <f ca="1">ROUND(IF('数据-取费表'!B22&lt;=1,C5*F22*'数据-取费表'!B23,C5*(POWER((1+F22),'数据-取费表'!B23)-1)),0)</f>
        <v>6275</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46</v>
      </c>
      <c r="D25" s="244"/>
      <c r="E25" s="247"/>
      <c r="F25" s="245"/>
      <c r="G25" s="248" t="s">
        <v>2134</v>
      </c>
    </row>
    <row r="26" spans="1:7" s="220" customFormat="1">
      <c r="A26" s="888" t="s">
        <v>795</v>
      </c>
      <c r="B26" s="221" t="s">
        <v>2135</v>
      </c>
      <c r="C26" s="244">
        <f ca="1">ROUND(IF('数据-取费表'!B22&lt;=1,F21*F22*'数据-取费表'!B23/2,F21*(POWER((1+F22),'数据-取费表'!B23/2)-1)),4)</f>
        <v>8.9999999999999998E-4</v>
      </c>
      <c r="D26" s="244"/>
      <c r="E26" s="247"/>
      <c r="F26" s="245"/>
      <c r="G26" s="249"/>
    </row>
    <row r="27" spans="1:7" s="220" customFormat="1" ht="24.75">
      <c r="A27" s="261" t="s">
        <v>2136</v>
      </c>
      <c r="B27" s="250" t="s">
        <v>2137</v>
      </c>
      <c r="C27" s="251">
        <f ca="1">C28</f>
        <v>14330</v>
      </c>
      <c r="D27" s="241">
        <f ca="1">C29</f>
        <v>4.0000000000000001E-3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ROUND((C5+C19+C20)*F27*'数据-取费表'!B21/'数据-取费表'!B20,0)</f>
        <v>14330</v>
      </c>
      <c r="D28" s="241"/>
      <c r="E28" s="242"/>
      <c r="F28" s="252"/>
      <c r="G28" s="253"/>
    </row>
    <row r="29" spans="1:7" s="220" customFormat="1" ht="13.5" customHeight="1">
      <c r="A29" s="888" t="s">
        <v>792</v>
      </c>
      <c r="B29" s="254" t="s">
        <v>2141</v>
      </c>
      <c r="C29" s="244">
        <f ca="1">ROUND(C21*F27*'数据-取费表'!B21/'数据-取费表'!B20,4)</f>
        <v>4.0000000000000001E-3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100132</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26680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24254</v>
      </c>
      <c r="D34" s="223"/>
      <c r="E34" s="226"/>
      <c r="F34" s="263">
        <f ca="1">IF('数据-取费表'!B24=0,1,IF(B1="",'数据-取费表'!N16,INDIRECT("'数据-取费表'!n"&amp;$G$1)))</f>
        <v>1</v>
      </c>
      <c r="G34" s="225" t="s">
        <v>2150</v>
      </c>
    </row>
    <row r="35" spans="1:7" ht="13.5" customHeight="1">
      <c r="A35" s="888" t="s">
        <v>796</v>
      </c>
      <c r="B35" s="221" t="s">
        <v>2151</v>
      </c>
      <c r="C35" s="226">
        <f ca="1">ROUND(C34*F35,0)</f>
        <v>849</v>
      </c>
      <c r="D35" s="226"/>
      <c r="E35" s="226"/>
      <c r="F35" s="265">
        <f>'数据-取费表'!B33</f>
        <v>3.5000000000000003E-2</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1213</v>
      </c>
      <c r="D37" s="223">
        <f ca="1">D19</f>
        <v>60635.1</v>
      </c>
      <c r="E37" s="255">
        <f>'数据-取费表'!B35</f>
        <v>200</v>
      </c>
      <c r="F37" s="265"/>
      <c r="G37" s="267" t="s">
        <v>2156</v>
      </c>
    </row>
    <row r="38" spans="1:7" ht="13.5" customHeight="1">
      <c r="A38" s="888" t="s">
        <v>799</v>
      </c>
      <c r="B38" s="221" t="s">
        <v>2157</v>
      </c>
      <c r="C38" s="226">
        <f ca="1">ROUND(C34*F38,0)</f>
        <v>364</v>
      </c>
      <c r="D38" s="226"/>
      <c r="E38" s="226"/>
      <c r="F38" s="265">
        <f>'数据-取费表'!B36</f>
        <v>1.4999999999999999E-2</v>
      </c>
      <c r="G38" s="225" t="s">
        <v>2152</v>
      </c>
    </row>
    <row r="39" spans="1:7" s="220" customFormat="1" ht="13.5" customHeight="1">
      <c r="A39" s="261" t="s">
        <v>2158</v>
      </c>
      <c r="B39" s="216" t="s">
        <v>2159</v>
      </c>
      <c r="C39" s="238">
        <f ca="1">ROUND(C33*F20,0)</f>
        <v>400</v>
      </c>
      <c r="D39" s="238"/>
      <c r="E39" s="238"/>
      <c r="F39" s="2505">
        <f>F20</f>
        <v>1.4999999999999999E-2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1178</v>
      </c>
      <c r="D41" s="241">
        <f ca="1">C44</f>
        <v>8.9999999999999998E-4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ROUND(IF('数据-取费表'!B22&lt;=1,C33*F22*'数据-取费表'!B21/2,C33*(POWER((1+F22),'数据-取费表'!B21/2)-1)),0)</f>
        <v>1161</v>
      </c>
      <c r="D42" s="244"/>
      <c r="E42" s="244"/>
      <c r="F42" s="245"/>
      <c r="G42" s="3452" t="s">
        <v>2168</v>
      </c>
    </row>
    <row r="43" spans="1:7" ht="13.5" customHeight="1">
      <c r="A43" s="888" t="s">
        <v>792</v>
      </c>
      <c r="B43" s="221" t="s">
        <v>2169</v>
      </c>
      <c r="C43" s="244">
        <f ca="1">ROUND(IF('数据-取费表'!B22&lt;=1,C39*F22*'数据-取费表'!B21/2,C39*(POWER((1+F22),'数据-取费表'!B21/2)-1)),0)</f>
        <v>17</v>
      </c>
      <c r="D43" s="244"/>
      <c r="E43" s="244"/>
      <c r="F43" s="245"/>
      <c r="G43" s="3453"/>
    </row>
    <row r="44" spans="1:7" ht="13.5" customHeight="1">
      <c r="A44" s="888" t="s">
        <v>793</v>
      </c>
      <c r="B44" s="221" t="s">
        <v>2170</v>
      </c>
      <c r="C44" s="244">
        <f ca="1">ROUND(IF('数据-取费表'!B22&lt;=1,C40*F22*'数据-取费表'!B21/2,C40*(POWER((1+F22),'数据-取费表'!B21/2)-1)),4)</f>
        <v>8.9999999999999998E-4</v>
      </c>
      <c r="D44" s="244"/>
      <c r="E44" s="244"/>
      <c r="F44" s="245"/>
      <c r="G44" s="3454"/>
    </row>
    <row r="45" spans="1:7" s="220" customFormat="1" ht="13.5" customHeight="1">
      <c r="A45" s="261" t="s">
        <v>2171</v>
      </c>
      <c r="B45" s="250" t="s">
        <v>2137</v>
      </c>
      <c r="C45" s="251">
        <f ca="1">C46</f>
        <v>5416</v>
      </c>
      <c r="D45" s="241">
        <f ca="1">C47</f>
        <v>4.0000000000000001E-3</v>
      </c>
      <c r="E45" s="242" t="s">
        <v>2163</v>
      </c>
      <c r="F45" s="2507">
        <f ca="1">F27</f>
        <v>0.2</v>
      </c>
      <c r="G45" s="253" t="s">
        <v>2172</v>
      </c>
    </row>
    <row r="46" spans="1:7" s="220" customFormat="1" ht="13.5" customHeight="1">
      <c r="A46" s="888" t="s">
        <v>791</v>
      </c>
      <c r="B46" s="254" t="s">
        <v>2173</v>
      </c>
      <c r="C46" s="255">
        <f ca="1">ROUND((C33+C39)*F27,0)</f>
        <v>5416</v>
      </c>
      <c r="D46" s="269"/>
      <c r="E46" s="242"/>
      <c r="F46" s="252"/>
      <c r="G46" s="253"/>
    </row>
    <row r="47" spans="1:7" s="220" customFormat="1" ht="13.5" customHeight="1">
      <c r="A47" s="888" t="s">
        <v>792</v>
      </c>
      <c r="B47" s="254" t="s">
        <v>2174</v>
      </c>
      <c r="C47" s="244">
        <f ca="1">ROUND(C40*F27,4)</f>
        <v>4.0000000000000001E-3</v>
      </c>
      <c r="D47" s="269"/>
      <c r="E47" s="242"/>
      <c r="F47" s="252"/>
      <c r="G47" s="253"/>
    </row>
    <row r="48" spans="1:7" s="220" customFormat="1" ht="13.5" customHeight="1">
      <c r="A48" s="261" t="s">
        <v>2136</v>
      </c>
      <c r="B48" s="216" t="s">
        <v>2175</v>
      </c>
      <c r="C48" s="1467">
        <f>ROUND(F30/(1+'数据-取费表'!C42),4)</f>
        <v>5.33E-2</v>
      </c>
      <c r="D48" s="242" t="s">
        <v>2163</v>
      </c>
      <c r="E48" s="238"/>
      <c r="F48" s="2506">
        <f>F30</f>
        <v>5.6000000000000001E-2</v>
      </c>
      <c r="G48" s="240" t="s">
        <v>2176</v>
      </c>
    </row>
    <row r="49" spans="1:7" ht="16.5" customHeight="1">
      <c r="A49" s="261" t="s">
        <v>2142</v>
      </c>
      <c r="B49" s="216" t="s">
        <v>2177</v>
      </c>
      <c r="C49" s="238">
        <f ca="1">ROUND((C33+C39+C41+C45)/(1-C40-D41-D45-C48),0)</f>
        <v>36531</v>
      </c>
      <c r="D49" s="238"/>
      <c r="E49" s="238"/>
      <c r="F49" s="270"/>
      <c r="G49" s="240" t="s">
        <v>2178</v>
      </c>
    </row>
    <row r="50" spans="1:7" s="264" customFormat="1" ht="24">
      <c r="A50" s="261" t="s">
        <v>2179</v>
      </c>
      <c r="B50" s="216" t="s">
        <v>2180</v>
      </c>
      <c r="C50" s="238"/>
      <c r="D50" s="238"/>
      <c r="E50" s="238"/>
      <c r="F50" s="270">
        <f>IF('数据-取费表'!B24=0,'数据-取费表'!N16,1)</f>
        <v>0.85</v>
      </c>
      <c r="G50" s="253" t="s">
        <v>2181</v>
      </c>
    </row>
    <row r="51" spans="1:7" ht="16.5" customHeight="1">
      <c r="A51" s="261" t="s">
        <v>2182</v>
      </c>
      <c r="B51" s="216" t="s">
        <v>2183</v>
      </c>
      <c r="C51" s="238">
        <f ca="1">ROUND(C49*F50,0)</f>
        <v>31051</v>
      </c>
      <c r="D51" s="238"/>
      <c r="E51" s="238"/>
      <c r="F51" s="270"/>
      <c r="G51" s="240" t="s">
        <v>2184</v>
      </c>
    </row>
    <row r="52" spans="1:7" s="214" customFormat="1" ht="16.5" thickBot="1">
      <c r="A52" s="271" t="s">
        <v>2185</v>
      </c>
      <c r="B52" s="272"/>
      <c r="C52" s="273">
        <f ca="1">C31+C51</f>
        <v>131183</v>
      </c>
      <c r="D52" s="272"/>
      <c r="E52" s="272"/>
      <c r="F52" s="272"/>
      <c r="G52" s="274"/>
    </row>
    <row r="55" spans="1:7" ht="15">
      <c r="B55" s="276" t="s">
        <v>2186</v>
      </c>
      <c r="C55" s="277"/>
    </row>
    <row r="56" spans="1:7">
      <c r="B56" s="279" t="s">
        <v>1418</v>
      </c>
      <c r="C56" s="281">
        <f ca="1">1-C57</f>
        <v>0.76300000000000001</v>
      </c>
    </row>
    <row r="57" spans="1:7">
      <c r="B57" s="279" t="s">
        <v>1419</v>
      </c>
      <c r="C57" s="280">
        <f ca="1">ROUND(C51/C52,3)</f>
        <v>0.23699999999999999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3" t="str">
        <f>项目基本情况!B1</f>
        <v>北京市房地产抵押价值预评估</v>
      </c>
      <c r="C37" s="3263"/>
      <c r="D37" s="3263"/>
      <c r="E37" s="3263"/>
      <c r="F37" s="3263"/>
      <c r="G37" s="3263"/>
      <c r="H37" s="3263"/>
      <c r="I37" s="326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34491</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5688</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12127020</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12127020</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2104</v>
      </c>
      <c r="C10" s="231">
        <f ca="1">ROUND(D10*E10,0)</f>
        <v>12127020</v>
      </c>
      <c r="D10" s="954">
        <f ca="1">IF(B1="",'数据-汇总表'!E6,IF(INDIRECT("'数据-取费表'!c"&amp;$G$1)="住宅",INDIRECT("'数据-取费表'!s"&amp;$G$1),INDIRECT("'数据-取费表'!k"&amp;$G$1)+INDIRECT("'数据-取费表'!s"&amp;$G$1)))</f>
        <v>60635.1</v>
      </c>
      <c r="E10" s="231">
        <f>'数据-取费表'!B28</f>
        <v>200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12127020</v>
      </c>
      <c r="D19" s="958">
        <f ca="1">D9+D10</f>
        <v>60635.1</v>
      </c>
      <c r="E19" s="217">
        <f>'数据-取费表'!B31</f>
        <v>200</v>
      </c>
      <c r="F19" s="237"/>
      <c r="G19" s="2012"/>
    </row>
    <row r="20" spans="1:7" s="220" customFormat="1" ht="13.5" customHeight="1">
      <c r="A20" s="261" t="s">
        <v>2198</v>
      </c>
      <c r="B20" s="216" t="s">
        <v>2199</v>
      </c>
      <c r="C20" s="238">
        <f ca="1">ROUND((C5+C19)*F20,0)</f>
        <v>363811</v>
      </c>
      <c r="D20" s="238"/>
      <c r="E20" s="238"/>
      <c r="F20" s="239">
        <f>'数据-取费表'!B37</f>
        <v>1.4999999999999999E-2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61">
        <f ca="1">ROUND(SUM(C23:C25),0)</f>
        <v>2171822</v>
      </c>
      <c r="D22" s="241">
        <f ca="1">C26</f>
        <v>8.9999999999999998E-4</v>
      </c>
      <c r="E22" s="242" t="s">
        <v>2203</v>
      </c>
      <c r="F22" s="243">
        <f ca="1">'数据-取费表'!B40</f>
        <v>4.3499999999999997E-2</v>
      </c>
      <c r="G22" s="240" t="str">
        <f>IF('数据-取费表'!B22&lt;=1,"单利计息","复利计息")</f>
        <v>复利计息</v>
      </c>
    </row>
    <row r="23" spans="1:7" s="220" customFormat="1" ht="13.5" customHeight="1">
      <c r="A23" s="888" t="s">
        <v>2096</v>
      </c>
      <c r="B23" s="221" t="s">
        <v>2207</v>
      </c>
      <c r="C23" s="1262">
        <f ca="1">ROUND(IF('数据-取费表'!B22&lt;=1,C5*F22*'数据-取费表'!B22,C5*(POWER((1+F22),'数据-取费表'!B22)-1)),0)</f>
        <v>1077998</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1077998</v>
      </c>
      <c r="D24" s="244"/>
      <c r="E24" s="244"/>
      <c r="F24" s="245"/>
      <c r="G24" s="246" t="s">
        <v>2210</v>
      </c>
    </row>
    <row r="25" spans="1:7" s="220" customFormat="1" ht="24">
      <c r="A25" s="888" t="s">
        <v>2100</v>
      </c>
      <c r="B25" s="221" t="s">
        <v>2211</v>
      </c>
      <c r="C25" s="1262">
        <f ca="1">ROUND(IF('数据-取费表'!B22&lt;=1,C20*F22*'数据-取费表'!B22/2,C20*(POWER((1+F22),'数据-取费表'!B22/2)-1)),0)</f>
        <v>15826</v>
      </c>
      <c r="D25" s="244"/>
      <c r="E25" s="247"/>
      <c r="F25" s="245"/>
      <c r="G25" s="248" t="s">
        <v>2212</v>
      </c>
    </row>
    <row r="26" spans="1:7" s="220" customFormat="1">
      <c r="A26" s="888" t="s">
        <v>795</v>
      </c>
      <c r="B26" s="221" t="s">
        <v>2135</v>
      </c>
      <c r="C26" s="244">
        <f ca="1">ROUND(IF('数据-取费表'!B22&lt;=1,F21*F22*'数据-取费表'!B22/2,F21*(POWER((1+F22),'数据-取费表'!B22/2)-1)),4)</f>
        <v>8.9999999999999998E-4</v>
      </c>
      <c r="D26" s="244"/>
      <c r="E26" s="247"/>
      <c r="F26" s="245"/>
      <c r="G26" s="249"/>
    </row>
    <row r="27" spans="1:7" s="220" customFormat="1" ht="24.75">
      <c r="A27" s="261" t="s">
        <v>2136</v>
      </c>
      <c r="B27" s="250" t="s">
        <v>2137</v>
      </c>
      <c r="C27" s="251">
        <f ca="1">C28</f>
        <v>4923570</v>
      </c>
      <c r="D27" s="241">
        <f ca="1">C29</f>
        <v>4.0000000000000001E-3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ROUND((C5+C19+C20)*F27,0)</f>
        <v>4923570</v>
      </c>
      <c r="D28" s="241"/>
      <c r="E28" s="242"/>
      <c r="F28" s="252"/>
      <c r="G28" s="253"/>
    </row>
    <row r="29" spans="1:7" s="220" customFormat="1" ht="13.5" customHeight="1">
      <c r="A29" s="888" t="s">
        <v>792</v>
      </c>
      <c r="B29" s="254" t="s">
        <v>2141</v>
      </c>
      <c r="C29" s="244">
        <f ca="1">ROUND(C21*F27,4)</f>
        <v>4.0000000000000001E-3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34403605</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266794440</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242540400</v>
      </c>
      <c r="D34" s="223"/>
      <c r="E34" s="226"/>
      <c r="F34" s="263"/>
      <c r="G34" s="225"/>
    </row>
    <row r="35" spans="1:7" ht="13.5" customHeight="1">
      <c r="A35" s="888" t="s">
        <v>796</v>
      </c>
      <c r="B35" s="221" t="s">
        <v>2151</v>
      </c>
      <c r="C35" s="226">
        <f ca="1">ROUND(C34*F35,0)</f>
        <v>8488914</v>
      </c>
      <c r="D35" s="226"/>
      <c r="E35" s="226"/>
      <c r="F35" s="265">
        <f>'数据-取费表'!B33</f>
        <v>3.5000000000000003E-2</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12127020</v>
      </c>
      <c r="D37" s="223">
        <f ca="1">D19</f>
        <v>60635.1</v>
      </c>
      <c r="E37" s="255">
        <f>'数据-取费表'!B35</f>
        <v>200</v>
      </c>
      <c r="F37" s="265"/>
      <c r="G37" s="267"/>
    </row>
    <row r="38" spans="1:7" ht="13.5" customHeight="1">
      <c r="A38" s="888" t="s">
        <v>799</v>
      </c>
      <c r="B38" s="221" t="s">
        <v>2157</v>
      </c>
      <c r="C38" s="226">
        <f ca="1">ROUND(C34*F38,0)</f>
        <v>3638106</v>
      </c>
      <c r="D38" s="226"/>
      <c r="E38" s="226"/>
      <c r="F38" s="265">
        <f>'数据-取费表'!B36</f>
        <v>1.4999999999999999E-2</v>
      </c>
      <c r="G38" s="225" t="s">
        <v>2152</v>
      </c>
    </row>
    <row r="39" spans="1:7" s="220" customFormat="1" ht="13.5" customHeight="1">
      <c r="A39" s="261" t="s">
        <v>2158</v>
      </c>
      <c r="B39" s="216" t="s">
        <v>2159</v>
      </c>
      <c r="C39" s="238">
        <f ca="1">ROUND(C33*F20,0)</f>
        <v>4001917</v>
      </c>
      <c r="D39" s="238"/>
      <c r="E39" s="238"/>
      <c r="F39" s="2505">
        <f>F20</f>
        <v>1.4999999999999999E-2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11779641</v>
      </c>
      <c r="D41" s="241">
        <f ca="1">C44</f>
        <v>8.9999999999999998E-4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ROUND(IF('数据-取费表'!B22&lt;=1,C33*F22*'数据-取费表'!B20/2,C33*(POWER((1+F22),'数据-取费表'!B20/2)-1)),0)</f>
        <v>11605558</v>
      </c>
      <c r="D42" s="244"/>
      <c r="E42" s="244"/>
      <c r="F42" s="245"/>
      <c r="G42" s="3452" t="s">
        <v>2215</v>
      </c>
    </row>
    <row r="43" spans="1:7" ht="13.5" customHeight="1">
      <c r="A43" s="888" t="s">
        <v>792</v>
      </c>
      <c r="B43" s="221" t="s">
        <v>2169</v>
      </c>
      <c r="C43" s="244">
        <f ca="1">ROUND(IF('数据-取费表'!B22&lt;=1,C39*F22*'数据-取费表'!B20/2,C39*(POWER((1+F22),'数据-取费表'!B20/2)-1)),0)</f>
        <v>174083</v>
      </c>
      <c r="D43" s="244"/>
      <c r="E43" s="244"/>
      <c r="F43" s="245"/>
      <c r="G43" s="3453"/>
    </row>
    <row r="44" spans="1:7" ht="13.5" customHeight="1">
      <c r="A44" s="888" t="s">
        <v>793</v>
      </c>
      <c r="B44" s="221" t="s">
        <v>2170</v>
      </c>
      <c r="C44" s="244">
        <f ca="1">ROUND(IF('数据-取费表'!B22&lt;=1,C40*F22*'数据-取费表'!B20/2,C40*(POWER((1+F22),'数据-取费表'!B20/2)-1)),4)</f>
        <v>8.9999999999999998E-4</v>
      </c>
      <c r="D44" s="244"/>
      <c r="E44" s="244"/>
      <c r="F44" s="245"/>
      <c r="G44" s="3454"/>
    </row>
    <row r="45" spans="1:7" s="220" customFormat="1" ht="13.5" customHeight="1">
      <c r="A45" s="261" t="s">
        <v>2171</v>
      </c>
      <c r="B45" s="250" t="s">
        <v>2137</v>
      </c>
      <c r="C45" s="251">
        <f ca="1">C46</f>
        <v>54159271</v>
      </c>
      <c r="D45" s="241">
        <f ca="1">C47</f>
        <v>4.0000000000000001E-3</v>
      </c>
      <c r="E45" s="242" t="s">
        <v>2163</v>
      </c>
      <c r="F45" s="2507">
        <f ca="1">F27</f>
        <v>0.2</v>
      </c>
      <c r="G45" s="253" t="s">
        <v>2172</v>
      </c>
    </row>
    <row r="46" spans="1:7" s="220" customFormat="1" ht="13.5" customHeight="1">
      <c r="A46" s="888" t="s">
        <v>791</v>
      </c>
      <c r="B46" s="254" t="s">
        <v>2173</v>
      </c>
      <c r="C46" s="255">
        <f ca="1">ROUND((C33+C39)*F27,0)</f>
        <v>54159271</v>
      </c>
      <c r="D46" s="269"/>
      <c r="E46" s="242"/>
      <c r="F46" s="252"/>
      <c r="G46" s="253"/>
    </row>
    <row r="47" spans="1:7" s="220" customFormat="1" ht="13.5" customHeight="1">
      <c r="A47" s="888" t="s">
        <v>792</v>
      </c>
      <c r="B47" s="254" t="s">
        <v>2174</v>
      </c>
      <c r="C47" s="244">
        <f ca="1">ROUND(C40*F27,4)</f>
        <v>4.0000000000000001E-3</v>
      </c>
      <c r="D47" s="269"/>
      <c r="E47" s="242"/>
      <c r="F47" s="252"/>
      <c r="G47" s="253"/>
    </row>
    <row r="48" spans="1:7" s="220" customFormat="1" ht="13.5" customHeight="1">
      <c r="A48" s="261" t="s">
        <v>2136</v>
      </c>
      <c r="B48" s="216" t="s">
        <v>2175</v>
      </c>
      <c r="C48" s="268">
        <f>ROUND(F30/(1+'数据-取费表'!C42),4)</f>
        <v>5.33E-2</v>
      </c>
      <c r="D48" s="242" t="s">
        <v>2163</v>
      </c>
      <c r="E48" s="238"/>
      <c r="F48" s="2506">
        <f>F30</f>
        <v>5.6000000000000001E-2</v>
      </c>
      <c r="G48" s="240" t="s">
        <v>2176</v>
      </c>
    </row>
    <row r="49" spans="1:7" ht="16.5" customHeight="1">
      <c r="A49" s="261" t="s">
        <v>2142</v>
      </c>
      <c r="B49" s="216" t="s">
        <v>2216</v>
      </c>
      <c r="C49" s="238">
        <f ca="1">ROUND((C33+C39+C41+C45)/(1-C40-D41-D45-C48),0)</f>
        <v>365301876</v>
      </c>
      <c r="D49" s="238"/>
      <c r="E49" s="238"/>
      <c r="F49" s="270"/>
      <c r="G49" s="240" t="s">
        <v>2178</v>
      </c>
    </row>
    <row r="50" spans="1:7" s="264" customFormat="1">
      <c r="A50" s="261" t="s">
        <v>2179</v>
      </c>
      <c r="B50" s="216" t="s">
        <v>2180</v>
      </c>
      <c r="C50" s="238"/>
      <c r="D50" s="238"/>
      <c r="E50" s="238"/>
      <c r="F50" s="270">
        <f>IF('数据-取费表'!B24=0,'数据-取费表'!N16,1)</f>
        <v>0.85</v>
      </c>
      <c r="G50" s="253"/>
    </row>
    <row r="51" spans="1:7" ht="16.5" customHeight="1">
      <c r="A51" s="261" t="s">
        <v>2182</v>
      </c>
      <c r="B51" s="216" t="s">
        <v>2217</v>
      </c>
      <c r="C51" s="238">
        <f ca="1">ROUND(C49*F50,0)</f>
        <v>310506595</v>
      </c>
      <c r="D51" s="238"/>
      <c r="E51" s="238"/>
      <c r="F51" s="270"/>
      <c r="G51" s="240" t="s">
        <v>2184</v>
      </c>
    </row>
    <row r="52" spans="1:7" s="214" customFormat="1" ht="16.5" thickBot="1">
      <c r="A52" s="271" t="s">
        <v>2185</v>
      </c>
      <c r="B52" s="272"/>
      <c r="C52" s="273">
        <f ca="1">C31+C51</f>
        <v>344910200</v>
      </c>
      <c r="D52" s="272"/>
      <c r="E52" s="272"/>
      <c r="F52" s="272"/>
      <c r="G52" s="274"/>
    </row>
    <row r="55" spans="1:7" ht="15">
      <c r="B55" s="276" t="s">
        <v>2186</v>
      </c>
      <c r="C55" s="277"/>
    </row>
    <row r="56" spans="1:7">
      <c r="B56" s="279" t="s">
        <v>1418</v>
      </c>
      <c r="C56" s="281">
        <f ca="1">1-C57</f>
        <v>9.9999999999999978E-2</v>
      </c>
    </row>
    <row r="57" spans="1:7">
      <c r="B57" s="279" t="s">
        <v>1419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7"/>
      <c r="F1" s="3007"/>
      <c r="G1" s="2870"/>
      <c r="H1" s="3007"/>
      <c r="I1" s="3007"/>
      <c r="J1" s="3007"/>
      <c r="K1" s="3008">
        <f>MATCH(C1,'数据-取费表'!A6:A16,0)+5</f>
        <v>7</v>
      </c>
    </row>
    <row r="2" spans="1:33" ht="18" customHeight="1">
      <c r="A2" s="207" t="s">
        <v>2086</v>
      </c>
      <c r="B2" s="210">
        <f ca="1">C32</f>
        <v>0</v>
      </c>
      <c r="C2" s="282" t="s">
        <v>2219</v>
      </c>
      <c r="D2" s="282"/>
      <c r="E2" s="3007"/>
      <c r="F2" s="3007"/>
      <c r="G2" s="3007"/>
      <c r="H2" s="3007"/>
      <c r="I2" s="3007"/>
      <c r="J2" s="3007"/>
      <c r="K2" s="3007"/>
    </row>
    <row r="3" spans="1:33" ht="18" customHeight="1" thickBot="1">
      <c r="A3" s="209" t="s">
        <v>2088</v>
      </c>
      <c r="B3" s="210">
        <f ca="1">ROUND(B2*10000/IF(C1="",'数据-汇总表'!E3,INDIRECT("'数据-取费表'!K"&amp;$K$1)),0)</f>
        <v>0</v>
      </c>
      <c r="C3" s="282" t="s">
        <v>2220</v>
      </c>
      <c r="D3" s="282"/>
      <c r="E3" s="3007"/>
      <c r="F3" s="3007"/>
      <c r="G3" s="3007"/>
      <c r="H3" s="3007"/>
      <c r="I3" s="3007"/>
      <c r="J3" s="3007"/>
      <c r="K3" s="3007"/>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3.5000000000000003E-2</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60635.1</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60635.1</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2254</v>
      </c>
      <c r="C20" s="24">
        <f ca="1">ROUND(D20*E20/10000,0)</f>
        <v>1213</v>
      </c>
      <c r="D20" s="955">
        <f ca="1">IF(C1="",'数据-汇总表'!E6,IF(INDIRECT("'数据-取费表'!c"&amp;$K$1)="住宅",INDIRECT("'数据-取费表'!s"&amp;$K$1),INDIRECT("'数据-取费表'!k"&amp;$K$1)+INDIRECT("'数据-取费表'!s"&amp;$K$1)))</f>
        <v>60635.1</v>
      </c>
      <c r="E20" s="24">
        <f>'数据-取费表'!B28</f>
        <v>200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1.4999999999999999E-2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6"/>
      <c r="G1" s="1644"/>
      <c r="H1" s="1644"/>
      <c r="I1" s="1644"/>
      <c r="J1" s="1644"/>
      <c r="K1" s="1644"/>
      <c r="L1" s="1644"/>
      <c r="M1" s="1644"/>
      <c r="N1" s="1644"/>
      <c r="O1" s="1644"/>
      <c r="P1" s="1644"/>
      <c r="Q1" s="1644"/>
      <c r="R1" s="1644"/>
      <c r="S1" s="1644"/>
    </row>
    <row r="2" spans="1:22" ht="15.75">
      <c r="A2" s="2026" t="s">
        <v>2086</v>
      </c>
      <c r="B2" s="2027">
        <f ca="1">SUMIF(B6:B13,"&lt;&gt;#ref!",B6:B13)</f>
        <v>131896</v>
      </c>
      <c r="C2" s="2028" t="s">
        <v>2278</v>
      </c>
      <c r="D2" s="2029" t="s">
        <v>2279</v>
      </c>
      <c r="E2" s="2803">
        <f>SUM(E6:E13)</f>
        <v>60635.1</v>
      </c>
      <c r="F2" s="2906"/>
      <c r="G2" s="1644"/>
      <c r="H2" s="1644"/>
      <c r="I2" s="1644"/>
      <c r="J2" s="1644"/>
      <c r="K2" s="1644"/>
      <c r="L2" s="1644"/>
      <c r="M2" s="1644"/>
      <c r="N2" s="1644"/>
      <c r="O2" s="1644"/>
      <c r="P2" s="1644"/>
      <c r="Q2" s="1644"/>
      <c r="R2" s="1644"/>
      <c r="S2" s="1644"/>
    </row>
    <row r="3" spans="1:22" ht="15.75">
      <c r="A3" s="2026" t="s">
        <v>1300</v>
      </c>
      <c r="B3" s="2797">
        <f ca="1">ROUND(B2*10000/E2,0)</f>
        <v>21752</v>
      </c>
      <c r="C3" s="2028" t="s">
        <v>2286</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2280</v>
      </c>
      <c r="B5" s="3455" t="s">
        <v>2281</v>
      </c>
      <c r="C5" s="3456"/>
      <c r="D5" s="2907"/>
      <c r="E5" s="2030" t="s">
        <v>2282</v>
      </c>
      <c r="F5" s="2031" t="s">
        <v>2283</v>
      </c>
      <c r="G5" s="1644"/>
      <c r="H5" s="1644"/>
      <c r="I5" s="1644"/>
      <c r="J5" s="1644"/>
      <c r="K5" s="1644"/>
      <c r="L5" s="1644"/>
      <c r="M5" s="1644"/>
      <c r="N5" s="1644"/>
      <c r="O5" s="1644"/>
      <c r="P5" s="1644"/>
      <c r="Q5" s="1644"/>
      <c r="R5" s="1644"/>
      <c r="S5" s="1644"/>
    </row>
    <row r="6" spans="1:22">
      <c r="A6" s="2800" t="str">
        <f>'数据-取费表'!AN6</f>
        <v>收益法-商业</v>
      </c>
      <c r="B6" s="2798">
        <f ca="1">IF(F6="是",'数据-取费表'!AO6,0)</f>
        <v>131896</v>
      </c>
      <c r="C6" s="2028" t="s">
        <v>2278</v>
      </c>
      <c r="D6" s="2908"/>
      <c r="E6" s="2802">
        <f>IF(OR(A6=0,F6="否"),0,'数据-取费表'!K6+'数据-取费表'!S6)</f>
        <v>60635.1</v>
      </c>
      <c r="F6" s="2032" t="s">
        <v>2284</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2278</v>
      </c>
      <c r="D7" s="2908"/>
      <c r="E7" s="2802">
        <f>IF(OR(A7=0,F7="否"),0,'数据-取费表'!K7+'数据-取费表'!S7)</f>
        <v>0</v>
      </c>
      <c r="F7" s="2032" t="s">
        <v>2284</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2278</v>
      </c>
      <c r="D8" s="2908"/>
      <c r="E8" s="2802">
        <f>IF(OR(A8=0,F8="否"),0,'数据-取费表'!K8+'数据-取费表'!S8)</f>
        <v>0</v>
      </c>
      <c r="F8" s="2032" t="s">
        <v>2284</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2278</v>
      </c>
      <c r="D9" s="2908"/>
      <c r="E9" s="2802">
        <f>IF(OR(A9=0,F9="否"),0,'数据-取费表'!K9+'数据-取费表'!S9)</f>
        <v>0</v>
      </c>
      <c r="F9" s="2032" t="s">
        <v>2284</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2278</v>
      </c>
      <c r="D10" s="2908"/>
      <c r="E10" s="2802">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2278</v>
      </c>
      <c r="D11" s="2908"/>
      <c r="E11" s="2802">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2278</v>
      </c>
      <c r="D12" s="2908"/>
      <c r="E12" s="2802">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2278</v>
      </c>
      <c r="D13" s="2909"/>
      <c r="E13" s="2802">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25.7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131896</v>
      </c>
      <c r="C2" s="1541" t="s">
        <v>1421</v>
      </c>
      <c r="D2" s="1541"/>
      <c r="E2" s="1542"/>
      <c r="F2" s="1543"/>
      <c r="G2" s="2905"/>
      <c r="H2" s="2894"/>
      <c r="I2" s="2894"/>
      <c r="J2" s="2894"/>
      <c r="K2" s="2895"/>
      <c r="L2" s="2894"/>
      <c r="M2" s="2894"/>
    </row>
    <row r="3" spans="1:37" ht="18" customHeight="1" thickBot="1">
      <c r="A3" s="1544" t="s">
        <v>1422</v>
      </c>
      <c r="B3" s="1545">
        <f ca="1">IF(ISERROR(B2*10000/F43),0,ROUND(B2*10000/F43,0))</f>
        <v>21752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9419</v>
      </c>
      <c r="D5" s="1518" t="s">
        <v>1307</v>
      </c>
      <c r="E5" s="1203"/>
      <c r="F5" s="1204"/>
      <c r="G5" s="1538"/>
      <c r="H5" s="305">
        <v>1</v>
      </c>
      <c r="I5" s="306" t="s">
        <v>1306</v>
      </c>
      <c r="J5" s="1202">
        <f ca="1">J6+J10+J12</f>
        <v>0</v>
      </c>
      <c r="K5" s="1518" t="s">
        <v>1307</v>
      </c>
      <c r="L5" s="1203"/>
      <c r="M5" s="1204"/>
    </row>
    <row r="6" spans="1:37" ht="18" customHeight="1">
      <c r="A6" s="1201" t="s">
        <v>1003</v>
      </c>
      <c r="B6" s="3459" t="s">
        <v>1308</v>
      </c>
      <c r="C6" s="1206">
        <f ca="1">ROUND(F6*F8*F7*(1-F9)/10000,0)</f>
        <v>9407</v>
      </c>
      <c r="D6" s="160" t="s">
        <v>2788</v>
      </c>
      <c r="E6" s="308" t="s">
        <v>1310</v>
      </c>
      <c r="F6" s="309">
        <f ca="1">INDIRECT("'数据-取费表'!u"&amp;$G$1)</f>
        <v>6</v>
      </c>
      <c r="G6" s="1538"/>
      <c r="H6" s="1201" t="s">
        <v>1003</v>
      </c>
      <c r="I6" s="3459" t="s">
        <v>1308</v>
      </c>
      <c r="J6" s="307">
        <f ca="1">ROUND(M6*M8*M7*(1-M9)/10000,0)</f>
        <v>0</v>
      </c>
      <c r="K6" s="160" t="s">
        <v>2787</v>
      </c>
      <c r="L6" s="308" t="s">
        <v>1310</v>
      </c>
      <c r="M6" s="309">
        <f ca="1">INDIRECT("'数据-取费表'!z"&amp;$G$1)</f>
        <v>0</v>
      </c>
    </row>
    <row r="7" spans="1:37" ht="18" customHeight="1">
      <c r="A7" s="1205"/>
      <c r="B7" s="3460"/>
      <c r="C7" s="1207"/>
      <c r="D7" s="313"/>
      <c r="E7" s="1208" t="s">
        <v>1311</v>
      </c>
      <c r="F7" s="309">
        <f ca="1">IF(INDIRECT("'数据-取费表'!ah"&amp;$G$1)="",INDIRECT("'数据-取费表'!k"&amp;$G$1),INDIRECT("'数据-取费表'!ah"&amp;$G$1))</f>
        <v>47729.299999999996</v>
      </c>
      <c r="G7" s="1538"/>
      <c r="H7" s="310"/>
      <c r="I7" s="3460"/>
      <c r="J7" s="312"/>
      <c r="K7" s="313"/>
      <c r="L7" s="308" t="s">
        <v>1311</v>
      </c>
      <c r="M7" s="309">
        <f ca="1">F7</f>
        <v>47729.299999999996</v>
      </c>
    </row>
    <row r="8" spans="1:37" ht="18" customHeight="1">
      <c r="A8" s="310"/>
      <c r="B8" s="3460"/>
      <c r="C8" s="312"/>
      <c r="D8" s="313"/>
      <c r="E8" s="308" t="s">
        <v>1312</v>
      </c>
      <c r="F8" s="309">
        <f ca="1">INDIRECT("'数据-取费表'!ai"&amp;$G$1)</f>
        <v>365</v>
      </c>
      <c r="G8" s="1538"/>
      <c r="H8" s="310"/>
      <c r="I8" s="3460"/>
      <c r="J8" s="312"/>
      <c r="K8" s="313"/>
      <c r="L8" s="308" t="s">
        <v>1312</v>
      </c>
      <c r="M8" s="309">
        <f ca="1">INDIRECT("'数据-取费表'!ai"&amp;$G$1)</f>
        <v>365</v>
      </c>
    </row>
    <row r="9" spans="1:37" ht="18" customHeight="1">
      <c r="A9" s="310"/>
      <c r="B9" s="3461"/>
      <c r="C9" s="312"/>
      <c r="D9" s="313"/>
      <c r="E9" s="308" t="s">
        <v>1313</v>
      </c>
      <c r="F9" s="318">
        <f ca="1">INDIRECT("'数据-取费表'!w"&amp;$G$1)</f>
        <v>0.1</v>
      </c>
      <c r="G9" s="1538"/>
      <c r="H9" s="310"/>
      <c r="I9" s="3461"/>
      <c r="J9" s="312"/>
      <c r="K9" s="313"/>
      <c r="L9" s="319" t="s">
        <v>1313</v>
      </c>
      <c r="M9" s="320">
        <f ca="1">INDIRECT("'数据-取费表'!ab"&amp;$G$1)</f>
        <v>0</v>
      </c>
    </row>
    <row r="10" spans="1:37" ht="18" customHeight="1">
      <c r="A10" s="1201" t="s">
        <v>1007</v>
      </c>
      <c r="B10" s="1519" t="s">
        <v>1314</v>
      </c>
      <c r="C10" s="322">
        <f ca="1">ROUND(IF(F10="押一",C6/12*F11,IF(F10="押二",C6/12*2*F11,IF(F10="押三",C6/12*3*F11,C11*F11))),0)</f>
        <v>12</v>
      </c>
      <c r="D10" s="1520" t="s">
        <v>2796</v>
      </c>
      <c r="E10" s="319" t="s">
        <v>1315</v>
      </c>
      <c r="F10" s="1248" t="s">
        <v>3171</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31051</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24254</v>
      </c>
      <c r="D14" s="1499" t="s">
        <v>1323</v>
      </c>
      <c r="E14" s="1496"/>
      <c r="F14" s="325"/>
      <c r="G14" s="1538"/>
      <c r="H14" s="1113" t="s">
        <v>1003</v>
      </c>
      <c r="I14" s="308" t="s">
        <v>1324</v>
      </c>
      <c r="J14" s="24">
        <f ca="1">C29</f>
        <v>36531</v>
      </c>
      <c r="K14" s="15"/>
      <c r="L14" s="916"/>
      <c r="M14" s="917"/>
    </row>
    <row r="15" spans="1:37" s="1551" customFormat="1" ht="18" customHeight="1" thickBot="1">
      <c r="A15" s="1113" t="s">
        <v>1004</v>
      </c>
      <c r="B15" s="308" t="s">
        <v>1325</v>
      </c>
      <c r="C15" s="24">
        <f ca="1">ROUND(C14*F15,0)</f>
        <v>849</v>
      </c>
      <c r="D15" s="326" t="s">
        <v>1326</v>
      </c>
      <c r="E15" s="326" t="s">
        <v>1327</v>
      </c>
      <c r="F15" s="327">
        <f>'数据-取费表'!B33</f>
        <v>3.5000000000000003E-2</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747</v>
      </c>
      <c r="K16" s="1219" t="s">
        <v>1330</v>
      </c>
      <c r="L16" s="1220"/>
      <c r="M16" s="1204"/>
    </row>
    <row r="17" spans="1:37" s="1551" customFormat="1" ht="18" customHeight="1">
      <c r="A17" s="1113" t="s">
        <v>1295</v>
      </c>
      <c r="B17" s="308" t="s">
        <v>1331</v>
      </c>
      <c r="C17" s="24">
        <f ca="1">ROUND(F17*(F43+INDIRECT("'数据-取费表'!S"&amp;$G$1))/10000,0)</f>
        <v>1213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309</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364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26680</v>
      </c>
      <c r="D19" s="136" t="s">
        <v>1341</v>
      </c>
      <c r="E19" s="1514"/>
      <c r="F19" s="26"/>
      <c r="G19" s="1538"/>
      <c r="H19" s="1113" t="s">
        <v>1004</v>
      </c>
      <c r="I19" s="308" t="s">
        <v>1342</v>
      </c>
      <c r="J19" s="24">
        <f ca="1">IF(K19="按租金收入计税",ROUND(J6*M19/(1+'数据-取费表'!C42),2),ROUND(C29*M19*0.7,2))</f>
        <v>306.86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400</v>
      </c>
      <c r="D20" s="329" t="s">
        <v>1345</v>
      </c>
      <c r="E20" s="308" t="s">
        <v>1327</v>
      </c>
      <c r="F20" s="328">
        <f>'数据-取费表'!B37</f>
        <v>1.4999999999999999E-2</v>
      </c>
      <c r="G20" s="1550"/>
      <c r="H20" s="1113" t="s">
        <v>1294</v>
      </c>
      <c r="I20" s="160" t="s">
        <v>1346</v>
      </c>
      <c r="J20" s="25">
        <f ca="1">ROUND(M20*M21/10000,2)</f>
        <v>2.4900000000000002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16578.400000000001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438.4</v>
      </c>
      <c r="K22" s="1498" t="s">
        <v>1355</v>
      </c>
      <c r="L22" s="308" t="s">
        <v>1327</v>
      </c>
      <c r="M22" s="334">
        <f ca="1">INDIRECT("'数据-取费表'!Ak"&amp;$G$1)</f>
        <v>1.2E-2</v>
      </c>
    </row>
    <row r="23" spans="1:37" s="1551" customFormat="1" ht="18" customHeight="1">
      <c r="A23" s="1113" t="s">
        <v>1002</v>
      </c>
      <c r="B23" s="308" t="s">
        <v>1356</v>
      </c>
      <c r="C23" s="24">
        <f ca="1">IF('数据-取费表'!B22&lt;=1,ROUND(C19*F24*F23/2,0)+ROUND(C20*F24*F23/2,0),ROUND(C19*(POWER((1+F24),F23/2)-1),0)+ROUND(C20*(POWER((1+F24),F23/2)-1),0))</f>
        <v>1178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-747</v>
      </c>
      <c r="K25" s="1227" t="s">
        <v>1369</v>
      </c>
      <c r="L25" s="1228"/>
      <c r="M25" s="1229"/>
    </row>
    <row r="26" spans="1:37">
      <c r="A26" s="1113" t="s">
        <v>1002</v>
      </c>
      <c r="B26" s="308" t="s">
        <v>1370</v>
      </c>
      <c r="C26" s="24">
        <f ca="1">ROUND((C19+C20)*F26,0)</f>
        <v>5416</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36531</v>
      </c>
      <c r="D29" s="1224"/>
      <c r="E29" s="1222"/>
      <c r="F29" s="1225"/>
      <c r="G29" s="1550"/>
      <c r="H29" s="340" t="s">
        <v>1001</v>
      </c>
      <c r="I29" s="341" t="s">
        <v>1384</v>
      </c>
      <c r="J29" s="342">
        <f ca="1">ROUND(J26/(1+F40)^F41,0)</f>
        <v>0</v>
      </c>
      <c r="K29" s="343" t="s">
        <v>1385</v>
      </c>
      <c r="L29" s="344"/>
      <c r="M29" s="345">
        <f ca="1">INDIRECT("'数据-取费表'!k"&amp;$G$1)</f>
        <v>60635.1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2252</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1579</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IF(项目基本情况!B11="自然人","——",ROUND(C6*F32/(1+'数据-取费表'!C42),2))</f>
        <v>501.71</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1075.0899999999999</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2.4900000000000002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16578.400000000001</v>
      </c>
      <c r="G35" s="1538"/>
      <c r="H35" s="2896"/>
      <c r="I35" s="1552"/>
      <c r="J35" s="1553"/>
      <c r="K35" s="2900"/>
      <c r="L35" s="2899"/>
      <c r="M35" s="2899"/>
    </row>
    <row r="36" spans="1:18" ht="18" customHeight="1">
      <c r="A36" s="1234" t="s">
        <v>1007</v>
      </c>
      <c r="B36" s="308" t="s">
        <v>1354</v>
      </c>
      <c r="C36" s="24">
        <f ca="1">ROUND(C29*F36,1)</f>
        <v>438.4</v>
      </c>
      <c r="D36" s="1498" t="s">
        <v>1387</v>
      </c>
      <c r="E36" s="308" t="s">
        <v>1327</v>
      </c>
      <c r="F36" s="334">
        <f ca="1">INDIRECT("'数据-取费表'!Ak"&amp;$G$1)</f>
        <v>1.2E-2</v>
      </c>
      <c r="G36" s="1538"/>
      <c r="H36" s="2899"/>
      <c r="I36" s="1552"/>
      <c r="J36" s="1553"/>
      <c r="K36" s="2740"/>
      <c r="L36" s="2899"/>
      <c r="M36" s="2899"/>
    </row>
    <row r="37" spans="1:18" ht="18" customHeight="1">
      <c r="A37" s="1113" t="s">
        <v>1043</v>
      </c>
      <c r="B37" s="308" t="s">
        <v>1358</v>
      </c>
      <c r="C37" s="24">
        <f ca="1">ROUND(C13*F37,1)</f>
        <v>46.6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188.4</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7167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131896</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25.7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21752</v>
      </c>
      <c r="D43" s="343" t="s">
        <v>1393</v>
      </c>
      <c r="E43" s="344" t="s">
        <v>1394</v>
      </c>
      <c r="F43" s="345">
        <f ca="1">INDIRECT("'数据-取费表'!k"&amp;$G$1)</f>
        <v>60635.1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-180220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40</v>
      </c>
      <c r="M47" s="1534" t="str">
        <f>IF(ISNUMBER(FIND("住宅",C1)),"住宅","非住宅")</f>
        <v>非住宅</v>
      </c>
      <c r="O47" s="1572" t="s">
        <v>1008</v>
      </c>
      <c r="P47" s="1573" t="s">
        <v>1433</v>
      </c>
      <c r="Q47" s="1574">
        <f ca="1">C40+J29</f>
        <v>131896</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25.7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2012</v>
      </c>
      <c r="K49" s="1577" t="s">
        <v>1440</v>
      </c>
      <c r="L49" s="1581"/>
      <c r="O49" s="1582" t="s">
        <v>1010</v>
      </c>
      <c r="P49" s="1573" t="s">
        <v>1441</v>
      </c>
      <c r="Q49" s="1574">
        <f ca="1">C29</f>
        <v>36531</v>
      </c>
      <c r="R49" s="1574" t="s">
        <v>1434</v>
      </c>
    </row>
    <row r="50" spans="1:18" s="1538" customFormat="1" ht="13.5" thickBot="1">
      <c r="A50" s="1107"/>
      <c r="B50" s="1110"/>
      <c r="C50" s="1250"/>
      <c r="D50" s="1084"/>
      <c r="E50" s="1187" t="s">
        <v>1311</v>
      </c>
      <c r="F50" s="1188">
        <f ca="1">F7</f>
        <v>47729.299999999996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50</v>
      </c>
      <c r="K51" s="1588" t="s">
        <v>1446</v>
      </c>
      <c r="L51" s="1589">
        <f ca="1">ROUND(-PV(INDIRECT("'数据-取费表'!h"&amp;$G$1),J51,(C39-C13*C76),0),0)</f>
        <v>82657</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25.7</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25.7</v>
      </c>
      <c r="K53" s="3457" t="s">
        <v>1453</v>
      </c>
      <c r="L53" s="3458"/>
      <c r="O53" s="1572" t="s">
        <v>1014</v>
      </c>
      <c r="P53" s="1573" t="s">
        <v>1454</v>
      </c>
      <c r="Q53" s="1574">
        <f ca="1">Q47+Q48</f>
        <v>131896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31051</v>
      </c>
      <c r="D56" s="1601"/>
      <c r="E56" s="1602"/>
      <c r="F56" s="1594"/>
      <c r="I56" s="1603" t="s">
        <v>1459</v>
      </c>
      <c r="J56" s="1604" t="s">
        <v>3130</v>
      </c>
      <c r="K56" s="1575" t="s">
        <v>1460</v>
      </c>
      <c r="L56" s="1578" t="str">
        <f ca="1">IF(L48&lt;J51,"——",L48-J53)</f>
        <v>——</v>
      </c>
      <c r="O56" s="1572" t="s">
        <v>1008</v>
      </c>
      <c r="P56" s="1573" t="s">
        <v>1433</v>
      </c>
      <c r="Q56" s="1574">
        <f ca="1">C40+J29</f>
        <v>131896</v>
      </c>
      <c r="R56" s="1574" t="s">
        <v>1434</v>
      </c>
    </row>
    <row r="57" spans="1:18" s="1538" customFormat="1" ht="24.75" thickBot="1">
      <c r="A57" s="1605"/>
      <c r="B57" s="1081" t="s">
        <v>1383</v>
      </c>
      <c r="C57" s="244">
        <f ca="1">C29</f>
        <v>36531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3556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3071</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3068.6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2.4900000000000002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131896</v>
      </c>
      <c r="R62" s="1574" t="s">
        <v>1015</v>
      </c>
    </row>
    <row r="63" spans="1:18" s="1538" customFormat="1" ht="13.5" thickBot="1">
      <c r="A63" s="332"/>
      <c r="B63" s="1087"/>
      <c r="C63" s="29"/>
      <c r="D63" s="1097"/>
      <c r="E63" s="1081" t="s">
        <v>1404</v>
      </c>
      <c r="F63" s="309">
        <f t="shared" ca="1" si="0"/>
        <v>16578.400000000001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438.4</v>
      </c>
      <c r="D64" s="1095" t="s">
        <v>1407</v>
      </c>
      <c r="E64" s="1081" t="s">
        <v>1399</v>
      </c>
      <c r="F64" s="334">
        <f t="shared" ca="1" si="0"/>
        <v>1.2E-2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46.6</v>
      </c>
      <c r="D65" s="1095" t="s">
        <v>1359</v>
      </c>
      <c r="E65" s="1081" t="s">
        <v>1360</v>
      </c>
      <c r="F65" s="336">
        <f t="shared" ca="1" si="0"/>
        <v>1.5E-3</v>
      </c>
      <c r="I65" s="1616" t="s">
        <v>1484</v>
      </c>
      <c r="J65" s="1617">
        <v>40</v>
      </c>
      <c r="K65" s="1617">
        <v>30</v>
      </c>
      <c r="L65" s="1617">
        <v>50</v>
      </c>
      <c r="M65" s="1619">
        <v>0.02</v>
      </c>
      <c r="O65" s="1572" t="s">
        <v>1008</v>
      </c>
      <c r="P65" s="1573" t="s">
        <v>1485</v>
      </c>
      <c r="Q65" s="1574">
        <f ca="1">C40+J29</f>
        <v>131896</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-3556</v>
      </c>
      <c r="D67" s="1094" t="s">
        <v>1369</v>
      </c>
      <c r="E67" s="1099"/>
      <c r="F67" s="1100"/>
      <c r="O67" s="1582" t="s">
        <v>1010</v>
      </c>
      <c r="P67" s="1573" t="s">
        <v>1467</v>
      </c>
      <c r="Q67" s="1620">
        <f ca="1">L51</f>
        <v>82657</v>
      </c>
      <c r="R67" s="1574" t="s">
        <v>1487</v>
      </c>
    </row>
    <row r="68" spans="1:18" s="1538" customFormat="1" ht="16.5" thickBot="1">
      <c r="A68" s="1078" t="s">
        <v>1000</v>
      </c>
      <c r="B68" s="1079" t="s">
        <v>1390</v>
      </c>
      <c r="C68" s="307">
        <f ca="1">ROUND(C67*(1-((1+F70)/(1+F68))^F69)/(F68-F70),0)</f>
        <v>-48324</v>
      </c>
      <c r="D68" s="1096" t="s">
        <v>1374</v>
      </c>
      <c r="E68" s="1081" t="s">
        <v>1375</v>
      </c>
      <c r="F68" s="318">
        <f ca="1">F40</f>
        <v>5.5E-2</v>
      </c>
      <c r="O68" s="1582" t="s">
        <v>1011</v>
      </c>
      <c r="P68" s="1621" t="s">
        <v>1488</v>
      </c>
      <c r="Q68" s="1574">
        <f ca="1">ROUND(Q69-Q70*Q71,0)</f>
        <v>4528</v>
      </c>
      <c r="R68" s="1574" t="s">
        <v>1019</v>
      </c>
    </row>
    <row r="69" spans="1:18" s="1538" customFormat="1" ht="13.5" thickBot="1">
      <c r="A69" s="1082"/>
      <c r="B69" s="1083"/>
      <c r="C69" s="312"/>
      <c r="D69" s="1101" t="s">
        <v>1378</v>
      </c>
      <c r="E69" s="1081" t="s">
        <v>1379</v>
      </c>
      <c r="F69" s="339">
        <f ca="1">F41</f>
        <v>25.7</v>
      </c>
      <c r="O69" s="1582" t="s">
        <v>1016</v>
      </c>
      <c r="P69" s="1621" t="s">
        <v>1489</v>
      </c>
      <c r="Q69" s="1574">
        <f ca="1">C39</f>
        <v>7167</v>
      </c>
      <c r="R69" s="1574" t="s">
        <v>1434</v>
      </c>
    </row>
    <row r="70" spans="1:18" s="1538" customFormat="1" ht="13.5" thickBot="1">
      <c r="A70" s="1085"/>
      <c r="B70" s="1086"/>
      <c r="C70" s="316"/>
      <c r="D70" s="1097"/>
      <c r="E70" s="1081" t="s">
        <v>1382</v>
      </c>
      <c r="F70" s="1185"/>
      <c r="O70" s="1582" t="s">
        <v>1017</v>
      </c>
      <c r="P70" s="1621" t="s">
        <v>1490</v>
      </c>
      <c r="Q70" s="1574">
        <f ca="1">C13</f>
        <v>31051</v>
      </c>
      <c r="R70" s="1574" t="s">
        <v>1434</v>
      </c>
    </row>
    <row r="71" spans="1:18" s="1538" customFormat="1" ht="13.5" thickBot="1">
      <c r="A71" s="1102" t="s">
        <v>1001</v>
      </c>
      <c r="B71" s="1103" t="s">
        <v>1392</v>
      </c>
      <c r="C71" s="342">
        <f ca="1">ROUND(C68*10000/F71,0)</f>
        <v>-7970</v>
      </c>
      <c r="D71" s="1104" t="s">
        <v>1393</v>
      </c>
      <c r="E71" s="1105" t="s">
        <v>1394</v>
      </c>
      <c r="F71" s="345">
        <f ca="1">F43</f>
        <v>60635.1</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2639</v>
      </c>
      <c r="D75" s="1538"/>
      <c r="E75" s="1538"/>
      <c r="F75" s="1538"/>
      <c r="K75" s="1556"/>
      <c r="L75" s="1538"/>
      <c r="O75" s="1572" t="s">
        <v>1014</v>
      </c>
      <c r="P75" s="1573" t="s">
        <v>1454</v>
      </c>
      <c r="Q75" s="1574">
        <f ca="1">Q65+Q66</f>
        <v>131896</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0.63200000000000001</v>
      </c>
    </row>
    <row r="80" spans="1:18">
      <c r="B80" s="346" t="s">
        <v>1416</v>
      </c>
      <c r="C80" s="280">
        <f ca="1">ROUND(C75/C39,3)</f>
        <v>0.36799999999999999</v>
      </c>
    </row>
    <row r="81" spans="2:3">
      <c r="B81" s="276" t="s">
        <v>1417</v>
      </c>
      <c r="C81" s="244"/>
    </row>
    <row r="82" spans="2:3">
      <c r="B82" s="279" t="s">
        <v>1418</v>
      </c>
      <c r="C82" s="281">
        <f ca="1">1-C83</f>
        <v>0.76500000000000001</v>
      </c>
    </row>
    <row r="83" spans="2:3">
      <c r="B83" s="279" t="s">
        <v>1419</v>
      </c>
      <c r="C83" s="280">
        <f ca="1">ROUND(C13/C40,3)</f>
        <v>0.23499999999999999</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3150</v>
      </c>
      <c r="D1" s="1516" t="s">
        <v>70</v>
      </c>
      <c r="E1" s="1517" t="s">
        <v>1292</v>
      </c>
      <c r="F1" s="1193" t="e">
        <f ca="1">J53</f>
        <v>#N/A</v>
      </c>
      <c r="G1" s="1532" t="e">
        <f>MATCH(C1,'数据-取费表'!A6:A16,0)+5</f>
        <v>#N/A</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59" t="s">
        <v>1308</v>
      </c>
      <c r="C6" s="1206" t="e">
        <f ca="1">ROUND(F6*F8*F7*(1-F9)/10000,0)</f>
        <v>#N/A</v>
      </c>
      <c r="D6" s="160" t="s">
        <v>2788</v>
      </c>
      <c r="E6" s="308" t="s">
        <v>1310</v>
      </c>
      <c r="F6" s="309" t="e">
        <f ca="1">INDIRECT("'数据-取费表'!u"&amp;$G$1)</f>
        <v>#N/A</v>
      </c>
      <c r="G6" s="1538"/>
      <c r="H6" s="1201" t="s">
        <v>1003</v>
      </c>
      <c r="I6" s="3459" t="s">
        <v>1308</v>
      </c>
      <c r="J6" s="307" t="e">
        <f ca="1">ROUND(M6*M8*M7*(1-M9)/10000,0)</f>
        <v>#N/A</v>
      </c>
      <c r="K6" s="160" t="s">
        <v>2787</v>
      </c>
      <c r="L6" s="308" t="s">
        <v>1310</v>
      </c>
      <c r="M6" s="309" t="e">
        <f ca="1">INDIRECT("'数据-取费表'!z"&amp;$G$1)</f>
        <v>#N/A</v>
      </c>
    </row>
    <row r="7" spans="1:37" ht="18" customHeight="1">
      <c r="A7" s="1205"/>
      <c r="B7" s="3460"/>
      <c r="C7" s="1207"/>
      <c r="D7" s="313"/>
      <c r="E7" s="3209" t="s">
        <v>1311</v>
      </c>
      <c r="F7" s="309" t="e">
        <f ca="1">IF(INDIRECT("'数据-取费表'!ah"&amp;$G$1)="",INDIRECT("'数据-取费表'!k"&amp;$G$1),INDIRECT("'数据-取费表'!ah"&amp;$G$1))</f>
        <v>#N/A</v>
      </c>
      <c r="G7" s="1538"/>
      <c r="H7" s="310"/>
      <c r="I7" s="3460"/>
      <c r="J7" s="312"/>
      <c r="K7" s="313"/>
      <c r="L7" s="308" t="s">
        <v>1311</v>
      </c>
      <c r="M7" s="309" t="e">
        <f ca="1">F7</f>
        <v>#N/A</v>
      </c>
    </row>
    <row r="8" spans="1:37" ht="18" customHeight="1">
      <c r="A8" s="310"/>
      <c r="B8" s="3460"/>
      <c r="C8" s="312"/>
      <c r="D8" s="313"/>
      <c r="E8" s="308" t="s">
        <v>1312</v>
      </c>
      <c r="F8" s="309" t="e">
        <f ca="1">INDIRECT("'数据-取费表'!ai"&amp;$G$1)</f>
        <v>#N/A</v>
      </c>
      <c r="G8" s="1538"/>
      <c r="H8" s="310"/>
      <c r="I8" s="3460"/>
      <c r="J8" s="312"/>
      <c r="K8" s="313"/>
      <c r="L8" s="308" t="s">
        <v>1312</v>
      </c>
      <c r="M8" s="309" t="e">
        <f ca="1">INDIRECT("'数据-取费表'!ai"&amp;$G$1)</f>
        <v>#N/A</v>
      </c>
    </row>
    <row r="9" spans="1:37" ht="18" customHeight="1">
      <c r="A9" s="310"/>
      <c r="B9" s="3461"/>
      <c r="C9" s="312"/>
      <c r="D9" s="313"/>
      <c r="E9" s="308" t="s">
        <v>1313</v>
      </c>
      <c r="F9" s="318" t="e">
        <f ca="1">INDIRECT("'数据-取费表'!w"&amp;$G$1)</f>
        <v>#N/A</v>
      </c>
      <c r="G9" s="1538"/>
      <c r="H9" s="310"/>
      <c r="I9" s="3461"/>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2795</v>
      </c>
      <c r="E10" s="319" t="s">
        <v>1315</v>
      </c>
      <c r="F10" s="1248" t="s">
        <v>3171</v>
      </c>
      <c r="G10" s="1538"/>
      <c r="H10" s="1201" t="s">
        <v>1007</v>
      </c>
      <c r="I10" s="1519" t="s">
        <v>1314</v>
      </c>
      <c r="J10" s="307" t="e">
        <f ca="1">ROUND(IF(M10="押一",J6/12*M11,IF(M10="押二",J6/12*2*M11,IF(M10="押三",J6/12*3*M11,J11*M11))),0)</f>
        <v>#N/A</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6" t="s">
        <v>1320</v>
      </c>
      <c r="E13" s="3206"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2" t="s">
        <v>1323</v>
      </c>
      <c r="E14" s="3211"/>
      <c r="F14" s="325"/>
      <c r="G14" s="1538"/>
      <c r="H14" s="1113" t="s">
        <v>1003</v>
      </c>
      <c r="I14" s="308" t="s">
        <v>1324</v>
      </c>
      <c r="J14" s="24" t="e">
        <f ca="1">C29</f>
        <v>#N/A</v>
      </c>
      <c r="K14" s="3208"/>
      <c r="L14" s="916"/>
      <c r="M14" s="917"/>
    </row>
    <row r="15" spans="1:37" s="1551" customFormat="1" ht="18" customHeight="1" thickBot="1">
      <c r="A15" s="1113" t="s">
        <v>1004</v>
      </c>
      <c r="B15" s="308" t="s">
        <v>1325</v>
      </c>
      <c r="C15" s="24" t="e">
        <f ca="1">ROUND(C14*F15,0)</f>
        <v>#N/A</v>
      </c>
      <c r="D15" s="3207" t="s">
        <v>1326</v>
      </c>
      <c r="E15" s="3207" t="s">
        <v>1327</v>
      </c>
      <c r="F15" s="327">
        <f>'数据-取费表'!B33</f>
        <v>3.5000000000000003E-2</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4"/>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4" t="e">
        <f ca="1">ROUND(IF(AND(项目基本情况!B11="自然人",项目基本情况!B10="北京市"),J6*M17/(1+'数据-取费表'!C42),J18+J19+J20),0)</f>
        <v>#N/A</v>
      </c>
      <c r="K17" s="3212" t="s">
        <v>1335</v>
      </c>
      <c r="L17" s="3213"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13"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6"/>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1.4999999999999999E-2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t="e">
        <f ca="1">ROUND(J14*M22,1)</f>
        <v>#N/A</v>
      </c>
      <c r="K22" s="3213"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13"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7"/>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4"/>
      <c r="F30" s="1204"/>
      <c r="G30" s="1538"/>
      <c r="H30" s="2896"/>
      <c r="I30" s="1552"/>
      <c r="J30" s="1553"/>
      <c r="K30" s="2671"/>
      <c r="L30" s="2897"/>
      <c r="M30" s="2898"/>
    </row>
    <row r="31" spans="1:37" ht="18" customHeight="1">
      <c r="A31" s="1113" t="s">
        <v>1003</v>
      </c>
      <c r="B31" s="308" t="s">
        <v>1334</v>
      </c>
      <c r="C31" s="2504" t="e">
        <f ca="1">ROUND(IF(AND(项目基本情况!B11="自然人",项目基本情况!B10="北京市"),C6*F31/(1+'数据-取费表'!C42),C32+C33+C34),0)</f>
        <v>#N/A</v>
      </c>
      <c r="D31" s="3212" t="s">
        <v>1335</v>
      </c>
      <c r="E31" s="3213"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t="e">
        <f ca="1">IF(项目基本情况!B11="自然人","——",ROUND(C6*F32/(1+'数据-取费表'!C42),2))</f>
        <v>#N/A</v>
      </c>
      <c r="D32" s="3213"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t="e">
        <f ca="1">IF(项目基本情况!B11="自然人","——",ROUND(F34*F35/10000,2))</f>
        <v>#N/A</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t="e">
        <f ca="1">INDIRECT("'数据-取费表'!r"&amp;$G$1)</f>
        <v>#N/A</v>
      </c>
      <c r="G35" s="1538"/>
      <c r="H35" s="2896"/>
      <c r="I35" s="1552"/>
      <c r="J35" s="1553"/>
      <c r="K35" s="2900"/>
      <c r="L35" s="2899"/>
      <c r="M35" s="2899"/>
    </row>
    <row r="36" spans="1:18" ht="18" customHeight="1">
      <c r="A36" s="1234" t="s">
        <v>1007</v>
      </c>
      <c r="B36" s="308" t="s">
        <v>1354</v>
      </c>
      <c r="C36" s="24" t="e">
        <f ca="1">ROUND(C29*F36,1)</f>
        <v>#N/A</v>
      </c>
      <c r="D36" s="3213" t="s">
        <v>1387</v>
      </c>
      <c r="E36" s="308" t="s">
        <v>1327</v>
      </c>
      <c r="F36" s="334" t="e">
        <f ca="1">INDIRECT("'数据-取费表'!Ak"&amp;$G$1)</f>
        <v>#N/A</v>
      </c>
      <c r="G36" s="1538"/>
      <c r="H36" s="2899"/>
      <c r="I36" s="1552"/>
      <c r="J36" s="1553"/>
      <c r="K36" s="2740"/>
      <c r="L36" s="2899"/>
      <c r="M36" s="2899"/>
    </row>
    <row r="37" spans="1:18" ht="18" customHeight="1">
      <c r="A37" s="1113" t="s">
        <v>1043</v>
      </c>
      <c r="B37" s="308" t="s">
        <v>1358</v>
      </c>
      <c r="C37" s="24" t="e">
        <f ca="1">ROUND(C13*F37,1)</f>
        <v>#N/A</v>
      </c>
      <c r="D37" s="3213" t="s">
        <v>1359</v>
      </c>
      <c r="E37" s="308" t="s">
        <v>1327</v>
      </c>
      <c r="F37" s="336" t="e">
        <f ca="1">INDIRECT("'数据-取费表'!Al"&amp;$G$1)</f>
        <v>#N/A</v>
      </c>
      <c r="G37" s="1538"/>
      <c r="H37" s="2899"/>
      <c r="I37" s="1552"/>
      <c r="J37" s="1553"/>
      <c r="K37" s="2740"/>
      <c r="L37" s="2899"/>
      <c r="M37" s="2899"/>
    </row>
    <row r="38" spans="1:18" ht="18" customHeight="1" thickBot="1">
      <c r="A38" s="1221" t="s">
        <v>1297</v>
      </c>
      <c r="B38" s="1222" t="s">
        <v>1344</v>
      </c>
      <c r="C38" s="1223" t="e">
        <f ca="1">ROUND(C5*F38,1)</f>
        <v>#N/A</v>
      </c>
      <c r="D38" s="1224" t="s">
        <v>1364</v>
      </c>
      <c r="E38" s="1222" t="s">
        <v>1327</v>
      </c>
      <c r="F38" s="1218" t="e">
        <f ca="1">INDIRECT("'数据-取费表'!Am"&amp;$G$1)</f>
        <v>#N/A</v>
      </c>
      <c r="G38" s="1538"/>
      <c r="H38" s="2899"/>
      <c r="I38" s="1552"/>
      <c r="J38" s="1553"/>
      <c r="K38" s="2903"/>
      <c r="L38" s="2899"/>
      <c r="M38" s="2899"/>
    </row>
    <row r="39" spans="1:18" ht="24.6" customHeight="1" thickTop="1">
      <c r="A39" s="1211" t="s">
        <v>999</v>
      </c>
      <c r="B39" s="1226" t="s">
        <v>1368</v>
      </c>
      <c r="C39" s="316" t="e">
        <f ca="1">C5-C30</f>
        <v>#N/A</v>
      </c>
      <c r="D39" s="1227" t="s">
        <v>1369</v>
      </c>
      <c r="E39" s="1228"/>
      <c r="F39" s="1229"/>
      <c r="G39" s="1538"/>
      <c r="H39" s="2899"/>
      <c r="I39" s="1552"/>
      <c r="J39" s="1553"/>
      <c r="K39" s="2903"/>
      <c r="L39" s="2899"/>
      <c r="M39" s="2899"/>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3"/>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40"/>
      <c r="L41" s="1325"/>
      <c r="M41" s="1325"/>
    </row>
    <row r="42" spans="1:18" ht="18" customHeight="1">
      <c r="A42" s="314"/>
      <c r="B42" s="315"/>
      <c r="C42" s="316"/>
      <c r="D42" s="333"/>
      <c r="E42" s="308" t="s">
        <v>1382</v>
      </c>
      <c r="F42" s="318" t="e">
        <f ca="1">INDIRECT("'数据-取费表'!v"&amp;$G$1)</f>
        <v>#N/A</v>
      </c>
      <c r="G42" s="1538"/>
      <c r="H42" s="1325"/>
      <c r="I42" s="1552"/>
      <c r="J42" s="1553"/>
      <c r="K42" s="2740"/>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5" t="e">
        <f ca="1">C49+C53+C55</f>
        <v>#N/A</v>
      </c>
      <c r="D48" s="1244"/>
      <c r="E48" s="1245"/>
      <c r="F48" s="1093"/>
      <c r="G48" s="731"/>
      <c r="H48" s="732"/>
      <c r="I48" s="1575" t="s">
        <v>1435</v>
      </c>
      <c r="J48" s="1576" t="s">
        <v>3174</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2787</v>
      </c>
      <c r="E49" s="1526" t="s">
        <v>1396</v>
      </c>
      <c r="F49" s="1191"/>
      <c r="G49" s="1579"/>
      <c r="H49" s="732"/>
      <c r="I49" s="1575" t="s">
        <v>1439</v>
      </c>
      <c r="J49" s="1580">
        <v>2012</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50</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t="e">
        <f ca="1">IF(M47="住宅",IF(D1="——",MAX(J51,L48),MAX(J51,L48-'数据-取费表'!B24)),IF(D1="——",MIN(J51,L48),MIN(J51,L48-'数据-取费表'!B24)))</f>
        <v>#N/A</v>
      </c>
      <c r="K53" s="3457" t="s">
        <v>1453</v>
      </c>
      <c r="L53" s="3458"/>
      <c r="O53" s="1572" t="s">
        <v>1014</v>
      </c>
      <c r="P53" s="1573" t="s">
        <v>1454</v>
      </c>
      <c r="Q53" s="1574" t="e">
        <f ca="1">Q47+Q48</f>
        <v>#N/A</v>
      </c>
      <c r="R53" s="1574" t="s">
        <v>1015</v>
      </c>
    </row>
    <row r="54" spans="1:18" s="1538" customFormat="1" ht="13.5" thickBot="1">
      <c r="A54" s="1287"/>
      <c r="B54" s="1521" t="s">
        <v>1293</v>
      </c>
      <c r="C54" s="1090"/>
      <c r="D54" s="1520"/>
      <c r="E54" s="3210"/>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0"/>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3131</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4" t="e">
        <f ca="1">ROUND(IF(AND(项目基本情况!B11="自然人",项目基本情况!B10="北京市"),C49*F59/(1+'数据-取费表'!C42),C60+C61+C62),0)</f>
        <v>#N/A</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5.6000000000000001E-2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9" t="s">
        <v>1308</v>
      </c>
      <c r="C6" s="1206">
        <f ca="1">ROUND(F6*F8*F7*(1-F9),0)</f>
        <v>0</v>
      </c>
      <c r="D6" s="160" t="s">
        <v>2785</v>
      </c>
      <c r="E6" s="308" t="s">
        <v>1310</v>
      </c>
      <c r="F6" s="309">
        <f ca="1">INDIRECT("'数据-取费表'!u"&amp;$G$1)</f>
        <v>0</v>
      </c>
      <c r="G6" s="1538"/>
      <c r="H6" s="1201" t="s">
        <v>1003</v>
      </c>
      <c r="I6" s="3459" t="s">
        <v>1308</v>
      </c>
      <c r="J6" s="307">
        <f ca="1">ROUND(M6*M8*M7*(1-M9),0)</f>
        <v>0</v>
      </c>
      <c r="K6" s="1530" t="s">
        <v>2786</v>
      </c>
      <c r="L6" s="308" t="s">
        <v>1310</v>
      </c>
      <c r="M6" s="309">
        <f ca="1">INDIRECT("'数据-取费表'!z"&amp;$G$1)</f>
        <v>0</v>
      </c>
    </row>
    <row r="7" spans="1:37" ht="18" customHeight="1">
      <c r="A7" s="1205"/>
      <c r="B7" s="3460"/>
      <c r="C7" s="1207"/>
      <c r="D7" s="313"/>
      <c r="E7" s="1208" t="s">
        <v>1311</v>
      </c>
      <c r="F7" s="309">
        <f ca="1">IF(INDIRECT("'数据-取费表'!ah"&amp;$G$1)="",INDIRECT("'数据-取费表'!k"&amp;$G$1),INDIRECT("'数据-取费表'!ah"&amp;$G$1))</f>
        <v>0</v>
      </c>
      <c r="G7" s="1538"/>
      <c r="H7" s="310"/>
      <c r="I7" s="3460"/>
      <c r="J7" s="312"/>
      <c r="K7" s="313"/>
      <c r="L7" s="308" t="s">
        <v>1311</v>
      </c>
      <c r="M7" s="309">
        <f ca="1">F7</f>
        <v>0</v>
      </c>
    </row>
    <row r="8" spans="1:37" ht="18" customHeight="1">
      <c r="A8" s="310"/>
      <c r="B8" s="3460"/>
      <c r="C8" s="312"/>
      <c r="D8" s="313"/>
      <c r="E8" s="308" t="s">
        <v>1312</v>
      </c>
      <c r="F8" s="309">
        <f ca="1">INDIRECT("'数据-取费表'!ai"&amp;$G$1)</f>
        <v>0</v>
      </c>
      <c r="G8" s="1538"/>
      <c r="H8" s="310"/>
      <c r="I8" s="3460"/>
      <c r="J8" s="312"/>
      <c r="K8" s="313"/>
      <c r="L8" s="308" t="s">
        <v>1312</v>
      </c>
      <c r="M8" s="309">
        <f ca="1">INDIRECT("'数据-取费表'!ai"&amp;$G$1)</f>
        <v>0</v>
      </c>
    </row>
    <row r="9" spans="1:37" ht="18" customHeight="1">
      <c r="A9" s="310"/>
      <c r="B9" s="3461"/>
      <c r="C9" s="312"/>
      <c r="D9" s="313"/>
      <c r="E9" s="308" t="s">
        <v>1313</v>
      </c>
      <c r="F9" s="318">
        <f ca="1">INDIRECT("'数据-取费表'!w"&amp;$G$1)</f>
        <v>0</v>
      </c>
      <c r="G9" s="1538"/>
      <c r="H9" s="310"/>
      <c r="I9" s="346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3.5000000000000003E-2</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1.4999999999999999E-2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57" t="s">
        <v>1453</v>
      </c>
      <c r="L53" s="3458"/>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9" t="s">
        <v>3003</v>
      </c>
      <c r="B2" s="3043" t="e">
        <f>C40</f>
        <v>#DIV/0!</v>
      </c>
      <c r="C2" s="3044" t="s">
        <v>3004</v>
      </c>
      <c r="D2" s="3044"/>
      <c r="E2" s="3045"/>
      <c r="F2" s="3046"/>
      <c r="G2" s="3047"/>
      <c r="H2" s="3048"/>
      <c r="I2" s="3049"/>
      <c r="J2" s="3462" t="s">
        <v>3005</v>
      </c>
      <c r="K2" s="3463"/>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64" t="s">
        <v>3015</v>
      </c>
      <c r="K3" s="3465"/>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64" t="s">
        <v>3017</v>
      </c>
      <c r="K4" s="3465"/>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66" t="s">
        <v>3021</v>
      </c>
      <c r="B6" s="3467"/>
      <c r="C6" s="3468"/>
      <c r="D6" s="3070"/>
      <c r="E6" s="3071"/>
      <c r="F6" s="3072"/>
      <c r="G6" s="3073"/>
      <c r="H6" s="3048"/>
      <c r="I6" s="3049"/>
      <c r="J6" s="3469">
        <v>1</v>
      </c>
      <c r="K6" s="3470"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69"/>
      <c r="K7" s="3471"/>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73" t="s">
        <v>3035</v>
      </c>
      <c r="C8" s="3474"/>
      <c r="D8" s="3089" t="s">
        <v>3036</v>
      </c>
      <c r="E8" s="3090" t="s">
        <v>3037</v>
      </c>
      <c r="F8" s="3091" t="s">
        <v>3038</v>
      </c>
      <c r="G8" s="3092"/>
      <c r="H8" s="3048"/>
      <c r="I8" s="3049"/>
      <c r="J8" s="3469"/>
      <c r="K8" s="3471"/>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73" t="s">
        <v>3041</v>
      </c>
      <c r="C9" s="3474"/>
      <c r="D9" s="3089">
        <f>ROUND(D6*E9,0)</f>
        <v>0</v>
      </c>
      <c r="E9" s="3093"/>
      <c r="F9" s="3094" t="s">
        <v>3042</v>
      </c>
      <c r="G9" s="3073"/>
      <c r="H9" s="3048"/>
      <c r="I9" s="3049"/>
      <c r="J9" s="3469"/>
      <c r="K9" s="3471"/>
      <c r="L9" s="3083" t="s">
        <v>3043</v>
      </c>
      <c r="M9" s="3084"/>
      <c r="N9" s="3060"/>
      <c r="O9" s="3085"/>
      <c r="P9" s="3085"/>
      <c r="Q9" s="3086">
        <v>365</v>
      </c>
      <c r="R9" s="3087">
        <f t="shared" si="0"/>
        <v>0</v>
      </c>
      <c r="S9" s="3041"/>
      <c r="T9" s="3041"/>
      <c r="U9" s="3041"/>
      <c r="V9" s="3049"/>
    </row>
    <row r="10" spans="1:22" s="3053" customFormat="1" ht="13.15" customHeight="1">
      <c r="A10" s="3088">
        <v>2</v>
      </c>
      <c r="B10" s="3473" t="s">
        <v>3044</v>
      </c>
      <c r="C10" s="3474"/>
      <c r="D10" s="3089">
        <f>ROUND(D6*E10,0)</f>
        <v>0</v>
      </c>
      <c r="E10" s="3093"/>
      <c r="F10" s="3094" t="s">
        <v>3045</v>
      </c>
      <c r="G10" s="3073"/>
      <c r="H10" s="3048"/>
      <c r="I10" s="3049"/>
      <c r="J10" s="3469"/>
      <c r="K10" s="3471"/>
      <c r="L10" s="3083" t="s">
        <v>3046</v>
      </c>
      <c r="M10" s="3084"/>
      <c r="N10" s="3060"/>
      <c r="O10" s="3085"/>
      <c r="P10" s="3085"/>
      <c r="Q10" s="3086">
        <v>365</v>
      </c>
      <c r="R10" s="3087">
        <f t="shared" si="0"/>
        <v>0</v>
      </c>
      <c r="S10" s="3041"/>
      <c r="T10" s="3041"/>
      <c r="U10" s="3041"/>
      <c r="V10" s="3049"/>
    </row>
    <row r="11" spans="1:22" s="3053" customFormat="1" ht="13.15" customHeight="1">
      <c r="A11" s="3088">
        <v>3</v>
      </c>
      <c r="B11" s="3473" t="s">
        <v>3047</v>
      </c>
      <c r="C11" s="3474"/>
      <c r="D11" s="3089">
        <f>D12+D14+D15+D16</f>
        <v>0</v>
      </c>
      <c r="E11" s="3095" t="e">
        <f>D11/D6</f>
        <v>#DIV/0!</v>
      </c>
      <c r="F11" s="3091"/>
      <c r="G11" s="3092"/>
      <c r="H11" s="3048"/>
      <c r="I11" s="3049"/>
      <c r="J11" s="3469"/>
      <c r="K11" s="3471"/>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75" t="s">
        <v>3050</v>
      </c>
      <c r="C12" s="3476"/>
      <c r="D12" s="3097">
        <f>ROUND(D13*1.2%*(1-30%),0)</f>
        <v>0</v>
      </c>
      <c r="E12" s="3098">
        <v>1.2E-2</v>
      </c>
      <c r="F12" s="3091" t="s">
        <v>3051</v>
      </c>
      <c r="G12" s="3092"/>
      <c r="H12" s="3048"/>
      <c r="I12" s="3049"/>
      <c r="J12" s="3469"/>
      <c r="K12" s="3471"/>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69"/>
      <c r="K13" s="3471"/>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75" t="s">
        <v>3056</v>
      </c>
      <c r="C14" s="3476"/>
      <c r="D14" s="3097">
        <f>ROUND(E14*B5/10000,0)</f>
        <v>0</v>
      </c>
      <c r="E14" s="3086"/>
      <c r="F14" s="3091" t="s">
        <v>3057</v>
      </c>
      <c r="G14" s="3092"/>
      <c r="H14" s="3048"/>
      <c r="I14" s="3049"/>
      <c r="J14" s="3469"/>
      <c r="K14" s="3472"/>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75" t="s">
        <v>3060</v>
      </c>
      <c r="C15" s="3476"/>
      <c r="D15" s="3097">
        <f>ROUND(D6*E15,0)</f>
        <v>0</v>
      </c>
      <c r="E15" s="3098">
        <v>5.5E-2</v>
      </c>
      <c r="F15" s="3091" t="s">
        <v>3061</v>
      </c>
      <c r="G15" s="3073"/>
      <c r="H15" s="3048"/>
      <c r="I15" s="3049"/>
      <c r="J15" s="3469">
        <v>2</v>
      </c>
      <c r="K15" s="3470"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75" t="s">
        <v>3069</v>
      </c>
      <c r="C16" s="3476"/>
      <c r="D16" s="3108">
        <f>D6*E16</f>
        <v>0</v>
      </c>
      <c r="E16" s="3109"/>
      <c r="F16" s="3094" t="s">
        <v>3070</v>
      </c>
      <c r="G16" s="3073"/>
      <c r="H16" s="3048"/>
      <c r="I16" s="3049"/>
      <c r="J16" s="3469"/>
      <c r="K16" s="3471"/>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77" t="s">
        <v>3072</v>
      </c>
      <c r="C17" s="3478"/>
      <c r="D17" s="3111">
        <f>ROUND(D6*E17,0)</f>
        <v>0</v>
      </c>
      <c r="E17" s="3112"/>
      <c r="F17" s="3113" t="s">
        <v>3073</v>
      </c>
      <c r="G17" s="3073"/>
      <c r="H17" s="3048"/>
      <c r="I17" s="3049"/>
      <c r="J17" s="3469"/>
      <c r="K17" s="3471"/>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69"/>
      <c r="K18" s="3471"/>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69"/>
      <c r="K19" s="3472"/>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9">
        <v>3</v>
      </c>
      <c r="K20" s="3470"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69"/>
      <c r="K21" s="3471"/>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69"/>
      <c r="K22" s="3471"/>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69"/>
      <c r="K23" s="3471"/>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69"/>
      <c r="K24" s="3472"/>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79">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8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62" t="s">
        <v>3005</v>
      </c>
      <c r="K32" s="3463"/>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64" t="s">
        <v>3015</v>
      </c>
      <c r="K33" s="3465"/>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64" t="s">
        <v>3017</v>
      </c>
      <c r="K34" s="346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69">
        <v>1</v>
      </c>
      <c r="K36" s="3470"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69"/>
      <c r="K37" s="3471"/>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9"/>
      <c r="K38" s="3471"/>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69"/>
      <c r="K39" s="3471"/>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69"/>
      <c r="K40" s="3472"/>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9">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8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60635.1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2294</v>
      </c>
      <c r="B4" s="362"/>
      <c r="C4" s="3499" t="s">
        <v>2295</v>
      </c>
      <c r="D4" s="3500"/>
      <c r="E4" s="3501" t="s">
        <v>2296</v>
      </c>
      <c r="F4" s="3502"/>
      <c r="G4" s="3499" t="s">
        <v>2297</v>
      </c>
      <c r="H4" s="3500"/>
      <c r="I4" s="3499" t="s">
        <v>2298</v>
      </c>
      <c r="J4" s="3500"/>
      <c r="K4" s="2045" t="s">
        <v>2299</v>
      </c>
      <c r="L4" s="2914"/>
      <c r="M4" s="2915"/>
      <c r="N4" s="2915"/>
      <c r="O4" s="2915"/>
      <c r="P4" s="3503" t="s">
        <v>2300</v>
      </c>
      <c r="Q4" s="3504"/>
      <c r="R4" s="3486" t="s">
        <v>2296</v>
      </c>
      <c r="S4" s="3487"/>
      <c r="T4" s="3486" t="s">
        <v>2297</v>
      </c>
      <c r="U4" s="3487"/>
      <c r="V4" s="3511" t="s">
        <v>2298</v>
      </c>
      <c r="W4" s="3511"/>
      <c r="X4" s="1509"/>
      <c r="Y4" s="3486" t="s">
        <v>2300</v>
      </c>
      <c r="Z4" s="3487"/>
      <c r="AA4" s="3481" t="s">
        <v>2296</v>
      </c>
      <c r="AB4" s="3481" t="s">
        <v>2297</v>
      </c>
      <c r="AC4" s="3481" t="s">
        <v>2298</v>
      </c>
    </row>
    <row r="5" spans="1:29" ht="15">
      <c r="A5" s="364"/>
      <c r="B5" s="365"/>
      <c r="C5" s="3492" t="s">
        <v>2301</v>
      </c>
      <c r="D5" s="3493"/>
      <c r="E5" s="3490" t="s">
        <v>2302</v>
      </c>
      <c r="F5" s="3491"/>
      <c r="G5" s="3492" t="s">
        <v>2303</v>
      </c>
      <c r="H5" s="3493"/>
      <c r="I5" s="3492" t="s">
        <v>2304</v>
      </c>
      <c r="J5" s="3493"/>
      <c r="K5" s="2046"/>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2305</v>
      </c>
      <c r="D6" s="3495"/>
      <c r="E6" s="3496" t="s">
        <v>2305</v>
      </c>
      <c r="F6" s="3497"/>
      <c r="G6" s="3494" t="s">
        <v>2305</v>
      </c>
      <c r="H6" s="3495"/>
      <c r="I6" s="3494" t="s">
        <v>2305</v>
      </c>
      <c r="J6" s="3495"/>
      <c r="K6" s="2046" t="s">
        <v>2306</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2307</v>
      </c>
      <c r="B7" s="369"/>
      <c r="C7" s="370">
        <f>'数据-取费表'!B2</f>
        <v>44566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4" t="s">
        <v>2308</v>
      </c>
      <c r="Q7" s="3512"/>
      <c r="R7" s="710" t="s">
        <v>23</v>
      </c>
      <c r="S7" s="711">
        <f t="shared" ref="S7:S15" si="0">F7</f>
        <v>0</v>
      </c>
      <c r="T7" s="710" t="s">
        <v>23</v>
      </c>
      <c r="U7" s="711">
        <f t="shared" ref="U7:U15" si="1">H7</f>
        <v>0</v>
      </c>
      <c r="V7" s="710" t="s">
        <v>23</v>
      </c>
      <c r="W7" s="711">
        <f t="shared" ref="W7:W15" si="2">J7</f>
        <v>0</v>
      </c>
      <c r="X7" s="712"/>
      <c r="Y7" s="3484" t="s">
        <v>2308</v>
      </c>
      <c r="Z7" s="3485"/>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4" t="s">
        <v>2311</v>
      </c>
      <c r="Q8" s="3485"/>
      <c r="R8" s="710" t="s">
        <v>23</v>
      </c>
      <c r="S8" s="711">
        <f t="shared" si="0"/>
        <v>0</v>
      </c>
      <c r="T8" s="710" t="s">
        <v>23</v>
      </c>
      <c r="U8" s="711">
        <f t="shared" si="1"/>
        <v>0</v>
      </c>
      <c r="V8" s="710" t="s">
        <v>23</v>
      </c>
      <c r="W8" s="711">
        <f t="shared" si="2"/>
        <v>0</v>
      </c>
      <c r="X8" s="712"/>
      <c r="Y8" s="3484" t="s">
        <v>2311</v>
      </c>
      <c r="Z8" s="3485"/>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98"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98"/>
      <c r="Q11" s="1497" t="str">
        <f t="shared" si="6"/>
        <v>容积率</v>
      </c>
      <c r="R11" s="710" t="s">
        <v>21</v>
      </c>
      <c r="S11" s="711" t="e">
        <f t="shared" si="0"/>
        <v>#N/A</v>
      </c>
      <c r="T11" s="710" t="s">
        <v>21</v>
      </c>
      <c r="U11" s="711" t="e">
        <f t="shared" si="1"/>
        <v>#N/A</v>
      </c>
      <c r="V11" s="710" t="s">
        <v>21</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98"/>
      <c r="Q12" s="1497">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98"/>
      <c r="Q13" s="1497">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98"/>
      <c r="Q14" s="1497">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5" t="s">
        <v>2319</v>
      </c>
      <c r="Q15" s="1506" t="str">
        <f t="shared" si="6"/>
        <v>居住社区成熟度</v>
      </c>
      <c r="R15" s="714" t="s">
        <v>21</v>
      </c>
      <c r="S15" s="715">
        <f t="shared" si="0"/>
        <v>100</v>
      </c>
      <c r="T15" s="714" t="s">
        <v>21</v>
      </c>
      <c r="U15" s="715">
        <f t="shared" si="1"/>
        <v>100</v>
      </c>
      <c r="V15" s="714" t="s">
        <v>21</v>
      </c>
      <c r="W15" s="715">
        <f t="shared" si="2"/>
        <v>100</v>
      </c>
      <c r="X15" s="1509"/>
      <c r="Y15" s="3518"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26"/>
      <c r="Q16" s="1506"/>
      <c r="R16" s="714"/>
      <c r="S16" s="715"/>
      <c r="T16" s="714"/>
      <c r="U16" s="715"/>
      <c r="V16" s="714"/>
      <c r="W16" s="715"/>
      <c r="X16" s="1509"/>
      <c r="Y16" s="3519"/>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26"/>
      <c r="Q17" s="1506" t="str">
        <f>B17</f>
        <v>交通便捷度</v>
      </c>
      <c r="R17" s="714" t="s">
        <v>21</v>
      </c>
      <c r="S17" s="715">
        <f>F17</f>
        <v>100</v>
      </c>
      <c r="T17" s="714" t="s">
        <v>21</v>
      </c>
      <c r="U17" s="715">
        <f>H17</f>
        <v>100</v>
      </c>
      <c r="V17" s="714" t="s">
        <v>21</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26"/>
      <c r="Q18" s="1506"/>
      <c r="R18" s="714"/>
      <c r="S18" s="715"/>
      <c r="T18" s="714"/>
      <c r="U18" s="715"/>
      <c r="V18" s="714"/>
      <c r="W18" s="715"/>
      <c r="X18" s="1509"/>
      <c r="Y18" s="3519"/>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26"/>
      <c r="Q19" s="1506" t="str">
        <f>B19</f>
        <v>公共配套设施</v>
      </c>
      <c r="R19" s="714" t="s">
        <v>21</v>
      </c>
      <c r="S19" s="715">
        <f>F19</f>
        <v>100</v>
      </c>
      <c r="T19" s="714" t="s">
        <v>21</v>
      </c>
      <c r="U19" s="715">
        <f>H19</f>
        <v>100</v>
      </c>
      <c r="V19" s="714" t="s">
        <v>21</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26"/>
      <c r="Q20" s="1506"/>
      <c r="R20" s="714"/>
      <c r="S20" s="715"/>
      <c r="T20" s="714"/>
      <c r="U20" s="715"/>
      <c r="V20" s="714"/>
      <c r="W20" s="715"/>
      <c r="X20" s="1509"/>
      <c r="Y20" s="3519"/>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26"/>
      <c r="Q22" s="1506"/>
      <c r="R22" s="714"/>
      <c r="S22" s="715"/>
      <c r="T22" s="714"/>
      <c r="U22" s="715"/>
      <c r="V22" s="714"/>
      <c r="W22" s="715"/>
      <c r="X22" s="1509"/>
      <c r="Y22" s="3519"/>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26"/>
      <c r="Q23" s="1506" t="str">
        <f>B23</f>
        <v>自然及人文环境</v>
      </c>
      <c r="R23" s="714" t="s">
        <v>21</v>
      </c>
      <c r="S23" s="715">
        <f>F23</f>
        <v>100</v>
      </c>
      <c r="T23" s="714" t="s">
        <v>21</v>
      </c>
      <c r="U23" s="715">
        <f>H23</f>
        <v>100</v>
      </c>
      <c r="V23" s="714" t="s">
        <v>21</v>
      </c>
      <c r="W23" s="715">
        <f>J23</f>
        <v>100</v>
      </c>
      <c r="X23" s="1509"/>
      <c r="Y23" s="351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26"/>
      <c r="Q24" s="1506"/>
      <c r="R24" s="714"/>
      <c r="S24" s="715"/>
      <c r="T24" s="714"/>
      <c r="U24" s="715"/>
      <c r="V24" s="714"/>
      <c r="W24" s="715"/>
      <c r="X24" s="1509"/>
      <c r="Y24" s="3519"/>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2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19"/>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26"/>
      <c r="Q26" s="1506" t="str">
        <f t="shared" si="11"/>
        <v>朝向</v>
      </c>
      <c r="R26" s="714" t="s">
        <v>21</v>
      </c>
      <c r="S26" s="715">
        <f t="shared" si="12"/>
        <v>100</v>
      </c>
      <c r="T26" s="714" t="s">
        <v>21</v>
      </c>
      <c r="U26" s="715">
        <f t="shared" si="13"/>
        <v>100</v>
      </c>
      <c r="V26" s="714" t="s">
        <v>21</v>
      </c>
      <c r="W26" s="715">
        <f t="shared" si="14"/>
        <v>100</v>
      </c>
      <c r="X26" s="1509"/>
      <c r="Y26" s="351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26"/>
      <c r="Q27" s="1497">
        <f t="shared" si="11"/>
        <v>111</v>
      </c>
      <c r="R27" s="710" t="s">
        <v>21</v>
      </c>
      <c r="S27" s="711">
        <f t="shared" si="12"/>
        <v>100</v>
      </c>
      <c r="T27" s="710" t="s">
        <v>21</v>
      </c>
      <c r="U27" s="711">
        <f t="shared" si="13"/>
        <v>100</v>
      </c>
      <c r="V27" s="710" t="s">
        <v>21</v>
      </c>
      <c r="W27" s="711">
        <f t="shared" si="14"/>
        <v>100</v>
      </c>
      <c r="X27" s="712"/>
      <c r="Y27" s="351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26"/>
      <c r="Q28" s="1506">
        <f t="shared" si="11"/>
        <v>111</v>
      </c>
      <c r="R28" s="714" t="s">
        <v>21</v>
      </c>
      <c r="S28" s="715">
        <f t="shared" si="12"/>
        <v>100</v>
      </c>
      <c r="T28" s="714" t="s">
        <v>21</v>
      </c>
      <c r="U28" s="715">
        <f t="shared" si="13"/>
        <v>100</v>
      </c>
      <c r="V28" s="714" t="s">
        <v>21</v>
      </c>
      <c r="W28" s="715">
        <f t="shared" si="14"/>
        <v>100</v>
      </c>
      <c r="X28" s="1509"/>
      <c r="Y28" s="351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26"/>
      <c r="Q29" s="1506">
        <f t="shared" si="11"/>
        <v>111</v>
      </c>
      <c r="R29" s="714" t="s">
        <v>21</v>
      </c>
      <c r="S29" s="715">
        <f t="shared" si="12"/>
        <v>100</v>
      </c>
      <c r="T29" s="714" t="s">
        <v>21</v>
      </c>
      <c r="U29" s="715">
        <f t="shared" si="13"/>
        <v>100</v>
      </c>
      <c r="V29" s="714" t="s">
        <v>21</v>
      </c>
      <c r="W29" s="715">
        <f t="shared" si="14"/>
        <v>100</v>
      </c>
      <c r="X29" s="1509"/>
      <c r="Y29" s="351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26"/>
      <c r="Q30" s="1506">
        <f t="shared" si="11"/>
        <v>111</v>
      </c>
      <c r="R30" s="714" t="s">
        <v>21</v>
      </c>
      <c r="S30" s="715">
        <f t="shared" si="12"/>
        <v>100</v>
      </c>
      <c r="T30" s="714" t="s">
        <v>21</v>
      </c>
      <c r="U30" s="715">
        <f t="shared" si="13"/>
        <v>100</v>
      </c>
      <c r="V30" s="714" t="s">
        <v>21</v>
      </c>
      <c r="W30" s="715">
        <f t="shared" si="14"/>
        <v>100</v>
      </c>
      <c r="X30" s="1509"/>
      <c r="Y30" s="351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26"/>
      <c r="Q31" s="1506">
        <f t="shared" si="11"/>
        <v>111</v>
      </c>
      <c r="R31" s="714" t="s">
        <v>21</v>
      </c>
      <c r="S31" s="715">
        <f t="shared" si="12"/>
        <v>100</v>
      </c>
      <c r="T31" s="714" t="s">
        <v>21</v>
      </c>
      <c r="U31" s="715">
        <f t="shared" si="13"/>
        <v>100</v>
      </c>
      <c r="V31" s="714" t="s">
        <v>21</v>
      </c>
      <c r="W31" s="715">
        <f t="shared" si="14"/>
        <v>100</v>
      </c>
      <c r="X31" s="1509"/>
      <c r="Y31" s="3519"/>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20" t="s">
        <v>2324</v>
      </c>
      <c r="Q32" s="1506" t="str">
        <f t="shared" si="11"/>
        <v>建筑类型</v>
      </c>
      <c r="R32" s="714" t="s">
        <v>21</v>
      </c>
      <c r="S32" s="715">
        <f t="shared" si="12"/>
        <v>100</v>
      </c>
      <c r="T32" s="714" t="s">
        <v>21</v>
      </c>
      <c r="U32" s="715">
        <f t="shared" si="13"/>
        <v>100</v>
      </c>
      <c r="V32" s="714" t="s">
        <v>21</v>
      </c>
      <c r="W32" s="715">
        <f t="shared" si="14"/>
        <v>100</v>
      </c>
      <c r="X32" s="1509"/>
      <c r="Y32" s="3523"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21"/>
      <c r="Q33" s="716" t="str">
        <f t="shared" si="11"/>
        <v>项目建筑规模</v>
      </c>
      <c r="R33" s="717" t="s">
        <v>21</v>
      </c>
      <c r="S33" s="718" t="e">
        <f t="shared" si="12"/>
        <v>#N/A</v>
      </c>
      <c r="T33" s="717" t="s">
        <v>21</v>
      </c>
      <c r="U33" s="718" t="e">
        <f t="shared" si="13"/>
        <v>#N/A</v>
      </c>
      <c r="V33" s="717" t="s">
        <v>21</v>
      </c>
      <c r="W33" s="718" t="e">
        <f t="shared" si="14"/>
        <v>#N/A</v>
      </c>
      <c r="X33" s="719"/>
      <c r="Y33" s="3523"/>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21"/>
      <c r="Q34" s="1506" t="str">
        <f t="shared" si="11"/>
        <v>建筑结构</v>
      </c>
      <c r="R34" s="714" t="s">
        <v>21</v>
      </c>
      <c r="S34" s="715">
        <f t="shared" si="12"/>
        <v>100</v>
      </c>
      <c r="T34" s="714" t="s">
        <v>21</v>
      </c>
      <c r="U34" s="715">
        <f t="shared" si="13"/>
        <v>100</v>
      </c>
      <c r="V34" s="714" t="s">
        <v>21</v>
      </c>
      <c r="W34" s="715">
        <f t="shared" si="14"/>
        <v>100</v>
      </c>
      <c r="X34" s="1509"/>
      <c r="Y34" s="3523"/>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21"/>
      <c r="Q35" s="1506" t="str">
        <f t="shared" si="11"/>
        <v>建筑品质</v>
      </c>
      <c r="R35" s="714" t="s">
        <v>21</v>
      </c>
      <c r="S35" s="715">
        <f t="shared" si="12"/>
        <v>100</v>
      </c>
      <c r="T35" s="714" t="s">
        <v>21</v>
      </c>
      <c r="U35" s="715">
        <f t="shared" si="13"/>
        <v>100</v>
      </c>
      <c r="V35" s="714" t="s">
        <v>21</v>
      </c>
      <c r="W35" s="715">
        <f t="shared" si="14"/>
        <v>100</v>
      </c>
      <c r="X35" s="1509"/>
      <c r="Y35" s="3523"/>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21"/>
      <c r="Q36" s="1506" t="str">
        <f t="shared" si="11"/>
        <v>公共部分装修</v>
      </c>
      <c r="R36" s="714" t="s">
        <v>21</v>
      </c>
      <c r="S36" s="715">
        <f t="shared" si="12"/>
        <v>100</v>
      </c>
      <c r="T36" s="714" t="s">
        <v>21</v>
      </c>
      <c r="U36" s="715">
        <f t="shared" si="13"/>
        <v>100</v>
      </c>
      <c r="V36" s="714" t="s">
        <v>21</v>
      </c>
      <c r="W36" s="715">
        <f t="shared" si="14"/>
        <v>100</v>
      </c>
      <c r="X36" s="1509"/>
      <c r="Y36" s="3523"/>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21"/>
      <c r="Q37" s="1497" t="str">
        <f t="shared" si="11"/>
        <v>成新度</v>
      </c>
      <c r="R37" s="710" t="s">
        <v>21</v>
      </c>
      <c r="S37" s="711" t="e">
        <f t="shared" si="12"/>
        <v>#N/A</v>
      </c>
      <c r="T37" s="710" t="s">
        <v>21</v>
      </c>
      <c r="U37" s="711" t="e">
        <f t="shared" si="13"/>
        <v>#N/A</v>
      </c>
      <c r="V37" s="710" t="s">
        <v>21</v>
      </c>
      <c r="W37" s="711" t="e">
        <f t="shared" si="14"/>
        <v>#N/A</v>
      </c>
      <c r="X37" s="712"/>
      <c r="Y37" s="3523"/>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21" t="s">
        <v>2324</v>
      </c>
      <c r="Q38" s="1506" t="str">
        <f t="shared" si="11"/>
        <v>物业管理</v>
      </c>
      <c r="R38" s="714" t="s">
        <v>21</v>
      </c>
      <c r="S38" s="715">
        <f t="shared" si="12"/>
        <v>100</v>
      </c>
      <c r="T38" s="714" t="s">
        <v>21</v>
      </c>
      <c r="U38" s="715">
        <f t="shared" si="13"/>
        <v>100</v>
      </c>
      <c r="V38" s="714" t="s">
        <v>21</v>
      </c>
      <c r="W38" s="715">
        <f t="shared" si="14"/>
        <v>100</v>
      </c>
      <c r="X38" s="1509"/>
      <c r="Y38" s="3523"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21"/>
      <c r="Q39" s="1506" t="str">
        <f t="shared" si="11"/>
        <v>市政基础设施</v>
      </c>
      <c r="R39" s="714" t="s">
        <v>21</v>
      </c>
      <c r="S39" s="715">
        <f t="shared" si="12"/>
        <v>100</v>
      </c>
      <c r="T39" s="714" t="s">
        <v>21</v>
      </c>
      <c r="U39" s="715">
        <f t="shared" si="13"/>
        <v>100</v>
      </c>
      <c r="V39" s="714" t="s">
        <v>21</v>
      </c>
      <c r="W39" s="715">
        <f t="shared" si="14"/>
        <v>100</v>
      </c>
      <c r="X39" s="1509"/>
      <c r="Y39" s="3523"/>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21"/>
      <c r="Q40" s="1506" t="str">
        <f t="shared" si="11"/>
        <v>房型</v>
      </c>
      <c r="R40" s="714" t="s">
        <v>21</v>
      </c>
      <c r="S40" s="715">
        <f t="shared" si="12"/>
        <v>100</v>
      </c>
      <c r="T40" s="714" t="s">
        <v>21</v>
      </c>
      <c r="U40" s="715">
        <f t="shared" si="13"/>
        <v>100</v>
      </c>
      <c r="V40" s="714" t="s">
        <v>21</v>
      </c>
      <c r="W40" s="715">
        <f t="shared" si="14"/>
        <v>100</v>
      </c>
      <c r="X40" s="1509"/>
      <c r="Y40" s="3523"/>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21"/>
      <c r="Q41" s="716" t="str">
        <f t="shared" si="11"/>
        <v>单套/主力户型建筑面积</v>
      </c>
      <c r="R41" s="717" t="s">
        <v>21</v>
      </c>
      <c r="S41" s="718">
        <f t="shared" si="12"/>
        <v>100</v>
      </c>
      <c r="T41" s="717" t="s">
        <v>21</v>
      </c>
      <c r="U41" s="718">
        <f t="shared" si="13"/>
        <v>100</v>
      </c>
      <c r="V41" s="717" t="s">
        <v>21</v>
      </c>
      <c r="W41" s="718">
        <f t="shared" si="14"/>
        <v>100</v>
      </c>
      <c r="X41" s="719"/>
      <c r="Y41" s="3523"/>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21"/>
      <c r="Q42" s="1506" t="str">
        <f t="shared" si="11"/>
        <v>内部装修</v>
      </c>
      <c r="R42" s="714" t="s">
        <v>21</v>
      </c>
      <c r="S42" s="715">
        <f t="shared" si="12"/>
        <v>100</v>
      </c>
      <c r="T42" s="714" t="s">
        <v>21</v>
      </c>
      <c r="U42" s="715">
        <f t="shared" si="13"/>
        <v>100</v>
      </c>
      <c r="V42" s="714" t="s">
        <v>21</v>
      </c>
      <c r="W42" s="715">
        <f t="shared" si="14"/>
        <v>100</v>
      </c>
      <c r="X42" s="1509"/>
      <c r="Y42" s="3523"/>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21"/>
      <c r="Q43" s="1506" t="str">
        <f t="shared" si="11"/>
        <v>内部装修维护情况</v>
      </c>
      <c r="R43" s="714" t="s">
        <v>21</v>
      </c>
      <c r="S43" s="715">
        <f t="shared" si="12"/>
        <v>100</v>
      </c>
      <c r="T43" s="714" t="s">
        <v>21</v>
      </c>
      <c r="U43" s="715">
        <f t="shared" si="13"/>
        <v>100</v>
      </c>
      <c r="V43" s="714" t="s">
        <v>21</v>
      </c>
      <c r="W43" s="715">
        <f t="shared" si="14"/>
        <v>100</v>
      </c>
      <c r="X43" s="1509"/>
      <c r="Y43" s="352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21"/>
      <c r="Q44" s="1497">
        <f t="shared" si="11"/>
        <v>111</v>
      </c>
      <c r="R44" s="710" t="s">
        <v>21</v>
      </c>
      <c r="S44" s="711">
        <f t="shared" si="12"/>
        <v>100</v>
      </c>
      <c r="T44" s="710" t="s">
        <v>21</v>
      </c>
      <c r="U44" s="711">
        <f t="shared" si="13"/>
        <v>100</v>
      </c>
      <c r="V44" s="710" t="s">
        <v>21</v>
      </c>
      <c r="W44" s="711">
        <f t="shared" si="14"/>
        <v>100</v>
      </c>
      <c r="X44" s="712"/>
      <c r="Y44" s="352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21"/>
      <c r="Q45" s="1506">
        <f t="shared" si="11"/>
        <v>111</v>
      </c>
      <c r="R45" s="714" t="s">
        <v>21</v>
      </c>
      <c r="S45" s="715">
        <f t="shared" si="12"/>
        <v>100</v>
      </c>
      <c r="T45" s="714" t="s">
        <v>21</v>
      </c>
      <c r="U45" s="715">
        <f t="shared" si="13"/>
        <v>100</v>
      </c>
      <c r="V45" s="714" t="s">
        <v>21</v>
      </c>
      <c r="W45" s="715">
        <f t="shared" si="14"/>
        <v>100</v>
      </c>
      <c r="X45" s="1509"/>
      <c r="Y45" s="352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2"/>
      <c r="Q46" s="1506">
        <f t="shared" si="11"/>
        <v>111</v>
      </c>
      <c r="R46" s="714" t="s">
        <v>20</v>
      </c>
      <c r="S46" s="715">
        <f t="shared" si="12"/>
        <v>100</v>
      </c>
      <c r="T46" s="714" t="s">
        <v>20</v>
      </c>
      <c r="U46" s="715">
        <f t="shared" si="13"/>
        <v>100</v>
      </c>
      <c r="V46" s="714" t="s">
        <v>20</v>
      </c>
      <c r="W46" s="715">
        <f t="shared" si="14"/>
        <v>100</v>
      </c>
      <c r="X46" s="1509"/>
      <c r="Y46" s="3524"/>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3"/>
      <c r="M47" s="2924"/>
      <c r="N47" s="2915"/>
      <c r="O47" s="2924"/>
      <c r="P47" s="3516" t="str">
        <f>A47</f>
        <v>成交单价（元/平方米）</v>
      </c>
      <c r="Q47" s="3516"/>
      <c r="R47" s="3517">
        <f>E47</f>
        <v>0</v>
      </c>
      <c r="S47" s="3517"/>
      <c r="T47" s="3517">
        <f>G47</f>
        <v>0</v>
      </c>
      <c r="U47" s="3517"/>
      <c r="V47" s="3517">
        <f>I47</f>
        <v>0</v>
      </c>
      <c r="W47" s="3517"/>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3"/>
      <c r="M49" s="2924"/>
      <c r="N49" s="2924"/>
      <c r="O49" s="2924"/>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2404</v>
      </c>
      <c r="B4" s="362"/>
      <c r="C4" s="3499" t="s">
        <v>2405</v>
      </c>
      <c r="D4" s="3500"/>
      <c r="E4" s="3501" t="s">
        <v>2406</v>
      </c>
      <c r="F4" s="3502"/>
      <c r="G4" s="3499" t="s">
        <v>2407</v>
      </c>
      <c r="H4" s="3500"/>
      <c r="I4" s="3499" t="s">
        <v>2408</v>
      </c>
      <c r="J4" s="3500"/>
      <c r="K4" s="567" t="s">
        <v>2409</v>
      </c>
      <c r="L4" s="2914"/>
      <c r="M4" s="2915"/>
      <c r="N4" s="2915"/>
      <c r="O4" s="2915"/>
      <c r="P4" s="3503" t="s">
        <v>2410</v>
      </c>
      <c r="Q4" s="3504"/>
      <c r="R4" s="3486" t="s">
        <v>2406</v>
      </c>
      <c r="S4" s="3487"/>
      <c r="T4" s="3486" t="s">
        <v>2407</v>
      </c>
      <c r="U4" s="3487"/>
      <c r="V4" s="3511" t="s">
        <v>2408</v>
      </c>
      <c r="W4" s="3511"/>
      <c r="X4" s="1509"/>
      <c r="Y4" s="3486" t="s">
        <v>2410</v>
      </c>
      <c r="Z4" s="3487"/>
      <c r="AA4" s="3481" t="s">
        <v>2406</v>
      </c>
      <c r="AB4" s="3511" t="s">
        <v>2407</v>
      </c>
      <c r="AC4" s="3481" t="s">
        <v>2408</v>
      </c>
    </row>
    <row r="5" spans="1:29" ht="15">
      <c r="A5" s="364"/>
      <c r="B5" s="365"/>
      <c r="C5" s="3492" t="s">
        <v>2301</v>
      </c>
      <c r="D5" s="3493"/>
      <c r="E5" s="3490" t="s">
        <v>2302</v>
      </c>
      <c r="F5" s="3491"/>
      <c r="G5" s="3492" t="s">
        <v>2303</v>
      </c>
      <c r="H5" s="3493"/>
      <c r="I5" s="3492" t="s">
        <v>2304</v>
      </c>
      <c r="J5" s="3493"/>
      <c r="K5" s="567"/>
      <c r="L5" s="2914"/>
      <c r="M5" s="2915"/>
      <c r="N5" s="2915"/>
      <c r="O5" s="2915"/>
      <c r="P5" s="3505"/>
      <c r="Q5" s="3506"/>
      <c r="R5" s="3488"/>
      <c r="S5" s="3489"/>
      <c r="T5" s="3488"/>
      <c r="U5" s="3489"/>
      <c r="V5" s="3511"/>
      <c r="W5" s="3511"/>
      <c r="X5" s="1509"/>
      <c r="Y5" s="3488"/>
      <c r="Z5" s="3489"/>
      <c r="AA5" s="3482"/>
      <c r="AB5" s="3511"/>
      <c r="AC5" s="3482"/>
    </row>
    <row r="6" spans="1:29" ht="15.75" thickBot="1">
      <c r="A6" s="366"/>
      <c r="B6" s="367"/>
      <c r="C6" s="3494" t="s">
        <v>2305</v>
      </c>
      <c r="D6" s="3495"/>
      <c r="E6" s="3496" t="s">
        <v>2305</v>
      </c>
      <c r="F6" s="3497"/>
      <c r="G6" s="3494" t="s">
        <v>2305</v>
      </c>
      <c r="H6" s="3495"/>
      <c r="I6" s="3494" t="s">
        <v>2305</v>
      </c>
      <c r="J6" s="3495"/>
      <c r="K6" s="567" t="s">
        <v>2306</v>
      </c>
      <c r="L6" s="2914"/>
      <c r="M6" s="2915"/>
      <c r="N6" s="2915"/>
      <c r="O6" s="2915"/>
      <c r="P6" s="3507"/>
      <c r="Q6" s="3508"/>
      <c r="R6" s="3488"/>
      <c r="S6" s="3489"/>
      <c r="T6" s="3509"/>
      <c r="U6" s="3510"/>
      <c r="V6" s="3511"/>
      <c r="W6" s="3511"/>
      <c r="X6" s="1509"/>
      <c r="Y6" s="3509"/>
      <c r="Z6" s="3510"/>
      <c r="AA6" s="3483"/>
      <c r="AB6" s="3511"/>
      <c r="AC6" s="3483"/>
    </row>
    <row r="7" spans="1:29" s="113" customFormat="1" ht="15.75" thickBot="1">
      <c r="A7" s="368" t="s">
        <v>2307</v>
      </c>
      <c r="B7" s="369"/>
      <c r="C7" s="370">
        <f>'数据-取费表'!B2</f>
        <v>44566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4" t="s">
        <v>2308</v>
      </c>
      <c r="Q7" s="3512"/>
      <c r="R7" s="710" t="s">
        <v>17</v>
      </c>
      <c r="S7" s="711">
        <f t="shared" ref="S7:S15" si="0">F7</f>
        <v>0</v>
      </c>
      <c r="T7" s="710" t="s">
        <v>17</v>
      </c>
      <c r="U7" s="711">
        <f t="shared" ref="U7:U15" si="1">H7</f>
        <v>0</v>
      </c>
      <c r="V7" s="710" t="s">
        <v>17</v>
      </c>
      <c r="W7" s="711">
        <f t="shared" ref="W7:W15" si="2">J7</f>
        <v>0</v>
      </c>
      <c r="X7" s="712"/>
      <c r="Y7" s="3484" t="s">
        <v>2308</v>
      </c>
      <c r="Z7" s="3485"/>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4" t="s">
        <v>2311</v>
      </c>
      <c r="Q8" s="3485"/>
      <c r="R8" s="710" t="s">
        <v>17</v>
      </c>
      <c r="S8" s="711">
        <f t="shared" si="0"/>
        <v>0</v>
      </c>
      <c r="T8" s="710" t="s">
        <v>17</v>
      </c>
      <c r="U8" s="711">
        <f t="shared" si="1"/>
        <v>0</v>
      </c>
      <c r="V8" s="710" t="s">
        <v>17</v>
      </c>
      <c r="W8" s="711">
        <f t="shared" si="2"/>
        <v>0</v>
      </c>
      <c r="X8" s="712"/>
      <c r="Y8" s="3484" t="s">
        <v>2311</v>
      </c>
      <c r="Z8" s="3485"/>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98"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98"/>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98"/>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98"/>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98"/>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5" t="s">
        <v>2319</v>
      </c>
      <c r="Q15" s="1506" t="str">
        <f t="shared" si="6"/>
        <v>商业繁华度</v>
      </c>
      <c r="R15" s="714" t="s">
        <v>17</v>
      </c>
      <c r="S15" s="715">
        <f t="shared" si="0"/>
        <v>100</v>
      </c>
      <c r="T15" s="714" t="s">
        <v>17</v>
      </c>
      <c r="U15" s="715">
        <f t="shared" si="1"/>
        <v>100</v>
      </c>
      <c r="V15" s="714" t="s">
        <v>17</v>
      </c>
      <c r="W15" s="715">
        <f t="shared" si="2"/>
        <v>100</v>
      </c>
      <c r="X15" s="1509"/>
      <c r="Y15" s="3518"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26"/>
      <c r="Q16" s="1506"/>
      <c r="R16" s="714"/>
      <c r="S16" s="715"/>
      <c r="T16" s="714"/>
      <c r="U16" s="715"/>
      <c r="V16" s="714"/>
      <c r="W16" s="715"/>
      <c r="X16" s="1509"/>
      <c r="Y16" s="3519"/>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26"/>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26"/>
      <c r="Q18" s="1506"/>
      <c r="R18" s="714"/>
      <c r="S18" s="715"/>
      <c r="T18" s="714"/>
      <c r="U18" s="715"/>
      <c r="V18" s="714"/>
      <c r="W18" s="715"/>
      <c r="X18" s="1509"/>
      <c r="Y18" s="3519"/>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26"/>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26"/>
      <c r="Q20" s="1506"/>
      <c r="R20" s="714"/>
      <c r="S20" s="715"/>
      <c r="T20" s="714"/>
      <c r="U20" s="715"/>
      <c r="V20" s="714"/>
      <c r="W20" s="715"/>
      <c r="X20" s="1509"/>
      <c r="Y20" s="3519"/>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26"/>
      <c r="Q22" s="1506"/>
      <c r="R22" s="714"/>
      <c r="S22" s="715"/>
      <c r="T22" s="714"/>
      <c r="U22" s="715"/>
      <c r="V22" s="714"/>
      <c r="W22" s="715"/>
      <c r="X22" s="1509"/>
      <c r="Y22" s="3519"/>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26"/>
      <c r="Q23" s="1506" t="str">
        <f>B23</f>
        <v>自然及人文环境</v>
      </c>
      <c r="R23" s="714" t="s">
        <v>17</v>
      </c>
      <c r="S23" s="715">
        <f>F23</f>
        <v>100</v>
      </c>
      <c r="T23" s="714" t="s">
        <v>17</v>
      </c>
      <c r="U23" s="715">
        <f>H23</f>
        <v>100</v>
      </c>
      <c r="V23" s="714" t="s">
        <v>17</v>
      </c>
      <c r="W23" s="715">
        <f>J23</f>
        <v>100</v>
      </c>
      <c r="X23" s="1509"/>
      <c r="Y23" s="351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26"/>
      <c r="Q24" s="1506"/>
      <c r="R24" s="714"/>
      <c r="S24" s="715"/>
      <c r="T24" s="714"/>
      <c r="U24" s="715"/>
      <c r="V24" s="714"/>
      <c r="W24" s="715"/>
      <c r="X24" s="1509"/>
      <c r="Y24" s="3519"/>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26"/>
      <c r="Q25" s="1506" t="str">
        <f t="shared" ref="Q25:Q46" si="11">B25</f>
        <v>临街状况</v>
      </c>
      <c r="R25" s="714" t="s">
        <v>17</v>
      </c>
      <c r="S25" s="715">
        <f>F25</f>
        <v>100</v>
      </c>
      <c r="T25" s="714" t="s">
        <v>17</v>
      </c>
      <c r="U25" s="715">
        <f>H25</f>
        <v>100</v>
      </c>
      <c r="V25" s="714" t="s">
        <v>17</v>
      </c>
      <c r="W25" s="715">
        <f>J25</f>
        <v>100</v>
      </c>
      <c r="X25" s="1509"/>
      <c r="Y25" s="3519"/>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26"/>
      <c r="Q26" s="1506" t="str">
        <f t="shared" si="11"/>
        <v>平面位置/可视性</v>
      </c>
      <c r="R26" s="714" t="s">
        <v>17</v>
      </c>
      <c r="S26" s="715">
        <f>F26</f>
        <v>100</v>
      </c>
      <c r="T26" s="714" t="s">
        <v>17</v>
      </c>
      <c r="U26" s="715">
        <f>H26</f>
        <v>100</v>
      </c>
      <c r="V26" s="714" t="s">
        <v>17</v>
      </c>
      <c r="W26" s="715">
        <f>J26</f>
        <v>100</v>
      </c>
      <c r="X26" s="1509"/>
      <c r="Y26" s="3519"/>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26"/>
      <c r="Q27" s="1497" t="str">
        <f t="shared" si="11"/>
        <v>人流量</v>
      </c>
      <c r="R27" s="710" t="s">
        <v>17</v>
      </c>
      <c r="S27" s="711">
        <f>F27</f>
        <v>100</v>
      </c>
      <c r="T27" s="710" t="s">
        <v>17</v>
      </c>
      <c r="U27" s="711">
        <f>H27</f>
        <v>100</v>
      </c>
      <c r="V27" s="710" t="s">
        <v>17</v>
      </c>
      <c r="W27" s="711">
        <f>J27</f>
        <v>100</v>
      </c>
      <c r="X27" s="712"/>
      <c r="Y27" s="3519"/>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2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1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26"/>
      <c r="Q29" s="1506">
        <f t="shared" si="11"/>
        <v>111</v>
      </c>
      <c r="R29" s="714" t="s">
        <v>17</v>
      </c>
      <c r="S29" s="715">
        <f t="shared" si="12"/>
        <v>100</v>
      </c>
      <c r="T29" s="714" t="s">
        <v>17</v>
      </c>
      <c r="U29" s="715">
        <f t="shared" si="13"/>
        <v>100</v>
      </c>
      <c r="V29" s="714" t="s">
        <v>17</v>
      </c>
      <c r="W29" s="715">
        <f t="shared" si="14"/>
        <v>100</v>
      </c>
      <c r="X29" s="1509"/>
      <c r="Y29" s="351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26"/>
      <c r="Q30" s="1506">
        <f t="shared" si="11"/>
        <v>111</v>
      </c>
      <c r="R30" s="714" t="s">
        <v>17</v>
      </c>
      <c r="S30" s="715">
        <f t="shared" si="12"/>
        <v>100</v>
      </c>
      <c r="T30" s="714" t="s">
        <v>17</v>
      </c>
      <c r="U30" s="715">
        <f t="shared" si="13"/>
        <v>100</v>
      </c>
      <c r="V30" s="714" t="s">
        <v>17</v>
      </c>
      <c r="W30" s="715">
        <f t="shared" si="14"/>
        <v>100</v>
      </c>
      <c r="X30" s="1509"/>
      <c r="Y30" s="351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26"/>
      <c r="Q31" s="1506">
        <f t="shared" si="11"/>
        <v>111</v>
      </c>
      <c r="R31" s="714" t="s">
        <v>17</v>
      </c>
      <c r="S31" s="715">
        <f t="shared" si="12"/>
        <v>100</v>
      </c>
      <c r="T31" s="714" t="s">
        <v>17</v>
      </c>
      <c r="U31" s="715">
        <f t="shared" si="13"/>
        <v>100</v>
      </c>
      <c r="V31" s="714" t="s">
        <v>17</v>
      </c>
      <c r="W31" s="715">
        <f t="shared" si="14"/>
        <v>100</v>
      </c>
      <c r="X31" s="1509"/>
      <c r="Y31" s="3519"/>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20" t="s">
        <v>2324</v>
      </c>
      <c r="Q32" s="1506" t="str">
        <f t="shared" si="11"/>
        <v>商业类型</v>
      </c>
      <c r="R32" s="714" t="s">
        <v>17</v>
      </c>
      <c r="S32" s="715">
        <f t="shared" si="12"/>
        <v>100</v>
      </c>
      <c r="T32" s="714" t="s">
        <v>17</v>
      </c>
      <c r="U32" s="715">
        <f t="shared" si="13"/>
        <v>100</v>
      </c>
      <c r="V32" s="714" t="s">
        <v>17</v>
      </c>
      <c r="W32" s="715">
        <f t="shared" si="14"/>
        <v>100</v>
      </c>
      <c r="X32" s="1509"/>
      <c r="Y32" s="3523"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21"/>
      <c r="Q33" s="716" t="str">
        <f t="shared" si="11"/>
        <v>项目建筑规模</v>
      </c>
      <c r="R33" s="717" t="s">
        <v>17</v>
      </c>
      <c r="S33" s="718" t="e">
        <f t="shared" si="12"/>
        <v>#N/A</v>
      </c>
      <c r="T33" s="717" t="s">
        <v>17</v>
      </c>
      <c r="U33" s="718" t="e">
        <f t="shared" si="13"/>
        <v>#N/A</v>
      </c>
      <c r="V33" s="717" t="s">
        <v>17</v>
      </c>
      <c r="W33" s="718" t="e">
        <f t="shared" si="14"/>
        <v>#N/A</v>
      </c>
      <c r="X33" s="719"/>
      <c r="Y33" s="3523"/>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21"/>
      <c r="Q34" s="1506" t="str">
        <f t="shared" si="11"/>
        <v>建筑结构</v>
      </c>
      <c r="R34" s="714" t="s">
        <v>17</v>
      </c>
      <c r="S34" s="715">
        <f t="shared" si="12"/>
        <v>100</v>
      </c>
      <c r="T34" s="714" t="s">
        <v>17</v>
      </c>
      <c r="U34" s="715">
        <f t="shared" si="13"/>
        <v>100</v>
      </c>
      <c r="V34" s="714" t="s">
        <v>17</v>
      </c>
      <c r="W34" s="715">
        <f t="shared" si="14"/>
        <v>100</v>
      </c>
      <c r="X34" s="1509"/>
      <c r="Y34" s="3523"/>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21"/>
      <c r="Q35" s="1506" t="str">
        <f t="shared" si="11"/>
        <v>公共部分装修</v>
      </c>
      <c r="R35" s="714" t="s">
        <v>17</v>
      </c>
      <c r="S35" s="715">
        <f t="shared" si="12"/>
        <v>100</v>
      </c>
      <c r="T35" s="714" t="s">
        <v>17</v>
      </c>
      <c r="U35" s="715">
        <f t="shared" si="13"/>
        <v>100</v>
      </c>
      <c r="V35" s="714" t="s">
        <v>17</v>
      </c>
      <c r="W35" s="715">
        <f t="shared" si="14"/>
        <v>100</v>
      </c>
      <c r="X35" s="1509"/>
      <c r="Y35" s="3523"/>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21"/>
      <c r="Q36" s="1506" t="str">
        <f t="shared" si="11"/>
        <v>成新度</v>
      </c>
      <c r="R36" s="714" t="s">
        <v>17</v>
      </c>
      <c r="S36" s="715" t="e">
        <f t="shared" si="12"/>
        <v>#N/A</v>
      </c>
      <c r="T36" s="714" t="s">
        <v>17</v>
      </c>
      <c r="U36" s="715" t="e">
        <f t="shared" si="13"/>
        <v>#N/A</v>
      </c>
      <c r="V36" s="714" t="s">
        <v>17</v>
      </c>
      <c r="W36" s="715" t="e">
        <f t="shared" si="14"/>
        <v>#N/A</v>
      </c>
      <c r="X36" s="1509"/>
      <c r="Y36" s="3523"/>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21"/>
      <c r="Q37" s="1497" t="str">
        <f t="shared" si="11"/>
        <v>市政基础设施</v>
      </c>
      <c r="R37" s="710" t="s">
        <v>17</v>
      </c>
      <c r="S37" s="711">
        <f t="shared" si="12"/>
        <v>100</v>
      </c>
      <c r="T37" s="710" t="s">
        <v>17</v>
      </c>
      <c r="U37" s="711">
        <f t="shared" si="13"/>
        <v>100</v>
      </c>
      <c r="V37" s="710" t="s">
        <v>17</v>
      </c>
      <c r="W37" s="711">
        <f t="shared" si="14"/>
        <v>100</v>
      </c>
      <c r="X37" s="712"/>
      <c r="Y37" s="3523"/>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21" t="s">
        <v>2324</v>
      </c>
      <c r="Q38" s="1506" t="str">
        <f t="shared" si="11"/>
        <v>业态</v>
      </c>
      <c r="R38" s="714" t="s">
        <v>17</v>
      </c>
      <c r="S38" s="715">
        <f t="shared" si="12"/>
        <v>100</v>
      </c>
      <c r="T38" s="714" t="s">
        <v>17</v>
      </c>
      <c r="U38" s="715">
        <f t="shared" si="13"/>
        <v>100</v>
      </c>
      <c r="V38" s="714" t="s">
        <v>17</v>
      </c>
      <c r="W38" s="715">
        <f t="shared" si="14"/>
        <v>100</v>
      </c>
      <c r="X38" s="1509"/>
      <c r="Y38" s="3523"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21"/>
      <c r="Q39" s="1506" t="str">
        <f t="shared" si="11"/>
        <v>层高</v>
      </c>
      <c r="R39" s="714" t="s">
        <v>17</v>
      </c>
      <c r="S39" s="715">
        <f t="shared" si="12"/>
        <v>100</v>
      </c>
      <c r="T39" s="714" t="s">
        <v>17</v>
      </c>
      <c r="U39" s="715">
        <f t="shared" si="13"/>
        <v>100</v>
      </c>
      <c r="V39" s="714" t="s">
        <v>17</v>
      </c>
      <c r="W39" s="715">
        <f t="shared" si="14"/>
        <v>100</v>
      </c>
      <c r="X39" s="1509"/>
      <c r="Y39" s="3523"/>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21"/>
      <c r="Q40" s="1506" t="str">
        <f t="shared" si="11"/>
        <v>单套建筑面积</v>
      </c>
      <c r="R40" s="714" t="s">
        <v>17</v>
      </c>
      <c r="S40" s="715">
        <f t="shared" si="12"/>
        <v>100</v>
      </c>
      <c r="T40" s="714" t="s">
        <v>17</v>
      </c>
      <c r="U40" s="715">
        <f t="shared" si="13"/>
        <v>100</v>
      </c>
      <c r="V40" s="714" t="s">
        <v>17</v>
      </c>
      <c r="W40" s="715">
        <f t="shared" si="14"/>
        <v>100</v>
      </c>
      <c r="X40" s="1509"/>
      <c r="Y40" s="3523"/>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21"/>
      <c r="Q42" s="1506" t="str">
        <f t="shared" si="11"/>
        <v>内部装修</v>
      </c>
      <c r="R42" s="714" t="s">
        <v>17</v>
      </c>
      <c r="S42" s="715">
        <f t="shared" si="12"/>
        <v>100</v>
      </c>
      <c r="T42" s="714" t="s">
        <v>17</v>
      </c>
      <c r="U42" s="715">
        <f t="shared" si="13"/>
        <v>100</v>
      </c>
      <c r="V42" s="714" t="s">
        <v>17</v>
      </c>
      <c r="W42" s="715">
        <f t="shared" si="14"/>
        <v>100</v>
      </c>
      <c r="X42" s="1509"/>
      <c r="Y42" s="3523"/>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21"/>
      <c r="Q43" s="1506" t="str">
        <f t="shared" si="11"/>
        <v>内部装修维护情况</v>
      </c>
      <c r="R43" s="714" t="s">
        <v>17</v>
      </c>
      <c r="S43" s="715">
        <f t="shared" si="12"/>
        <v>100</v>
      </c>
      <c r="T43" s="714" t="s">
        <v>17</v>
      </c>
      <c r="U43" s="715">
        <f t="shared" si="13"/>
        <v>100</v>
      </c>
      <c r="V43" s="714" t="s">
        <v>17</v>
      </c>
      <c r="W43" s="715">
        <f t="shared" si="14"/>
        <v>100</v>
      </c>
      <c r="X43" s="1509"/>
      <c r="Y43" s="352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21"/>
      <c r="Q44" s="1497">
        <f t="shared" si="11"/>
        <v>111</v>
      </c>
      <c r="R44" s="710" t="s">
        <v>17</v>
      </c>
      <c r="S44" s="711">
        <f t="shared" si="12"/>
        <v>100</v>
      </c>
      <c r="T44" s="710" t="s">
        <v>17</v>
      </c>
      <c r="U44" s="711">
        <f t="shared" si="13"/>
        <v>100</v>
      </c>
      <c r="V44" s="710" t="s">
        <v>17</v>
      </c>
      <c r="W44" s="711">
        <f t="shared" si="14"/>
        <v>100</v>
      </c>
      <c r="X44" s="712"/>
      <c r="Y44" s="352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21"/>
      <c r="Q45" s="1506">
        <f t="shared" si="11"/>
        <v>111</v>
      </c>
      <c r="R45" s="714" t="s">
        <v>17</v>
      </c>
      <c r="S45" s="715">
        <f t="shared" si="12"/>
        <v>100</v>
      </c>
      <c r="T45" s="714" t="s">
        <v>17</v>
      </c>
      <c r="U45" s="715">
        <f t="shared" si="13"/>
        <v>100</v>
      </c>
      <c r="V45" s="714" t="s">
        <v>17</v>
      </c>
      <c r="W45" s="715">
        <f t="shared" si="14"/>
        <v>100</v>
      </c>
      <c r="X45" s="1509"/>
      <c r="Y45" s="352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2"/>
      <c r="Q46" s="1506">
        <f t="shared" si="11"/>
        <v>111</v>
      </c>
      <c r="R46" s="714" t="s">
        <v>17</v>
      </c>
      <c r="S46" s="715">
        <f t="shared" si="12"/>
        <v>100</v>
      </c>
      <c r="T46" s="714" t="s">
        <v>17</v>
      </c>
      <c r="U46" s="715">
        <f t="shared" si="13"/>
        <v>100</v>
      </c>
      <c r="V46" s="714" t="s">
        <v>17</v>
      </c>
      <c r="W46" s="715">
        <f t="shared" si="14"/>
        <v>100</v>
      </c>
      <c r="X46" s="1509"/>
      <c r="Y46" s="3524"/>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3"/>
      <c r="M47" s="2924"/>
      <c r="N47" s="2915"/>
      <c r="O47" s="2924"/>
      <c r="P47" s="3516" t="str">
        <f>A47</f>
        <v>成交单价（元/平方米）</v>
      </c>
      <c r="Q47" s="3516"/>
      <c r="R47" s="3511">
        <f>E47</f>
        <v>0</v>
      </c>
      <c r="S47" s="3511"/>
      <c r="T47" s="3511">
        <f>G47</f>
        <v>0</v>
      </c>
      <c r="U47" s="3511"/>
      <c r="V47" s="3511">
        <f>I47</f>
        <v>0</v>
      </c>
      <c r="W47" s="3511"/>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3"/>
      <c r="M49" s="2924"/>
      <c r="N49" s="2915"/>
      <c r="O49" s="2924"/>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2433</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2307</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2344</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2309</v>
      </c>
      <c r="B61" s="467"/>
      <c r="C61" s="479" t="s">
        <v>2411</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2347</v>
      </c>
      <c r="B63" s="485" t="s">
        <v>2313</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2318</v>
      </c>
      <c r="B76" s="485" t="s">
        <v>2355</v>
      </c>
      <c r="C76" s="530" t="s">
        <v>2356</v>
      </c>
      <c r="D76" s="530" t="s">
        <v>2357</v>
      </c>
      <c r="E76" s="530" t="s">
        <v>2358</v>
      </c>
      <c r="F76" s="530" t="s">
        <v>2359</v>
      </c>
      <c r="G76" s="530" t="s">
        <v>2360</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2361</v>
      </c>
      <c r="C78" s="535" t="s">
        <v>2356</v>
      </c>
      <c r="D78" s="535" t="s">
        <v>2357</v>
      </c>
      <c r="E78" s="535" t="s">
        <v>2358</v>
      </c>
      <c r="F78" s="535" t="s">
        <v>2359</v>
      </c>
      <c r="G78" s="535" t="s">
        <v>2360</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2362</v>
      </c>
      <c r="C80" s="535" t="s">
        <v>2356</v>
      </c>
      <c r="D80" s="535" t="s">
        <v>2357</v>
      </c>
      <c r="E80" s="535" t="s">
        <v>2358</v>
      </c>
      <c r="F80" s="535" t="s">
        <v>2359</v>
      </c>
      <c r="G80" s="535" t="s">
        <v>2360</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2414</v>
      </c>
      <c r="C82" s="616" t="s">
        <v>2434</v>
      </c>
      <c r="D82" s="616" t="s">
        <v>2435</v>
      </c>
      <c r="E82" s="616" t="s">
        <v>2436</v>
      </c>
      <c r="F82" s="616" t="s">
        <v>2437</v>
      </c>
      <c r="G82" s="616" t="s">
        <v>2438</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2368</v>
      </c>
      <c r="C84" s="535" t="s">
        <v>2356</v>
      </c>
      <c r="D84" s="535" t="s">
        <v>2357</v>
      </c>
      <c r="E84" s="535" t="s">
        <v>2358</v>
      </c>
      <c r="F84" s="535" t="s">
        <v>2359</v>
      </c>
      <c r="G84" s="535" t="s">
        <v>2360</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2439</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2322</v>
      </c>
      <c r="B100" s="485" t="s">
        <v>2440</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2373</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2375</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2377</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2441</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2442</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2443</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2444</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2379</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2404</v>
      </c>
      <c r="B4" s="362"/>
      <c r="C4" s="3499" t="s">
        <v>2405</v>
      </c>
      <c r="D4" s="3500"/>
      <c r="E4" s="3501" t="s">
        <v>2406</v>
      </c>
      <c r="F4" s="3502"/>
      <c r="G4" s="3499" t="s">
        <v>2407</v>
      </c>
      <c r="H4" s="3500"/>
      <c r="I4" s="3499" t="s">
        <v>2408</v>
      </c>
      <c r="J4" s="3500"/>
      <c r="K4" s="567" t="s">
        <v>2409</v>
      </c>
      <c r="L4" s="2914"/>
      <c r="M4" s="2915"/>
      <c r="N4" s="2915"/>
      <c r="O4" s="2915"/>
      <c r="P4" s="3533" t="s">
        <v>2410</v>
      </c>
      <c r="Q4" s="3534"/>
      <c r="R4" s="3528" t="s">
        <v>2406</v>
      </c>
      <c r="S4" s="3529"/>
      <c r="T4" s="3528" t="s">
        <v>2407</v>
      </c>
      <c r="U4" s="3529"/>
      <c r="V4" s="3537" t="s">
        <v>2408</v>
      </c>
      <c r="W4" s="3537"/>
      <c r="X4" s="2114"/>
      <c r="Y4" s="3528" t="s">
        <v>2410</v>
      </c>
      <c r="Z4" s="3529"/>
      <c r="AA4" s="3527" t="s">
        <v>2406</v>
      </c>
      <c r="AB4" s="3527" t="s">
        <v>2407</v>
      </c>
      <c r="AC4" s="3530" t="s">
        <v>2408</v>
      </c>
    </row>
    <row r="5" spans="1:29" ht="15">
      <c r="A5" s="364"/>
      <c r="B5" s="365"/>
      <c r="C5" s="3492" t="s">
        <v>2301</v>
      </c>
      <c r="D5" s="3493"/>
      <c r="E5" s="3490" t="s">
        <v>2302</v>
      </c>
      <c r="F5" s="3491"/>
      <c r="G5" s="3492" t="s">
        <v>2303</v>
      </c>
      <c r="H5" s="3493"/>
      <c r="I5" s="3492" t="s">
        <v>2304</v>
      </c>
      <c r="J5" s="3493"/>
      <c r="K5" s="567"/>
      <c r="L5" s="2914"/>
      <c r="M5" s="2915"/>
      <c r="N5" s="2915"/>
      <c r="O5" s="2915"/>
      <c r="P5" s="3535"/>
      <c r="Q5" s="3506"/>
      <c r="R5" s="3488"/>
      <c r="S5" s="3489"/>
      <c r="T5" s="3488"/>
      <c r="U5" s="3489"/>
      <c r="V5" s="3511"/>
      <c r="W5" s="3511"/>
      <c r="X5" s="1509"/>
      <c r="Y5" s="3488"/>
      <c r="Z5" s="3489"/>
      <c r="AA5" s="3482"/>
      <c r="AB5" s="3482"/>
      <c r="AC5" s="3531"/>
    </row>
    <row r="6" spans="1:29" ht="15.75" thickBot="1">
      <c r="A6" s="366"/>
      <c r="B6" s="367"/>
      <c r="C6" s="3494" t="s">
        <v>2305</v>
      </c>
      <c r="D6" s="3495"/>
      <c r="E6" s="3496" t="s">
        <v>2305</v>
      </c>
      <c r="F6" s="3497"/>
      <c r="G6" s="3494" t="s">
        <v>2305</v>
      </c>
      <c r="H6" s="3495"/>
      <c r="I6" s="3494" t="s">
        <v>2305</v>
      </c>
      <c r="J6" s="3495"/>
      <c r="K6" s="567" t="s">
        <v>2306</v>
      </c>
      <c r="L6" s="2914"/>
      <c r="M6" s="2915"/>
      <c r="N6" s="2915"/>
      <c r="O6" s="2915"/>
      <c r="P6" s="3536"/>
      <c r="Q6" s="3508"/>
      <c r="R6" s="3488"/>
      <c r="S6" s="3489"/>
      <c r="T6" s="3509"/>
      <c r="U6" s="3510"/>
      <c r="V6" s="3511"/>
      <c r="W6" s="3511"/>
      <c r="X6" s="1509"/>
      <c r="Y6" s="3509"/>
      <c r="Z6" s="3510"/>
      <c r="AA6" s="3483"/>
      <c r="AB6" s="3483"/>
      <c r="AC6" s="3532"/>
    </row>
    <row r="7" spans="1:29" s="113" customFormat="1" ht="15.75" thickBot="1">
      <c r="A7" s="368" t="s">
        <v>2307</v>
      </c>
      <c r="B7" s="369"/>
      <c r="C7" s="370">
        <f>'数据-取费表'!B2</f>
        <v>44566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38" t="s">
        <v>2308</v>
      </c>
      <c r="Q7" s="3512"/>
      <c r="R7" s="710" t="s">
        <v>17</v>
      </c>
      <c r="S7" s="711">
        <f t="shared" ref="S7:S15" si="0">F7</f>
        <v>0</v>
      </c>
      <c r="T7" s="710" t="s">
        <v>17</v>
      </c>
      <c r="U7" s="711">
        <f t="shared" ref="U7:U15" si="1">H7</f>
        <v>0</v>
      </c>
      <c r="V7" s="710" t="s">
        <v>17</v>
      </c>
      <c r="W7" s="711">
        <f t="shared" ref="W7:W15" si="2">J7</f>
        <v>0</v>
      </c>
      <c r="X7" s="712"/>
      <c r="Y7" s="3484" t="s">
        <v>2308</v>
      </c>
      <c r="Z7" s="3485"/>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38" t="s">
        <v>2311</v>
      </c>
      <c r="Q8" s="3485"/>
      <c r="R8" s="710" t="s">
        <v>17</v>
      </c>
      <c r="S8" s="711">
        <f t="shared" si="0"/>
        <v>0</v>
      </c>
      <c r="T8" s="710" t="s">
        <v>17</v>
      </c>
      <c r="U8" s="711">
        <f t="shared" si="1"/>
        <v>0</v>
      </c>
      <c r="V8" s="710" t="s">
        <v>17</v>
      </c>
      <c r="W8" s="711">
        <f t="shared" si="2"/>
        <v>0</v>
      </c>
      <c r="X8" s="712"/>
      <c r="Y8" s="3484" t="s">
        <v>2311</v>
      </c>
      <c r="Z8" s="3485"/>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98"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98"/>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98"/>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98"/>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98"/>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98"/>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5" t="s">
        <v>2319</v>
      </c>
      <c r="Q15" s="1506" t="str">
        <f t="shared" si="6"/>
        <v>办公集聚程度</v>
      </c>
      <c r="R15" s="714" t="s">
        <v>17</v>
      </c>
      <c r="S15" s="715">
        <f t="shared" si="0"/>
        <v>100</v>
      </c>
      <c r="T15" s="714" t="s">
        <v>17</v>
      </c>
      <c r="U15" s="715">
        <f t="shared" si="1"/>
        <v>100</v>
      </c>
      <c r="V15" s="714" t="s">
        <v>17</v>
      </c>
      <c r="W15" s="715">
        <f t="shared" si="2"/>
        <v>100</v>
      </c>
      <c r="X15" s="1509"/>
      <c r="Y15" s="3518"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26"/>
      <c r="Q16" s="1506"/>
      <c r="R16" s="714"/>
      <c r="S16" s="715"/>
      <c r="T16" s="714"/>
      <c r="U16" s="715"/>
      <c r="V16" s="714"/>
      <c r="W16" s="715"/>
      <c r="X16" s="1509"/>
      <c r="Y16" s="3519"/>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26"/>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26"/>
      <c r="Q18" s="1506"/>
      <c r="R18" s="714"/>
      <c r="S18" s="715"/>
      <c r="T18" s="714"/>
      <c r="U18" s="715"/>
      <c r="V18" s="714"/>
      <c r="W18" s="715"/>
      <c r="X18" s="1509"/>
      <c r="Y18" s="3519"/>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26"/>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26"/>
      <c r="Q20" s="1506"/>
      <c r="R20" s="714"/>
      <c r="S20" s="715"/>
      <c r="T20" s="714"/>
      <c r="U20" s="715"/>
      <c r="V20" s="714"/>
      <c r="W20" s="715"/>
      <c r="X20" s="1509"/>
      <c r="Y20" s="3519"/>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26"/>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26"/>
      <c r="Q22" s="1506"/>
      <c r="R22" s="714"/>
      <c r="S22" s="715"/>
      <c r="T22" s="714"/>
      <c r="U22" s="715"/>
      <c r="V22" s="714"/>
      <c r="W22" s="715"/>
      <c r="X22" s="1509"/>
      <c r="Y22" s="3519"/>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26"/>
      <c r="Q23" s="1506" t="str">
        <f>B23</f>
        <v>环境质量</v>
      </c>
      <c r="R23" s="714" t="s">
        <v>17</v>
      </c>
      <c r="S23" s="715">
        <f>F23</f>
        <v>100</v>
      </c>
      <c r="T23" s="714" t="s">
        <v>17</v>
      </c>
      <c r="U23" s="715">
        <f>H23</f>
        <v>100</v>
      </c>
      <c r="V23" s="714" t="s">
        <v>17</v>
      </c>
      <c r="W23" s="715">
        <f>J23</f>
        <v>100</v>
      </c>
      <c r="X23" s="1509"/>
      <c r="Y23" s="351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26"/>
      <c r="Q24" s="1506"/>
      <c r="R24" s="714"/>
      <c r="S24" s="715"/>
      <c r="T24" s="714"/>
      <c r="U24" s="715"/>
      <c r="V24" s="714"/>
      <c r="W24" s="715"/>
      <c r="X24" s="1509"/>
      <c r="Y24" s="3519"/>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26"/>
      <c r="Q25" s="1506" t="str">
        <f>B25</f>
        <v>毗邻道路的类型与等级</v>
      </c>
      <c r="R25" s="714" t="s">
        <v>17</v>
      </c>
      <c r="S25" s="715">
        <f>F25</f>
        <v>100</v>
      </c>
      <c r="T25" s="714" t="s">
        <v>17</v>
      </c>
      <c r="U25" s="715">
        <f>H25</f>
        <v>100</v>
      </c>
      <c r="V25" s="714" t="s">
        <v>17</v>
      </c>
      <c r="W25" s="715">
        <f>J25</f>
        <v>100</v>
      </c>
      <c r="X25" s="1509"/>
      <c r="Y25" s="351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26"/>
      <c r="Q26" s="1506"/>
      <c r="R26" s="714"/>
      <c r="S26" s="715"/>
      <c r="T26" s="714"/>
      <c r="U26" s="715"/>
      <c r="V26" s="714"/>
      <c r="W26" s="715"/>
      <c r="X26" s="1509"/>
      <c r="Y26" s="3519"/>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26"/>
      <c r="Q27" s="1506" t="str">
        <f t="shared" ref="Q27:Q47" si="11">B27</f>
        <v>楼层</v>
      </c>
      <c r="R27" s="714" t="s">
        <v>17</v>
      </c>
      <c r="S27" s="715">
        <f>F27</f>
        <v>100</v>
      </c>
      <c r="T27" s="714" t="s">
        <v>17</v>
      </c>
      <c r="U27" s="715">
        <f>H27</f>
        <v>100</v>
      </c>
      <c r="V27" s="714" t="s">
        <v>17</v>
      </c>
      <c r="W27" s="715">
        <f>J27</f>
        <v>100</v>
      </c>
      <c r="X27" s="1509"/>
      <c r="Y27" s="3519"/>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26"/>
      <c r="Q28" s="1497" t="str">
        <f t="shared" si="11"/>
        <v>朝向</v>
      </c>
      <c r="R28" s="710" t="s">
        <v>17</v>
      </c>
      <c r="S28" s="711">
        <f>F28</f>
        <v>100</v>
      </c>
      <c r="T28" s="710" t="s">
        <v>17</v>
      </c>
      <c r="U28" s="711">
        <f>H28</f>
        <v>100</v>
      </c>
      <c r="V28" s="710" t="s">
        <v>17</v>
      </c>
      <c r="W28" s="711">
        <f>J28</f>
        <v>100</v>
      </c>
      <c r="X28" s="712"/>
      <c r="Y28" s="351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26"/>
      <c r="Q29" s="1506">
        <f t="shared" si="11"/>
        <v>111</v>
      </c>
      <c r="R29" s="714" t="s">
        <v>17</v>
      </c>
      <c r="S29" s="715">
        <f t="shared" ref="S29:S47" si="12">F29</f>
        <v>100</v>
      </c>
      <c r="T29" s="714" t="s">
        <v>17</v>
      </c>
      <c r="U29" s="715">
        <f t="shared" ref="U29:U47" si="13">H29</f>
        <v>100</v>
      </c>
      <c r="V29" s="714" t="s">
        <v>17</v>
      </c>
      <c r="W29" s="715">
        <f t="shared" ref="W29:W47" si="14">J29</f>
        <v>100</v>
      </c>
      <c r="X29" s="1509"/>
      <c r="Y29" s="351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26"/>
      <c r="Q30" s="1506">
        <f t="shared" si="11"/>
        <v>111</v>
      </c>
      <c r="R30" s="714" t="s">
        <v>17</v>
      </c>
      <c r="S30" s="715">
        <f t="shared" si="12"/>
        <v>100</v>
      </c>
      <c r="T30" s="714" t="s">
        <v>17</v>
      </c>
      <c r="U30" s="715">
        <f t="shared" si="13"/>
        <v>100</v>
      </c>
      <c r="V30" s="714" t="s">
        <v>17</v>
      </c>
      <c r="W30" s="715">
        <f t="shared" si="14"/>
        <v>100</v>
      </c>
      <c r="X30" s="1509"/>
      <c r="Y30" s="351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26"/>
      <c r="Q31" s="1506">
        <f t="shared" si="11"/>
        <v>111</v>
      </c>
      <c r="R31" s="714" t="s">
        <v>17</v>
      </c>
      <c r="S31" s="715">
        <f t="shared" si="12"/>
        <v>100</v>
      </c>
      <c r="T31" s="714" t="s">
        <v>17</v>
      </c>
      <c r="U31" s="715">
        <f t="shared" si="13"/>
        <v>100</v>
      </c>
      <c r="V31" s="714" t="s">
        <v>17</v>
      </c>
      <c r="W31" s="715">
        <f t="shared" si="14"/>
        <v>100</v>
      </c>
      <c r="X31" s="1509"/>
      <c r="Y31" s="351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26"/>
      <c r="Q32" s="1506">
        <f t="shared" si="11"/>
        <v>111</v>
      </c>
      <c r="R32" s="714" t="s">
        <v>17</v>
      </c>
      <c r="S32" s="715">
        <f t="shared" si="12"/>
        <v>100</v>
      </c>
      <c r="T32" s="714" t="s">
        <v>17</v>
      </c>
      <c r="U32" s="715">
        <f t="shared" si="13"/>
        <v>100</v>
      </c>
      <c r="V32" s="714" t="s">
        <v>17</v>
      </c>
      <c r="W32" s="715">
        <f t="shared" si="14"/>
        <v>100</v>
      </c>
      <c r="X32" s="1509"/>
      <c r="Y32" s="3519"/>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20" t="s">
        <v>2324</v>
      </c>
      <c r="Q33" s="1506" t="str">
        <f t="shared" si="11"/>
        <v>建筑类型</v>
      </c>
      <c r="R33" s="714" t="s">
        <v>17</v>
      </c>
      <c r="S33" s="715">
        <f t="shared" si="12"/>
        <v>100</v>
      </c>
      <c r="T33" s="714" t="s">
        <v>17</v>
      </c>
      <c r="U33" s="715">
        <f t="shared" si="13"/>
        <v>100</v>
      </c>
      <c r="V33" s="714" t="s">
        <v>17</v>
      </c>
      <c r="W33" s="715">
        <f t="shared" si="14"/>
        <v>100</v>
      </c>
      <c r="X33" s="1509"/>
      <c r="Y33" s="3523"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21"/>
      <c r="Q34" s="716" t="str">
        <f t="shared" si="11"/>
        <v>项目建筑规模</v>
      </c>
      <c r="R34" s="717" t="s">
        <v>17</v>
      </c>
      <c r="S34" s="718" t="e">
        <f t="shared" si="12"/>
        <v>#N/A</v>
      </c>
      <c r="T34" s="717" t="s">
        <v>17</v>
      </c>
      <c r="U34" s="718" t="e">
        <f t="shared" si="13"/>
        <v>#N/A</v>
      </c>
      <c r="V34" s="717" t="s">
        <v>17</v>
      </c>
      <c r="W34" s="718" t="e">
        <f t="shared" si="14"/>
        <v>#N/A</v>
      </c>
      <c r="X34" s="719"/>
      <c r="Y34" s="3523"/>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21"/>
      <c r="Q35" s="1506" t="str">
        <f t="shared" si="11"/>
        <v>建筑结构</v>
      </c>
      <c r="R35" s="714" t="s">
        <v>17</v>
      </c>
      <c r="S35" s="715">
        <f t="shared" si="12"/>
        <v>100</v>
      </c>
      <c r="T35" s="714" t="s">
        <v>17</v>
      </c>
      <c r="U35" s="715">
        <f t="shared" si="13"/>
        <v>100</v>
      </c>
      <c r="V35" s="714" t="s">
        <v>17</v>
      </c>
      <c r="W35" s="715">
        <f t="shared" si="14"/>
        <v>100</v>
      </c>
      <c r="X35" s="1509"/>
      <c r="Y35" s="3523"/>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21"/>
      <c r="Q36" s="1506" t="str">
        <f t="shared" si="11"/>
        <v>公共部分装修</v>
      </c>
      <c r="R36" s="714" t="s">
        <v>17</v>
      </c>
      <c r="S36" s="715">
        <f t="shared" si="12"/>
        <v>100</v>
      </c>
      <c r="T36" s="714" t="s">
        <v>17</v>
      </c>
      <c r="U36" s="715">
        <f t="shared" si="13"/>
        <v>100</v>
      </c>
      <c r="V36" s="714" t="s">
        <v>17</v>
      </c>
      <c r="W36" s="715">
        <f t="shared" si="14"/>
        <v>100</v>
      </c>
      <c r="X36" s="1509"/>
      <c r="Y36" s="3523"/>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21"/>
      <c r="Q37" s="1506" t="str">
        <f t="shared" si="11"/>
        <v>成新度</v>
      </c>
      <c r="R37" s="714" t="s">
        <v>17</v>
      </c>
      <c r="S37" s="715" t="e">
        <f t="shared" si="12"/>
        <v>#N/A</v>
      </c>
      <c r="T37" s="714" t="s">
        <v>17</v>
      </c>
      <c r="U37" s="715" t="e">
        <f t="shared" si="13"/>
        <v>#N/A</v>
      </c>
      <c r="V37" s="714" t="s">
        <v>17</v>
      </c>
      <c r="W37" s="715" t="e">
        <f t="shared" si="14"/>
        <v>#N/A</v>
      </c>
      <c r="X37" s="1509"/>
      <c r="Y37" s="3523"/>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21"/>
      <c r="Q38" s="1497" t="str">
        <f t="shared" si="11"/>
        <v>写字楼等级</v>
      </c>
      <c r="R38" s="710" t="s">
        <v>17</v>
      </c>
      <c r="S38" s="711">
        <f t="shared" si="12"/>
        <v>100</v>
      </c>
      <c r="T38" s="710" t="s">
        <v>17</v>
      </c>
      <c r="U38" s="711">
        <f t="shared" si="13"/>
        <v>100</v>
      </c>
      <c r="V38" s="710" t="s">
        <v>17</v>
      </c>
      <c r="W38" s="711">
        <f t="shared" si="14"/>
        <v>100</v>
      </c>
      <c r="X38" s="712"/>
      <c r="Y38" s="3523"/>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21" t="s">
        <v>2324</v>
      </c>
      <c r="Q39" s="1506" t="str">
        <f t="shared" si="11"/>
        <v>物业管理</v>
      </c>
      <c r="R39" s="714" t="s">
        <v>17</v>
      </c>
      <c r="S39" s="715">
        <f t="shared" si="12"/>
        <v>100</v>
      </c>
      <c r="T39" s="714" t="s">
        <v>17</v>
      </c>
      <c r="U39" s="715">
        <f t="shared" si="13"/>
        <v>100</v>
      </c>
      <c r="V39" s="714" t="s">
        <v>17</v>
      </c>
      <c r="W39" s="715">
        <f t="shared" si="14"/>
        <v>100</v>
      </c>
      <c r="X39" s="1509"/>
      <c r="Y39" s="3523"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21"/>
      <c r="Q40" s="1506" t="str">
        <f t="shared" si="11"/>
        <v>市政基础设施</v>
      </c>
      <c r="R40" s="714" t="s">
        <v>17</v>
      </c>
      <c r="S40" s="715">
        <f t="shared" si="12"/>
        <v>100</v>
      </c>
      <c r="T40" s="714" t="s">
        <v>17</v>
      </c>
      <c r="U40" s="715">
        <f t="shared" si="13"/>
        <v>100</v>
      </c>
      <c r="V40" s="714" t="s">
        <v>17</v>
      </c>
      <c r="W40" s="715">
        <f t="shared" si="14"/>
        <v>100</v>
      </c>
      <c r="X40" s="1509"/>
      <c r="Y40" s="3523"/>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21"/>
      <c r="Q41" s="1506" t="str">
        <f t="shared" si="11"/>
        <v>层高</v>
      </c>
      <c r="R41" s="714" t="s">
        <v>17</v>
      </c>
      <c r="S41" s="715">
        <f t="shared" si="12"/>
        <v>100</v>
      </c>
      <c r="T41" s="714" t="s">
        <v>17</v>
      </c>
      <c r="U41" s="715">
        <f t="shared" si="13"/>
        <v>100</v>
      </c>
      <c r="V41" s="714" t="s">
        <v>17</v>
      </c>
      <c r="W41" s="715">
        <f t="shared" si="14"/>
        <v>100</v>
      </c>
      <c r="X41" s="1509"/>
      <c r="Y41" s="3523"/>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21"/>
      <c r="Q42" s="716" t="str">
        <f t="shared" si="11"/>
        <v>单套建筑面积</v>
      </c>
      <c r="R42" s="717" t="s">
        <v>17</v>
      </c>
      <c r="S42" s="718">
        <f t="shared" si="12"/>
        <v>100</v>
      </c>
      <c r="T42" s="717" t="s">
        <v>17</v>
      </c>
      <c r="U42" s="718">
        <f t="shared" si="13"/>
        <v>100</v>
      </c>
      <c r="V42" s="717" t="s">
        <v>17</v>
      </c>
      <c r="W42" s="718">
        <f t="shared" si="14"/>
        <v>100</v>
      </c>
      <c r="X42" s="719"/>
      <c r="Y42" s="3523"/>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21"/>
      <c r="Q43" s="1506" t="str">
        <f t="shared" si="11"/>
        <v>内部装修</v>
      </c>
      <c r="R43" s="714" t="s">
        <v>17</v>
      </c>
      <c r="S43" s="715">
        <f t="shared" si="12"/>
        <v>100</v>
      </c>
      <c r="T43" s="714" t="s">
        <v>17</v>
      </c>
      <c r="U43" s="715">
        <f t="shared" si="13"/>
        <v>100</v>
      </c>
      <c r="V43" s="714" t="s">
        <v>17</v>
      </c>
      <c r="W43" s="715">
        <f t="shared" si="14"/>
        <v>100</v>
      </c>
      <c r="X43" s="1509"/>
      <c r="Y43" s="3523"/>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21"/>
      <c r="Q44" s="1506" t="str">
        <f t="shared" si="11"/>
        <v>内部装修维护情况</v>
      </c>
      <c r="R44" s="714" t="s">
        <v>17</v>
      </c>
      <c r="S44" s="715">
        <f t="shared" si="12"/>
        <v>100</v>
      </c>
      <c r="T44" s="714" t="s">
        <v>17</v>
      </c>
      <c r="U44" s="715">
        <f t="shared" si="13"/>
        <v>100</v>
      </c>
      <c r="V44" s="714" t="s">
        <v>17</v>
      </c>
      <c r="W44" s="715">
        <f t="shared" si="14"/>
        <v>100</v>
      </c>
      <c r="X44" s="1509"/>
      <c r="Y44" s="352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21"/>
      <c r="Q45" s="1497">
        <f t="shared" si="11"/>
        <v>111</v>
      </c>
      <c r="R45" s="710" t="s">
        <v>17</v>
      </c>
      <c r="S45" s="711">
        <f t="shared" si="12"/>
        <v>100</v>
      </c>
      <c r="T45" s="710" t="s">
        <v>17</v>
      </c>
      <c r="U45" s="711">
        <f t="shared" si="13"/>
        <v>100</v>
      </c>
      <c r="V45" s="710" t="s">
        <v>17</v>
      </c>
      <c r="W45" s="711">
        <f t="shared" si="14"/>
        <v>100</v>
      </c>
      <c r="X45" s="712"/>
      <c r="Y45" s="352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21"/>
      <c r="Q46" s="1506">
        <f t="shared" si="11"/>
        <v>111</v>
      </c>
      <c r="R46" s="714" t="s">
        <v>17</v>
      </c>
      <c r="S46" s="715">
        <f t="shared" si="12"/>
        <v>100</v>
      </c>
      <c r="T46" s="714" t="s">
        <v>17</v>
      </c>
      <c r="U46" s="715">
        <f t="shared" si="13"/>
        <v>100</v>
      </c>
      <c r="V46" s="714" t="s">
        <v>17</v>
      </c>
      <c r="W46" s="715">
        <f t="shared" si="14"/>
        <v>100</v>
      </c>
      <c r="X46" s="1509"/>
      <c r="Y46" s="352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2"/>
      <c r="Q47" s="1506">
        <f t="shared" si="11"/>
        <v>111</v>
      </c>
      <c r="R47" s="714" t="s">
        <v>17</v>
      </c>
      <c r="S47" s="715">
        <f t="shared" si="12"/>
        <v>100</v>
      </c>
      <c r="T47" s="714" t="s">
        <v>17</v>
      </c>
      <c r="U47" s="715">
        <f t="shared" si="13"/>
        <v>100</v>
      </c>
      <c r="V47" s="714" t="s">
        <v>17</v>
      </c>
      <c r="W47" s="715">
        <f t="shared" si="14"/>
        <v>100</v>
      </c>
      <c r="X47" s="1509"/>
      <c r="Y47" s="3524"/>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3"/>
      <c r="M48" s="2915"/>
      <c r="N48" s="2915"/>
      <c r="O48" s="2915"/>
      <c r="P48" s="3498" t="str">
        <f>A48</f>
        <v>成交单价（元/平方米）</v>
      </c>
      <c r="Q48" s="3516"/>
      <c r="R48" s="3517">
        <f>E48</f>
        <v>0</v>
      </c>
      <c r="S48" s="3517"/>
      <c r="T48" s="3517">
        <f>G48</f>
        <v>0</v>
      </c>
      <c r="U48" s="3517"/>
      <c r="V48" s="3517">
        <f>I48</f>
        <v>0</v>
      </c>
      <c r="W48" s="3517"/>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98" t="str">
        <f>A49</f>
        <v>比较价值（元/平方米）</v>
      </c>
      <c r="Q49" s="3516"/>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3"/>
      <c r="M50" s="2915"/>
      <c r="N50" s="2915"/>
      <c r="O50" s="2915"/>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2433</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2307</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2344</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2309</v>
      </c>
      <c r="B62" s="467"/>
      <c r="C62" s="479" t="s">
        <v>2411</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2347</v>
      </c>
      <c r="B64" s="485" t="s">
        <v>2313</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2318</v>
      </c>
      <c r="B77" s="485" t="s">
        <v>2456</v>
      </c>
      <c r="C77" s="530" t="s">
        <v>2356</v>
      </c>
      <c r="D77" s="530" t="s">
        <v>2357</v>
      </c>
      <c r="E77" s="530" t="s">
        <v>2358</v>
      </c>
      <c r="F77" s="530" t="s">
        <v>2359</v>
      </c>
      <c r="G77" s="530" t="s">
        <v>2360</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2361</v>
      </c>
      <c r="C79" s="535" t="s">
        <v>2356</v>
      </c>
      <c r="D79" s="535" t="s">
        <v>2357</v>
      </c>
      <c r="E79" s="535" t="s">
        <v>2358</v>
      </c>
      <c r="F79" s="535" t="s">
        <v>2359</v>
      </c>
      <c r="G79" s="535" t="s">
        <v>2360</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2362</v>
      </c>
      <c r="C81" s="535" t="s">
        <v>2356</v>
      </c>
      <c r="D81" s="535" t="s">
        <v>2357</v>
      </c>
      <c r="E81" s="535" t="s">
        <v>2358</v>
      </c>
      <c r="F81" s="535" t="s">
        <v>2359</v>
      </c>
      <c r="G81" s="535" t="s">
        <v>2360</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2448</v>
      </c>
      <c r="C83" s="616" t="s">
        <v>2434</v>
      </c>
      <c r="D83" s="616" t="s">
        <v>2435</v>
      </c>
      <c r="E83" s="616" t="s">
        <v>2436</v>
      </c>
      <c r="F83" s="616" t="s">
        <v>2437</v>
      </c>
      <c r="G83" s="616" t="s">
        <v>2438</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2457</v>
      </c>
      <c r="C85" s="535" t="s">
        <v>2356</v>
      </c>
      <c r="D85" s="535" t="s">
        <v>2357</v>
      </c>
      <c r="E85" s="535" t="s">
        <v>2358</v>
      </c>
      <c r="F85" s="535" t="s">
        <v>2359</v>
      </c>
      <c r="G85" s="535" t="s">
        <v>2360</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2458</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2322</v>
      </c>
      <c r="B101" s="485" t="s">
        <v>2371</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2373</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2375</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2459</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2376</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2377</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2460</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2443</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2379</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估价对象为北京市房地产,属开发建设的商业项目，该项目尚在开发建设中。根据《国有土地使用证》[]，估价对象（分摊）出让国有建设用地使用权面积为16578.4平方米，规划建筑面积为60635.1平方米。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2022年1月5日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60635.1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9" t="s">
        <v>2405</v>
      </c>
      <c r="D4" s="3500"/>
      <c r="E4" s="3501" t="s">
        <v>2406</v>
      </c>
      <c r="F4" s="3502"/>
      <c r="G4" s="3499" t="s">
        <v>2407</v>
      </c>
      <c r="H4" s="3500"/>
      <c r="I4" s="3499" t="s">
        <v>2408</v>
      </c>
      <c r="J4" s="3500"/>
      <c r="K4" s="567" t="s">
        <v>2409</v>
      </c>
      <c r="L4" s="1044"/>
      <c r="M4" s="1045"/>
      <c r="N4" s="1045"/>
      <c r="O4" s="1045"/>
      <c r="P4" s="3503" t="s">
        <v>2410</v>
      </c>
      <c r="Q4" s="3504"/>
      <c r="R4" s="3486" t="s">
        <v>2406</v>
      </c>
      <c r="S4" s="3487"/>
      <c r="T4" s="3486" t="s">
        <v>2407</v>
      </c>
      <c r="U4" s="3487"/>
      <c r="V4" s="3511" t="s">
        <v>2408</v>
      </c>
      <c r="W4" s="3511"/>
      <c r="X4" s="1509"/>
      <c r="Y4" s="3486" t="s">
        <v>2410</v>
      </c>
      <c r="Z4" s="3487"/>
      <c r="AA4" s="3481" t="s">
        <v>2406</v>
      </c>
      <c r="AB4" s="3482" t="s">
        <v>2407</v>
      </c>
      <c r="AC4" s="3481" t="s">
        <v>2408</v>
      </c>
    </row>
    <row r="5" spans="1:29" ht="15">
      <c r="A5" s="364"/>
      <c r="B5" s="365"/>
      <c r="C5" s="3492" t="s">
        <v>2301</v>
      </c>
      <c r="D5" s="3493"/>
      <c r="E5" s="3490" t="s">
        <v>2302</v>
      </c>
      <c r="F5" s="3491"/>
      <c r="G5" s="3492" t="s">
        <v>2303</v>
      </c>
      <c r="H5" s="3493"/>
      <c r="I5" s="3492" t="s">
        <v>2304</v>
      </c>
      <c r="J5" s="3493"/>
      <c r="K5" s="567"/>
      <c r="L5" s="1044"/>
      <c r="M5" s="1045"/>
      <c r="N5" s="1045"/>
      <c r="O5" s="1045"/>
      <c r="P5" s="3505"/>
      <c r="Q5" s="3506"/>
      <c r="R5" s="3488"/>
      <c r="S5" s="3489"/>
      <c r="T5" s="3488"/>
      <c r="U5" s="3489"/>
      <c r="V5" s="3511"/>
      <c r="W5" s="3511"/>
      <c r="X5" s="1509"/>
      <c r="Y5" s="3488"/>
      <c r="Z5" s="3489"/>
      <c r="AA5" s="3482"/>
      <c r="AB5" s="3482"/>
      <c r="AC5" s="3482"/>
    </row>
    <row r="6" spans="1:29" ht="15.75" thickBot="1">
      <c r="A6" s="366"/>
      <c r="B6" s="367"/>
      <c r="C6" s="3494" t="s">
        <v>2305</v>
      </c>
      <c r="D6" s="3495"/>
      <c r="E6" s="3496" t="s">
        <v>2305</v>
      </c>
      <c r="F6" s="3497"/>
      <c r="G6" s="3494" t="s">
        <v>2305</v>
      </c>
      <c r="H6" s="3495"/>
      <c r="I6" s="3494" t="s">
        <v>2305</v>
      </c>
      <c r="J6" s="3495"/>
      <c r="K6" s="567" t="s">
        <v>2306</v>
      </c>
      <c r="L6" s="1044"/>
      <c r="M6" s="1045"/>
      <c r="N6" s="1045"/>
      <c r="O6" s="1045"/>
      <c r="P6" s="3507"/>
      <c r="Q6" s="3508"/>
      <c r="R6" s="3488"/>
      <c r="S6" s="3489"/>
      <c r="T6" s="3509"/>
      <c r="U6" s="3510"/>
      <c r="V6" s="3511"/>
      <c r="W6" s="3511"/>
      <c r="X6" s="1509"/>
      <c r="Y6" s="3509"/>
      <c r="Z6" s="3510"/>
      <c r="AA6" s="3483"/>
      <c r="AB6" s="3483"/>
      <c r="AC6" s="3483"/>
    </row>
    <row r="7" spans="1:29" s="113" customFormat="1" ht="15.75" thickBot="1">
      <c r="A7" s="368" t="s">
        <v>2307</v>
      </c>
      <c r="B7" s="369"/>
      <c r="C7" s="370">
        <f>'数据-取费表'!B2</f>
        <v>44566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4" t="s">
        <v>2308</v>
      </c>
      <c r="Q7" s="3512"/>
      <c r="R7" s="710" t="s">
        <v>17</v>
      </c>
      <c r="S7" s="711">
        <f t="shared" ref="S7:S15" si="0">F7</f>
        <v>0</v>
      </c>
      <c r="T7" s="710" t="s">
        <v>17</v>
      </c>
      <c r="U7" s="711">
        <f t="shared" ref="U7:U15" si="1">H7</f>
        <v>0</v>
      </c>
      <c r="V7" s="710" t="s">
        <v>17</v>
      </c>
      <c r="W7" s="711">
        <f t="shared" ref="W7:W15" si="2">J7</f>
        <v>0</v>
      </c>
      <c r="X7" s="712"/>
      <c r="Y7" s="3484" t="s">
        <v>2308</v>
      </c>
      <c r="Z7" s="3485"/>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4" t="s">
        <v>2311</v>
      </c>
      <c r="Q8" s="3485"/>
      <c r="R8" s="710" t="s">
        <v>17</v>
      </c>
      <c r="S8" s="711">
        <f t="shared" si="0"/>
        <v>0</v>
      </c>
      <c r="T8" s="710" t="s">
        <v>17</v>
      </c>
      <c r="U8" s="711">
        <f t="shared" si="1"/>
        <v>0</v>
      </c>
      <c r="V8" s="710" t="s">
        <v>17</v>
      </c>
      <c r="W8" s="711">
        <f t="shared" si="2"/>
        <v>0</v>
      </c>
      <c r="X8" s="712"/>
      <c r="Y8" s="3484" t="s">
        <v>2311</v>
      </c>
      <c r="Z8" s="3485"/>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6"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2318</v>
      </c>
      <c r="B15" s="65" t="s">
        <v>2462</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8" t="s">
        <v>2319</v>
      </c>
      <c r="Q15" s="1506" t="str">
        <f t="shared" si="6"/>
        <v>产业集聚程度</v>
      </c>
      <c r="R15" s="714" t="s">
        <v>17</v>
      </c>
      <c r="S15" s="715">
        <f t="shared" si="0"/>
        <v>100</v>
      </c>
      <c r="T15" s="714" t="s">
        <v>17</v>
      </c>
      <c r="U15" s="715">
        <f t="shared" si="1"/>
        <v>100</v>
      </c>
      <c r="V15" s="714" t="s">
        <v>17</v>
      </c>
      <c r="W15" s="715">
        <f t="shared" si="2"/>
        <v>100</v>
      </c>
      <c r="X15" s="1509"/>
      <c r="Y15" s="3518"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19"/>
      <c r="Q16" s="1506"/>
      <c r="R16" s="714"/>
      <c r="S16" s="715"/>
      <c r="T16" s="714"/>
      <c r="U16" s="715"/>
      <c r="V16" s="714"/>
      <c r="W16" s="715"/>
      <c r="X16" s="1509"/>
      <c r="Y16" s="3519"/>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9"/>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19"/>
      <c r="Q18" s="1506"/>
      <c r="R18" s="714"/>
      <c r="S18" s="715"/>
      <c r="T18" s="714"/>
      <c r="U18" s="715"/>
      <c r="V18" s="714"/>
      <c r="W18" s="715"/>
      <c r="X18" s="1509"/>
      <c r="Y18" s="3519"/>
      <c r="Z18" s="1510"/>
      <c r="AA18" s="1507">
        <v>1</v>
      </c>
      <c r="AB18" s="1507">
        <v>1</v>
      </c>
      <c r="AC18" s="1507">
        <v>1</v>
      </c>
    </row>
    <row r="19" spans="1:29" ht="42.75">
      <c r="A19" s="387"/>
      <c r="B19" s="410" t="s">
        <v>2447</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9"/>
      <c r="Q19" s="1506" t="str">
        <f>B19</f>
        <v>公共配套设施</v>
      </c>
      <c r="R19" s="714" t="s">
        <v>17</v>
      </c>
      <c r="S19" s="715">
        <f>F19</f>
        <v>100</v>
      </c>
      <c r="T19" s="714" t="s">
        <v>17</v>
      </c>
      <c r="U19" s="715">
        <f>H19</f>
        <v>100</v>
      </c>
      <c r="V19" s="714" t="s">
        <v>17</v>
      </c>
      <c r="W19" s="715">
        <f>J19</f>
        <v>100</v>
      </c>
      <c r="X19" s="1509"/>
      <c r="Y19" s="351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19"/>
      <c r="Q20" s="1506"/>
      <c r="R20" s="714"/>
      <c r="S20" s="715"/>
      <c r="T20" s="714"/>
      <c r="U20" s="715"/>
      <c r="V20" s="714"/>
      <c r="W20" s="715"/>
      <c r="X20" s="1509"/>
      <c r="Y20" s="3519"/>
      <c r="Z20" s="1510"/>
      <c r="AA20" s="1507">
        <v>1</v>
      </c>
      <c r="AB20" s="1507">
        <v>1</v>
      </c>
      <c r="AC20" s="1507">
        <v>1</v>
      </c>
    </row>
    <row r="21" spans="1:29" ht="28.5">
      <c r="A21" s="387"/>
      <c r="B21" s="1265" t="s">
        <v>2448</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9"/>
      <c r="Q21" s="1506" t="str">
        <f>B21</f>
        <v>基础设施水平</v>
      </c>
      <c r="R21" s="714" t="s">
        <v>17</v>
      </c>
      <c r="S21" s="715">
        <f>F21</f>
        <v>100</v>
      </c>
      <c r="T21" s="714" t="s">
        <v>17</v>
      </c>
      <c r="U21" s="715">
        <f>H21</f>
        <v>100</v>
      </c>
      <c r="V21" s="714" t="s">
        <v>17</v>
      </c>
      <c r="W21" s="715">
        <f>J21</f>
        <v>100</v>
      </c>
      <c r="X21" s="1509"/>
      <c r="Y21" s="351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19"/>
      <c r="Q22" s="1506"/>
      <c r="R22" s="714"/>
      <c r="S22" s="715"/>
      <c r="T22" s="714"/>
      <c r="U22" s="715"/>
      <c r="V22" s="714"/>
      <c r="W22" s="715"/>
      <c r="X22" s="1509"/>
      <c r="Y22" s="3519"/>
      <c r="Z22" s="1510"/>
      <c r="AA22" s="1507">
        <v>1</v>
      </c>
      <c r="AB22" s="1507">
        <v>1</v>
      </c>
      <c r="AC22" s="1507">
        <v>1</v>
      </c>
    </row>
    <row r="23" spans="1:29" ht="71.25">
      <c r="A23" s="387"/>
      <c r="B23" s="410" t="s">
        <v>2449</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9"/>
      <c r="Q23" s="1506" t="str">
        <f>B23</f>
        <v>环境质量</v>
      </c>
      <c r="R23" s="714" t="s">
        <v>17</v>
      </c>
      <c r="S23" s="715">
        <f>F23</f>
        <v>100</v>
      </c>
      <c r="T23" s="714" t="s">
        <v>17</v>
      </c>
      <c r="U23" s="715">
        <f>H23</f>
        <v>100</v>
      </c>
      <c r="V23" s="714" t="s">
        <v>17</v>
      </c>
      <c r="W23" s="715">
        <f>J23</f>
        <v>100</v>
      </c>
      <c r="X23" s="1509"/>
      <c r="Y23" s="351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19"/>
      <c r="Q24" s="1506"/>
      <c r="R24" s="714"/>
      <c r="S24" s="715"/>
      <c r="T24" s="714"/>
      <c r="U24" s="715"/>
      <c r="V24" s="714"/>
      <c r="W24" s="715"/>
      <c r="X24" s="1509"/>
      <c r="Y24" s="351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9"/>
      <c r="Q25" s="1506">
        <f>B25</f>
        <v>111</v>
      </c>
      <c r="R25" s="714" t="s">
        <v>17</v>
      </c>
      <c r="S25" s="715">
        <f>F25</f>
        <v>100</v>
      </c>
      <c r="T25" s="714" t="s">
        <v>17</v>
      </c>
      <c r="U25" s="715">
        <f>H25</f>
        <v>100</v>
      </c>
      <c r="V25" s="714" t="s">
        <v>17</v>
      </c>
      <c r="W25" s="715">
        <f>J25</f>
        <v>100</v>
      </c>
      <c r="X25" s="1509"/>
      <c r="Y25" s="351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9"/>
      <c r="Q26" s="1506">
        <f t="shared" ref="Q26:Q40" si="11">B26</f>
        <v>111</v>
      </c>
      <c r="R26" s="714" t="s">
        <v>17</v>
      </c>
      <c r="S26" s="715">
        <f>F26</f>
        <v>100</v>
      </c>
      <c r="T26" s="714" t="s">
        <v>17</v>
      </c>
      <c r="U26" s="715">
        <f>H26</f>
        <v>100</v>
      </c>
      <c r="V26" s="714" t="s">
        <v>17</v>
      </c>
      <c r="W26" s="715">
        <f>J26</f>
        <v>100</v>
      </c>
      <c r="X26" s="1509"/>
      <c r="Y26" s="351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9"/>
      <c r="Q27" s="1497">
        <f t="shared" si="11"/>
        <v>111</v>
      </c>
      <c r="R27" s="710" t="s">
        <v>17</v>
      </c>
      <c r="S27" s="711">
        <f>F27</f>
        <v>100</v>
      </c>
      <c r="T27" s="710" t="s">
        <v>17</v>
      </c>
      <c r="U27" s="711">
        <f>H27</f>
        <v>100</v>
      </c>
      <c r="V27" s="710" t="s">
        <v>17</v>
      </c>
      <c r="W27" s="711">
        <f>J27</f>
        <v>100</v>
      </c>
      <c r="X27" s="712"/>
      <c r="Y27" s="351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9"/>
      <c r="Q28" s="1506">
        <f t="shared" si="11"/>
        <v>111</v>
      </c>
      <c r="R28" s="714" t="s">
        <v>17</v>
      </c>
      <c r="S28" s="715">
        <f t="shared" ref="S28:S40" si="12">F28</f>
        <v>100</v>
      </c>
      <c r="T28" s="714" t="s">
        <v>17</v>
      </c>
      <c r="U28" s="715">
        <f t="shared" ref="U28:U40" si="13">H28</f>
        <v>100</v>
      </c>
      <c r="V28" s="714" t="s">
        <v>17</v>
      </c>
      <c r="W28" s="715">
        <f t="shared" ref="W28:W40" si="14">J28</f>
        <v>100</v>
      </c>
      <c r="X28" s="1509"/>
      <c r="Y28" s="3519"/>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2" t="s">
        <v>2324</v>
      </c>
      <c r="Q29" s="1506" t="str">
        <f t="shared" si="11"/>
        <v>建筑类型</v>
      </c>
      <c r="R29" s="714" t="s">
        <v>17</v>
      </c>
      <c r="S29" s="715">
        <f t="shared" si="12"/>
        <v>100</v>
      </c>
      <c r="T29" s="714" t="s">
        <v>17</v>
      </c>
      <c r="U29" s="715">
        <f t="shared" si="13"/>
        <v>100</v>
      </c>
      <c r="V29" s="714" t="s">
        <v>17</v>
      </c>
      <c r="W29" s="715">
        <f t="shared" si="14"/>
        <v>100</v>
      </c>
      <c r="X29" s="1509"/>
      <c r="Y29" s="3523"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3"/>
      <c r="Q30" s="716" t="str">
        <f t="shared" si="11"/>
        <v>项目建筑规模</v>
      </c>
      <c r="R30" s="717" t="s">
        <v>17</v>
      </c>
      <c r="S30" s="718" t="e">
        <f t="shared" si="12"/>
        <v>#N/A</v>
      </c>
      <c r="T30" s="717" t="s">
        <v>17</v>
      </c>
      <c r="U30" s="718" t="e">
        <f t="shared" si="13"/>
        <v>#N/A</v>
      </c>
      <c r="V30" s="717" t="s">
        <v>17</v>
      </c>
      <c r="W30" s="718" t="e">
        <f t="shared" si="14"/>
        <v>#N/A</v>
      </c>
      <c r="X30" s="719"/>
      <c r="Y30" s="3523"/>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3"/>
      <c r="Q31" s="1506" t="str">
        <f t="shared" si="11"/>
        <v>建筑结构</v>
      </c>
      <c r="R31" s="714" t="s">
        <v>17</v>
      </c>
      <c r="S31" s="715">
        <f t="shared" si="12"/>
        <v>100</v>
      </c>
      <c r="T31" s="714" t="s">
        <v>17</v>
      </c>
      <c r="U31" s="715">
        <f t="shared" si="13"/>
        <v>100</v>
      </c>
      <c r="V31" s="714" t="s">
        <v>17</v>
      </c>
      <c r="W31" s="715">
        <f t="shared" si="14"/>
        <v>100</v>
      </c>
      <c r="X31" s="1509"/>
      <c r="Y31" s="3523"/>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3"/>
      <c r="Q32" s="1506" t="str">
        <f t="shared" si="11"/>
        <v>公共部分装修</v>
      </c>
      <c r="R32" s="714" t="s">
        <v>17</v>
      </c>
      <c r="S32" s="715">
        <f t="shared" si="12"/>
        <v>100</v>
      </c>
      <c r="T32" s="714" t="s">
        <v>17</v>
      </c>
      <c r="U32" s="715">
        <f t="shared" si="13"/>
        <v>100</v>
      </c>
      <c r="V32" s="714" t="s">
        <v>17</v>
      </c>
      <c r="W32" s="715">
        <f t="shared" si="14"/>
        <v>100</v>
      </c>
      <c r="X32" s="1509"/>
      <c r="Y32" s="3523"/>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3"/>
      <c r="Q33" s="1506" t="str">
        <f t="shared" si="11"/>
        <v>成新度</v>
      </c>
      <c r="R33" s="714" t="s">
        <v>17</v>
      </c>
      <c r="S33" s="715" t="e">
        <f t="shared" si="12"/>
        <v>#N/A</v>
      </c>
      <c r="T33" s="714" t="s">
        <v>17</v>
      </c>
      <c r="U33" s="715" t="e">
        <f t="shared" si="13"/>
        <v>#N/A</v>
      </c>
      <c r="V33" s="714" t="s">
        <v>17</v>
      </c>
      <c r="W33" s="715" t="e">
        <f t="shared" si="14"/>
        <v>#N/A</v>
      </c>
      <c r="X33" s="1509"/>
      <c r="Y33" s="3523"/>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3"/>
      <c r="Q34" s="1497" t="str">
        <f t="shared" si="11"/>
        <v>物业管理</v>
      </c>
      <c r="R34" s="710" t="s">
        <v>17</v>
      </c>
      <c r="S34" s="711">
        <f t="shared" si="12"/>
        <v>100</v>
      </c>
      <c r="T34" s="710" t="s">
        <v>17</v>
      </c>
      <c r="U34" s="711">
        <f t="shared" si="13"/>
        <v>100</v>
      </c>
      <c r="V34" s="710" t="s">
        <v>17</v>
      </c>
      <c r="W34" s="711">
        <f t="shared" si="14"/>
        <v>100</v>
      </c>
      <c r="X34" s="712"/>
      <c r="Y34" s="3523"/>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3" t="s">
        <v>2324</v>
      </c>
      <c r="Q35" s="1506" t="str">
        <f t="shared" si="11"/>
        <v>市政基础设施</v>
      </c>
      <c r="R35" s="714" t="s">
        <v>17</v>
      </c>
      <c r="S35" s="715">
        <f t="shared" si="12"/>
        <v>100</v>
      </c>
      <c r="T35" s="714" t="s">
        <v>17</v>
      </c>
      <c r="U35" s="715">
        <f t="shared" si="13"/>
        <v>100</v>
      </c>
      <c r="V35" s="714" t="s">
        <v>17</v>
      </c>
      <c r="W35" s="715">
        <f t="shared" si="14"/>
        <v>100</v>
      </c>
      <c r="X35" s="1509"/>
      <c r="Y35" s="3523"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3"/>
      <c r="Q36" s="1506" t="str">
        <f t="shared" si="11"/>
        <v>内部装修</v>
      </c>
      <c r="R36" s="714" t="s">
        <v>17</v>
      </c>
      <c r="S36" s="715">
        <f t="shared" si="12"/>
        <v>100</v>
      </c>
      <c r="T36" s="714" t="s">
        <v>17</v>
      </c>
      <c r="U36" s="715">
        <f t="shared" si="13"/>
        <v>100</v>
      </c>
      <c r="V36" s="714" t="s">
        <v>17</v>
      </c>
      <c r="W36" s="715">
        <f t="shared" si="14"/>
        <v>100</v>
      </c>
      <c r="X36" s="1509"/>
      <c r="Y36" s="3523"/>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3"/>
      <c r="Q37" s="1506" t="str">
        <f t="shared" si="11"/>
        <v>内部装修状况</v>
      </c>
      <c r="R37" s="714" t="s">
        <v>17</v>
      </c>
      <c r="S37" s="715">
        <f t="shared" si="12"/>
        <v>100</v>
      </c>
      <c r="T37" s="714" t="s">
        <v>17</v>
      </c>
      <c r="U37" s="715">
        <f t="shared" si="13"/>
        <v>100</v>
      </c>
      <c r="V37" s="714" t="s">
        <v>17</v>
      </c>
      <c r="W37" s="715">
        <f t="shared" si="14"/>
        <v>100</v>
      </c>
      <c r="X37" s="1509"/>
      <c r="Y37" s="352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3"/>
      <c r="Q38" s="716">
        <f t="shared" si="11"/>
        <v>111</v>
      </c>
      <c r="R38" s="717" t="s">
        <v>17</v>
      </c>
      <c r="S38" s="718">
        <f t="shared" si="12"/>
        <v>100</v>
      </c>
      <c r="T38" s="717" t="s">
        <v>17</v>
      </c>
      <c r="U38" s="718">
        <f t="shared" si="13"/>
        <v>100</v>
      </c>
      <c r="V38" s="717" t="s">
        <v>17</v>
      </c>
      <c r="W38" s="718">
        <f t="shared" si="14"/>
        <v>100</v>
      </c>
      <c r="X38" s="719"/>
      <c r="Y38" s="352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3"/>
      <c r="Q39" s="1506">
        <f t="shared" si="11"/>
        <v>111</v>
      </c>
      <c r="R39" s="714" t="s">
        <v>17</v>
      </c>
      <c r="S39" s="715">
        <f t="shared" si="12"/>
        <v>100</v>
      </c>
      <c r="T39" s="714" t="s">
        <v>17</v>
      </c>
      <c r="U39" s="715">
        <f t="shared" si="13"/>
        <v>100</v>
      </c>
      <c r="V39" s="714" t="s">
        <v>17</v>
      </c>
      <c r="W39" s="715">
        <f t="shared" si="14"/>
        <v>100</v>
      </c>
      <c r="X39" s="1509"/>
      <c r="Y39" s="352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4"/>
      <c r="Q40" s="1506">
        <f t="shared" si="11"/>
        <v>111</v>
      </c>
      <c r="R40" s="714" t="s">
        <v>17</v>
      </c>
      <c r="S40" s="715">
        <f t="shared" si="12"/>
        <v>100</v>
      </c>
      <c r="T40" s="714" t="s">
        <v>17</v>
      </c>
      <c r="U40" s="715">
        <f t="shared" si="13"/>
        <v>100</v>
      </c>
      <c r="V40" s="714" t="s">
        <v>17</v>
      </c>
      <c r="W40" s="715">
        <f t="shared" si="14"/>
        <v>100</v>
      </c>
      <c r="X40" s="1509"/>
      <c r="Y40" s="3524"/>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516" t="str">
        <f>A41</f>
        <v>成交单价（元/平方米）</v>
      </c>
      <c r="Q41" s="3516"/>
      <c r="R41" s="3517">
        <f>E41</f>
        <v>0</v>
      </c>
      <c r="S41" s="3517"/>
      <c r="T41" s="3517">
        <f>G41</f>
        <v>0</v>
      </c>
      <c r="U41" s="3517"/>
      <c r="V41" s="3517">
        <f>I41</f>
        <v>0</v>
      </c>
      <c r="W41" s="3517"/>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516" t="str">
        <f>A42</f>
        <v>比较价值（元/平方米）</v>
      </c>
      <c r="Q42" s="3516"/>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9"/>
      <c r="O54" s="2970"/>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2404</v>
      </c>
      <c r="B4" s="362"/>
      <c r="C4" s="3499" t="s">
        <v>2405</v>
      </c>
      <c r="D4" s="3500"/>
      <c r="E4" s="3501" t="s">
        <v>2406</v>
      </c>
      <c r="F4" s="3502"/>
      <c r="G4" s="3499" t="s">
        <v>2407</v>
      </c>
      <c r="H4" s="3500"/>
      <c r="I4" s="3499" t="s">
        <v>2408</v>
      </c>
      <c r="J4" s="3500"/>
      <c r="K4" s="567" t="s">
        <v>2409</v>
      </c>
      <c r="L4" s="2914"/>
      <c r="M4" s="2915"/>
      <c r="N4" s="2915"/>
      <c r="O4" s="2915"/>
      <c r="P4" s="3503" t="s">
        <v>2410</v>
      </c>
      <c r="Q4" s="3504"/>
      <c r="R4" s="3486" t="s">
        <v>2406</v>
      </c>
      <c r="S4" s="3487"/>
      <c r="T4" s="3486" t="s">
        <v>2407</v>
      </c>
      <c r="U4" s="3487"/>
      <c r="V4" s="3511" t="s">
        <v>2408</v>
      </c>
      <c r="W4" s="3511"/>
      <c r="X4" s="1509"/>
      <c r="Y4" s="3486" t="s">
        <v>2410</v>
      </c>
      <c r="Z4" s="3487"/>
      <c r="AA4" s="3481" t="s">
        <v>2406</v>
      </c>
      <c r="AB4" s="3482" t="s">
        <v>2407</v>
      </c>
      <c r="AC4" s="3481" t="s">
        <v>2408</v>
      </c>
    </row>
    <row r="5" spans="1:29" ht="15">
      <c r="A5" s="364"/>
      <c r="B5" s="365"/>
      <c r="C5" s="3492" t="s">
        <v>2301</v>
      </c>
      <c r="D5" s="3493"/>
      <c r="E5" s="3490" t="s">
        <v>2302</v>
      </c>
      <c r="F5" s="3491"/>
      <c r="G5" s="3492" t="s">
        <v>2303</v>
      </c>
      <c r="H5" s="3493"/>
      <c r="I5" s="3492" t="s">
        <v>2304</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2305</v>
      </c>
      <c r="D6" s="3495"/>
      <c r="E6" s="3496" t="s">
        <v>2305</v>
      </c>
      <c r="F6" s="3497"/>
      <c r="G6" s="3494" t="s">
        <v>2305</v>
      </c>
      <c r="H6" s="3495"/>
      <c r="I6" s="3494" t="s">
        <v>2305</v>
      </c>
      <c r="J6" s="3495"/>
      <c r="K6" s="567" t="s">
        <v>2306</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2307</v>
      </c>
      <c r="B7" s="369"/>
      <c r="C7" s="370">
        <f>'数据-取费表'!B2</f>
        <v>44566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4" t="s">
        <v>2308</v>
      </c>
      <c r="Q7" s="3512"/>
      <c r="R7" s="710" t="s">
        <v>17</v>
      </c>
      <c r="S7" s="711">
        <f t="shared" ref="S7:S14" si="0">F7</f>
        <v>0</v>
      </c>
      <c r="T7" s="710" t="s">
        <v>17</v>
      </c>
      <c r="U7" s="711">
        <f t="shared" ref="U7:U14" si="1">H7</f>
        <v>0</v>
      </c>
      <c r="V7" s="710" t="s">
        <v>17</v>
      </c>
      <c r="W7" s="711">
        <f t="shared" ref="W7:W14" si="2">J7</f>
        <v>0</v>
      </c>
      <c r="X7" s="712"/>
      <c r="Y7" s="3484" t="s">
        <v>2308</v>
      </c>
      <c r="Z7" s="3485"/>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4" t="s">
        <v>2311</v>
      </c>
      <c r="Q8" s="3485"/>
      <c r="R8" s="710" t="s">
        <v>17</v>
      </c>
      <c r="S8" s="711">
        <f t="shared" si="0"/>
        <v>0</v>
      </c>
      <c r="T8" s="710" t="s">
        <v>17</v>
      </c>
      <c r="U8" s="711">
        <f t="shared" si="1"/>
        <v>0</v>
      </c>
      <c r="V8" s="710" t="s">
        <v>17</v>
      </c>
      <c r="W8" s="711">
        <f t="shared" si="2"/>
        <v>0</v>
      </c>
      <c r="X8" s="712"/>
      <c r="Y8" s="3484" t="s">
        <v>2311</v>
      </c>
      <c r="Z8" s="3485"/>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16" t="s">
        <v>2314</v>
      </c>
      <c r="Q9" s="1497" t="str">
        <f t="shared" ref="Q9:Q14" si="6">B9</f>
        <v>用途</v>
      </c>
      <c r="R9" s="710" t="s">
        <v>17</v>
      </c>
      <c r="S9" s="711">
        <f t="shared" si="0"/>
        <v>100</v>
      </c>
      <c r="T9" s="710" t="s">
        <v>17</v>
      </c>
      <c r="U9" s="711">
        <f t="shared" si="1"/>
        <v>100</v>
      </c>
      <c r="V9" s="710" t="s">
        <v>17</v>
      </c>
      <c r="W9" s="711">
        <f t="shared" si="2"/>
        <v>100</v>
      </c>
      <c r="X9" s="712"/>
      <c r="Y9" s="3428"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16"/>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18" t="s">
        <v>2319</v>
      </c>
      <c r="Q14" s="1506" t="str">
        <f t="shared" si="6"/>
        <v>交通便捷度</v>
      </c>
      <c r="R14" s="714" t="s">
        <v>17</v>
      </c>
      <c r="S14" s="715">
        <f t="shared" si="0"/>
        <v>100</v>
      </c>
      <c r="T14" s="714" t="s">
        <v>17</v>
      </c>
      <c r="U14" s="715">
        <f t="shared" si="1"/>
        <v>100</v>
      </c>
      <c r="V14" s="714" t="s">
        <v>17</v>
      </c>
      <c r="W14" s="715">
        <f t="shared" si="2"/>
        <v>100</v>
      </c>
      <c r="X14" s="1509"/>
      <c r="Y14" s="3518"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19"/>
      <c r="Q15" s="1506"/>
      <c r="R15" s="714"/>
      <c r="S15" s="715"/>
      <c r="T15" s="714"/>
      <c r="U15" s="715"/>
      <c r="V15" s="714"/>
      <c r="W15" s="715"/>
      <c r="X15" s="1509"/>
      <c r="Y15" s="3519"/>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19"/>
      <c r="Q16" s="1506" t="str">
        <f>B16</f>
        <v>公共配套设施</v>
      </c>
      <c r="R16" s="714" t="s">
        <v>17</v>
      </c>
      <c r="S16" s="715">
        <f>F16</f>
        <v>100</v>
      </c>
      <c r="T16" s="714" t="s">
        <v>17</v>
      </c>
      <c r="U16" s="715">
        <f>H16</f>
        <v>100</v>
      </c>
      <c r="V16" s="714" t="s">
        <v>17</v>
      </c>
      <c r="W16" s="715">
        <f>J16</f>
        <v>100</v>
      </c>
      <c r="X16" s="1509"/>
      <c r="Y16" s="351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19"/>
      <c r="Q17" s="1506"/>
      <c r="R17" s="714"/>
      <c r="S17" s="715"/>
      <c r="T17" s="714"/>
      <c r="U17" s="715"/>
      <c r="V17" s="714"/>
      <c r="W17" s="715"/>
      <c r="X17" s="1509"/>
      <c r="Y17" s="3519"/>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19"/>
      <c r="Q18" s="1506" t="str">
        <f>B18</f>
        <v>基础设施水平</v>
      </c>
      <c r="R18" s="714" t="s">
        <v>17</v>
      </c>
      <c r="S18" s="715">
        <f>F18</f>
        <v>100</v>
      </c>
      <c r="T18" s="714" t="s">
        <v>17</v>
      </c>
      <c r="U18" s="715">
        <f>H18</f>
        <v>100</v>
      </c>
      <c r="V18" s="714" t="s">
        <v>17</v>
      </c>
      <c r="W18" s="715">
        <f>J18</f>
        <v>100</v>
      </c>
      <c r="X18" s="1509"/>
      <c r="Y18" s="351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19"/>
      <c r="Q19" s="1506"/>
      <c r="R19" s="714"/>
      <c r="S19" s="715"/>
      <c r="T19" s="714"/>
      <c r="U19" s="715"/>
      <c r="V19" s="714"/>
      <c r="W19" s="715"/>
      <c r="X19" s="1509"/>
      <c r="Y19" s="3519"/>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19"/>
      <c r="Q20" s="1506" t="str">
        <f>B20</f>
        <v>自然及人文环境</v>
      </c>
      <c r="R20" s="714" t="s">
        <v>17</v>
      </c>
      <c r="S20" s="715">
        <f>F20</f>
        <v>100</v>
      </c>
      <c r="T20" s="714" t="s">
        <v>17</v>
      </c>
      <c r="U20" s="715">
        <f>H20</f>
        <v>100</v>
      </c>
      <c r="V20" s="714" t="s">
        <v>17</v>
      </c>
      <c r="W20" s="715">
        <f>J20</f>
        <v>100</v>
      </c>
      <c r="X20" s="1509"/>
      <c r="Y20" s="351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19"/>
      <c r="Q21" s="1506"/>
      <c r="R21" s="714"/>
      <c r="S21" s="715"/>
      <c r="T21" s="714"/>
      <c r="U21" s="715"/>
      <c r="V21" s="714"/>
      <c r="W21" s="715"/>
      <c r="X21" s="1509"/>
      <c r="Y21" s="3519"/>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19"/>
      <c r="Q22" s="1506" t="str">
        <f>B22</f>
        <v>楼层</v>
      </c>
      <c r="R22" s="714" t="s">
        <v>17</v>
      </c>
      <c r="S22" s="715">
        <f>F22</f>
        <v>100</v>
      </c>
      <c r="T22" s="714" t="s">
        <v>17</v>
      </c>
      <c r="U22" s="715">
        <f>H22</f>
        <v>100</v>
      </c>
      <c r="V22" s="714" t="s">
        <v>17</v>
      </c>
      <c r="W22" s="715">
        <f>J22</f>
        <v>100</v>
      </c>
      <c r="X22" s="1509"/>
      <c r="Y22" s="351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19"/>
      <c r="Q23" s="1506">
        <f>B23</f>
        <v>111</v>
      </c>
      <c r="R23" s="714" t="s">
        <v>17</v>
      </c>
      <c r="S23" s="715">
        <f>F23</f>
        <v>100</v>
      </c>
      <c r="T23" s="714" t="s">
        <v>17</v>
      </c>
      <c r="U23" s="715">
        <f>H23</f>
        <v>100</v>
      </c>
      <c r="V23" s="714" t="s">
        <v>17</v>
      </c>
      <c r="W23" s="715">
        <f>J23</f>
        <v>100</v>
      </c>
      <c r="X23" s="1509"/>
      <c r="Y23" s="351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19"/>
      <c r="Q24" s="1506">
        <f t="shared" ref="Q24:Q36" si="11">B24</f>
        <v>111</v>
      </c>
      <c r="R24" s="714" t="s">
        <v>17</v>
      </c>
      <c r="S24" s="715">
        <f>F24</f>
        <v>100</v>
      </c>
      <c r="T24" s="714" t="s">
        <v>17</v>
      </c>
      <c r="U24" s="715">
        <f>H24</f>
        <v>100</v>
      </c>
      <c r="V24" s="714" t="s">
        <v>17</v>
      </c>
      <c r="W24" s="715">
        <f>J24</f>
        <v>100</v>
      </c>
      <c r="X24" s="1509"/>
      <c r="Y24" s="351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19"/>
      <c r="Q25" s="1497">
        <f t="shared" si="11"/>
        <v>111</v>
      </c>
      <c r="R25" s="710" t="s">
        <v>17</v>
      </c>
      <c r="S25" s="711">
        <f>F25</f>
        <v>100</v>
      </c>
      <c r="T25" s="710" t="s">
        <v>17</v>
      </c>
      <c r="U25" s="711">
        <f>H25</f>
        <v>100</v>
      </c>
      <c r="V25" s="710" t="s">
        <v>17</v>
      </c>
      <c r="W25" s="711">
        <f>J25</f>
        <v>100</v>
      </c>
      <c r="X25" s="712"/>
      <c r="Y25" s="3519"/>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2"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3"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3"/>
      <c r="Q27" s="716" t="str">
        <f t="shared" si="11"/>
        <v>项目停车位配比</v>
      </c>
      <c r="R27" s="717" t="s">
        <v>17</v>
      </c>
      <c r="S27" s="718">
        <f t="shared" si="12"/>
        <v>100</v>
      </c>
      <c r="T27" s="717" t="s">
        <v>17</v>
      </c>
      <c r="U27" s="718">
        <f t="shared" si="13"/>
        <v>100</v>
      </c>
      <c r="V27" s="717" t="s">
        <v>17</v>
      </c>
      <c r="W27" s="718">
        <f t="shared" si="14"/>
        <v>100</v>
      </c>
      <c r="X27" s="719"/>
      <c r="Y27" s="3523"/>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3"/>
      <c r="Q28" s="1506" t="str">
        <f t="shared" si="11"/>
        <v>公共部分装修</v>
      </c>
      <c r="R28" s="714" t="s">
        <v>17</v>
      </c>
      <c r="S28" s="715">
        <f t="shared" si="12"/>
        <v>100</v>
      </c>
      <c r="T28" s="714" t="s">
        <v>17</v>
      </c>
      <c r="U28" s="715">
        <f t="shared" si="13"/>
        <v>100</v>
      </c>
      <c r="V28" s="714" t="s">
        <v>17</v>
      </c>
      <c r="W28" s="715">
        <f t="shared" si="14"/>
        <v>100</v>
      </c>
      <c r="X28" s="1509"/>
      <c r="Y28" s="3523"/>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3"/>
      <c r="Q29" s="1506" t="str">
        <f t="shared" si="11"/>
        <v>成新率</v>
      </c>
      <c r="R29" s="714" t="s">
        <v>17</v>
      </c>
      <c r="S29" s="715" t="e">
        <f t="shared" si="12"/>
        <v>#N/A</v>
      </c>
      <c r="T29" s="714" t="s">
        <v>17</v>
      </c>
      <c r="U29" s="715" t="e">
        <f t="shared" si="13"/>
        <v>#N/A</v>
      </c>
      <c r="V29" s="714" t="s">
        <v>17</v>
      </c>
      <c r="W29" s="715" t="e">
        <f t="shared" si="14"/>
        <v>#N/A</v>
      </c>
      <c r="X29" s="1509"/>
      <c r="Y29" s="3523"/>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3"/>
      <c r="Q30" s="1506" t="str">
        <f t="shared" si="11"/>
        <v>物业等级</v>
      </c>
      <c r="R30" s="714" t="s">
        <v>17</v>
      </c>
      <c r="S30" s="715">
        <f t="shared" si="12"/>
        <v>100</v>
      </c>
      <c r="T30" s="714" t="s">
        <v>17</v>
      </c>
      <c r="U30" s="715">
        <f t="shared" si="13"/>
        <v>100</v>
      </c>
      <c r="V30" s="714" t="s">
        <v>17</v>
      </c>
      <c r="W30" s="715">
        <f t="shared" si="14"/>
        <v>100</v>
      </c>
      <c r="X30" s="1509"/>
      <c r="Y30" s="3523"/>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3"/>
      <c r="Q31" s="1497" t="str">
        <f t="shared" si="11"/>
        <v>停车位面积</v>
      </c>
      <c r="R31" s="710" t="s">
        <v>17</v>
      </c>
      <c r="S31" s="711" t="e">
        <f t="shared" si="12"/>
        <v>#N/A</v>
      </c>
      <c r="T31" s="710" t="s">
        <v>17</v>
      </c>
      <c r="U31" s="711" t="e">
        <f t="shared" si="13"/>
        <v>#N/A</v>
      </c>
      <c r="V31" s="710" t="s">
        <v>17</v>
      </c>
      <c r="W31" s="711" t="e">
        <f t="shared" si="14"/>
        <v>#N/A</v>
      </c>
      <c r="X31" s="712"/>
      <c r="Y31" s="3523"/>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3" t="s">
        <v>2324</v>
      </c>
      <c r="Q32" s="1506" t="str">
        <f t="shared" si="11"/>
        <v>车位类型</v>
      </c>
      <c r="R32" s="714" t="s">
        <v>17</v>
      </c>
      <c r="S32" s="715">
        <f t="shared" si="12"/>
        <v>100</v>
      </c>
      <c r="T32" s="714" t="s">
        <v>17</v>
      </c>
      <c r="U32" s="715">
        <f t="shared" si="13"/>
        <v>100</v>
      </c>
      <c r="V32" s="714" t="s">
        <v>17</v>
      </c>
      <c r="W32" s="715">
        <f t="shared" si="14"/>
        <v>100</v>
      </c>
      <c r="X32" s="1509"/>
      <c r="Y32" s="3523"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3"/>
      <c r="Q33" s="1506" t="str">
        <f t="shared" si="11"/>
        <v>是否直接入户</v>
      </c>
      <c r="R33" s="714" t="s">
        <v>17</v>
      </c>
      <c r="S33" s="715">
        <f t="shared" si="12"/>
        <v>100</v>
      </c>
      <c r="T33" s="714" t="s">
        <v>17</v>
      </c>
      <c r="U33" s="715">
        <f t="shared" si="13"/>
        <v>100</v>
      </c>
      <c r="V33" s="714" t="s">
        <v>17</v>
      </c>
      <c r="W33" s="715">
        <f t="shared" si="14"/>
        <v>100</v>
      </c>
      <c r="X33" s="1509"/>
      <c r="Y33" s="352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3"/>
      <c r="Q34" s="1506">
        <f t="shared" si="11"/>
        <v>111</v>
      </c>
      <c r="R34" s="714" t="s">
        <v>17</v>
      </c>
      <c r="S34" s="715">
        <f t="shared" si="12"/>
        <v>100</v>
      </c>
      <c r="T34" s="714" t="s">
        <v>17</v>
      </c>
      <c r="U34" s="715">
        <f t="shared" si="13"/>
        <v>100</v>
      </c>
      <c r="V34" s="714" t="s">
        <v>17</v>
      </c>
      <c r="W34" s="715">
        <f t="shared" si="14"/>
        <v>100</v>
      </c>
      <c r="X34" s="1509"/>
      <c r="Y34" s="352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3"/>
      <c r="Q35" s="716">
        <f t="shared" si="11"/>
        <v>111</v>
      </c>
      <c r="R35" s="717" t="s">
        <v>17</v>
      </c>
      <c r="S35" s="718">
        <f t="shared" si="12"/>
        <v>100</v>
      </c>
      <c r="T35" s="717" t="s">
        <v>17</v>
      </c>
      <c r="U35" s="718">
        <f t="shared" si="13"/>
        <v>100</v>
      </c>
      <c r="V35" s="717" t="s">
        <v>17</v>
      </c>
      <c r="W35" s="718">
        <f t="shared" si="14"/>
        <v>100</v>
      </c>
      <c r="X35" s="719"/>
      <c r="Y35" s="352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3"/>
      <c r="Q36" s="1506">
        <f t="shared" si="11"/>
        <v>111</v>
      </c>
      <c r="R36" s="714" t="s">
        <v>17</v>
      </c>
      <c r="S36" s="715">
        <f t="shared" si="12"/>
        <v>100</v>
      </c>
      <c r="T36" s="714" t="s">
        <v>17</v>
      </c>
      <c r="U36" s="715">
        <f t="shared" si="13"/>
        <v>100</v>
      </c>
      <c r="V36" s="714" t="s">
        <v>17</v>
      </c>
      <c r="W36" s="715">
        <f t="shared" si="14"/>
        <v>100</v>
      </c>
      <c r="X36" s="1509"/>
      <c r="Y36" s="3523"/>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3"/>
      <c r="M37" s="2924"/>
      <c r="N37" s="2915"/>
      <c r="O37" s="2924"/>
      <c r="P37" s="3516" t="str">
        <f>A37</f>
        <v>成交单价</v>
      </c>
      <c r="Q37" s="3516"/>
      <c r="R37" s="3517">
        <f>E37</f>
        <v>0</v>
      </c>
      <c r="S37" s="3517"/>
      <c r="T37" s="3517">
        <f>G37</f>
        <v>0</v>
      </c>
      <c r="U37" s="3517"/>
      <c r="V37" s="3517">
        <f>I37</f>
        <v>0</v>
      </c>
      <c r="W37" s="3517"/>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516" t="str">
        <f>A38</f>
        <v>比较价值（元/平方米）</v>
      </c>
      <c r="Q38" s="3516"/>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3"/>
      <c r="M39" s="2924"/>
      <c r="N39" s="2924"/>
      <c r="O39" s="2924"/>
      <c r="P39" s="3513" t="str">
        <f>A39</f>
        <v>估价对象XX用房的比较价值（楼面单价，元/平方米）</v>
      </c>
      <c r="Q39" s="3514"/>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2486</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2487</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2344</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2309</v>
      </c>
      <c r="B51" s="467"/>
      <c r="C51" s="479" t="s">
        <v>2411</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2347</v>
      </c>
      <c r="B53" s="485" t="s">
        <v>2313</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2362</v>
      </c>
      <c r="C65" s="535" t="s">
        <v>2356</v>
      </c>
      <c r="D65" s="535" t="s">
        <v>2357</v>
      </c>
      <c r="E65" s="535" t="s">
        <v>2358</v>
      </c>
      <c r="F65" s="535" t="s">
        <v>2359</v>
      </c>
      <c r="G65" s="535" t="s">
        <v>2360</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2448</v>
      </c>
      <c r="C67" s="616" t="s">
        <v>2434</v>
      </c>
      <c r="D67" s="616" t="s">
        <v>2435</v>
      </c>
      <c r="E67" s="616" t="s">
        <v>2436</v>
      </c>
      <c r="F67" s="616" t="s">
        <v>2437</v>
      </c>
      <c r="G67" s="616" t="s">
        <v>2438</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2368</v>
      </c>
      <c r="C69" s="535" t="s">
        <v>2356</v>
      </c>
      <c r="D69" s="535" t="s">
        <v>2357</v>
      </c>
      <c r="E69" s="535" t="s">
        <v>2358</v>
      </c>
      <c r="F69" s="535" t="s">
        <v>2359</v>
      </c>
      <c r="G69" s="535" t="s">
        <v>2360</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2488</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2322</v>
      </c>
      <c r="B79" s="485" t="s">
        <v>2489</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2490</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2375</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2492</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2494</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2495</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9" t="s">
        <v>2405</v>
      </c>
      <c r="D4" s="3500"/>
      <c r="E4" s="3501" t="s">
        <v>2406</v>
      </c>
      <c r="F4" s="3502"/>
      <c r="G4" s="3499" t="s">
        <v>2407</v>
      </c>
      <c r="H4" s="3500"/>
      <c r="I4" s="3499" t="s">
        <v>2408</v>
      </c>
      <c r="J4" s="3500"/>
      <c r="K4" s="567" t="s">
        <v>2409</v>
      </c>
      <c r="L4" s="2914"/>
      <c r="M4" s="2915"/>
      <c r="N4" s="2915"/>
      <c r="O4" s="2915"/>
      <c r="P4" s="3503" t="s">
        <v>2410</v>
      </c>
      <c r="Q4" s="3504"/>
      <c r="R4" s="3486" t="s">
        <v>2406</v>
      </c>
      <c r="S4" s="3487"/>
      <c r="T4" s="3486" t="s">
        <v>2407</v>
      </c>
      <c r="U4" s="3487"/>
      <c r="V4" s="3511" t="s">
        <v>2408</v>
      </c>
      <c r="W4" s="3511"/>
      <c r="X4" s="1509"/>
      <c r="Y4" s="3486" t="s">
        <v>2410</v>
      </c>
      <c r="Z4" s="3487"/>
      <c r="AA4" s="3481" t="s">
        <v>2406</v>
      </c>
      <c r="AB4" s="3482" t="s">
        <v>2407</v>
      </c>
      <c r="AC4" s="3481" t="s">
        <v>2408</v>
      </c>
    </row>
    <row r="5" spans="1:29" ht="15">
      <c r="A5" s="364"/>
      <c r="B5" s="365"/>
      <c r="C5" s="3492" t="s">
        <v>2301</v>
      </c>
      <c r="D5" s="3493"/>
      <c r="E5" s="3490" t="s">
        <v>2302</v>
      </c>
      <c r="F5" s="3491"/>
      <c r="G5" s="3492" t="s">
        <v>2303</v>
      </c>
      <c r="H5" s="3493"/>
      <c r="I5" s="3492" t="s">
        <v>2304</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494" t="s">
        <v>2305</v>
      </c>
      <c r="D6" s="3495"/>
      <c r="E6" s="3496" t="s">
        <v>2305</v>
      </c>
      <c r="F6" s="3497"/>
      <c r="G6" s="3494" t="s">
        <v>2305</v>
      </c>
      <c r="H6" s="3495"/>
      <c r="I6" s="3494" t="s">
        <v>2305</v>
      </c>
      <c r="J6" s="3495"/>
      <c r="K6" s="567" t="s">
        <v>2306</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2307</v>
      </c>
      <c r="B7" s="369"/>
      <c r="C7" s="370">
        <f>'数据-取费表'!B2</f>
        <v>44566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4" t="s">
        <v>2308</v>
      </c>
      <c r="Q7" s="3512"/>
      <c r="R7" s="710" t="s">
        <v>17</v>
      </c>
      <c r="S7" s="711">
        <f t="shared" ref="S7:S14" si="0">F7</f>
        <v>0</v>
      </c>
      <c r="T7" s="710" t="s">
        <v>17</v>
      </c>
      <c r="U7" s="711">
        <f t="shared" ref="U7:U14" si="1">H7</f>
        <v>0</v>
      </c>
      <c r="V7" s="710" t="s">
        <v>17</v>
      </c>
      <c r="W7" s="711">
        <f t="shared" ref="W7:W14" si="2">J7</f>
        <v>0</v>
      </c>
      <c r="X7" s="712"/>
      <c r="Y7" s="3484" t="s">
        <v>2308</v>
      </c>
      <c r="Z7" s="3485"/>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4" t="s">
        <v>2311</v>
      </c>
      <c r="Q8" s="3485"/>
      <c r="R8" s="710" t="s">
        <v>17</v>
      </c>
      <c r="S8" s="711">
        <f t="shared" si="0"/>
        <v>0</v>
      </c>
      <c r="T8" s="710" t="s">
        <v>17</v>
      </c>
      <c r="U8" s="711">
        <f t="shared" si="1"/>
        <v>0</v>
      </c>
      <c r="V8" s="710" t="s">
        <v>17</v>
      </c>
      <c r="W8" s="711">
        <f t="shared" si="2"/>
        <v>0</v>
      </c>
      <c r="X8" s="712"/>
      <c r="Y8" s="3484" t="s">
        <v>2311</v>
      </c>
      <c r="Z8" s="3485"/>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16" t="s">
        <v>2314</v>
      </c>
      <c r="Q9" s="1497" t="str">
        <f t="shared" ref="Q9:Q14" si="6">B9</f>
        <v>用途</v>
      </c>
      <c r="R9" s="710" t="s">
        <v>17</v>
      </c>
      <c r="S9" s="711">
        <f t="shared" si="0"/>
        <v>100</v>
      </c>
      <c r="T9" s="710" t="s">
        <v>17</v>
      </c>
      <c r="U9" s="711">
        <f t="shared" si="1"/>
        <v>100</v>
      </c>
      <c r="V9" s="710" t="s">
        <v>17</v>
      </c>
      <c r="W9" s="711">
        <f t="shared" si="2"/>
        <v>100</v>
      </c>
      <c r="X9" s="712"/>
      <c r="Y9" s="3428"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16"/>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16"/>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18" t="s">
        <v>2319</v>
      </c>
      <c r="Q14" s="1506" t="str">
        <f t="shared" si="6"/>
        <v>交通便捷度</v>
      </c>
      <c r="R14" s="714" t="s">
        <v>17</v>
      </c>
      <c r="S14" s="715">
        <f t="shared" si="0"/>
        <v>100</v>
      </c>
      <c r="T14" s="714" t="s">
        <v>17</v>
      </c>
      <c r="U14" s="715">
        <f t="shared" si="1"/>
        <v>100</v>
      </c>
      <c r="V14" s="714" t="s">
        <v>17</v>
      </c>
      <c r="W14" s="715">
        <f t="shared" si="2"/>
        <v>100</v>
      </c>
      <c r="X14" s="1509"/>
      <c r="Y14" s="3518"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19"/>
      <c r="Q15" s="1506"/>
      <c r="R15" s="714"/>
      <c r="S15" s="715"/>
      <c r="T15" s="714"/>
      <c r="U15" s="715"/>
      <c r="V15" s="714"/>
      <c r="W15" s="715"/>
      <c r="X15" s="1509"/>
      <c r="Y15" s="3519"/>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19"/>
      <c r="Q16" s="1506" t="str">
        <f>B16</f>
        <v>公共配套设施</v>
      </c>
      <c r="R16" s="714" t="s">
        <v>17</v>
      </c>
      <c r="S16" s="715">
        <f>F16</f>
        <v>100</v>
      </c>
      <c r="T16" s="714" t="s">
        <v>17</v>
      </c>
      <c r="U16" s="715">
        <f>H16</f>
        <v>100</v>
      </c>
      <c r="V16" s="714" t="s">
        <v>17</v>
      </c>
      <c r="W16" s="715">
        <f>J16</f>
        <v>100</v>
      </c>
      <c r="X16" s="1509"/>
      <c r="Y16" s="351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19"/>
      <c r="Q17" s="1506"/>
      <c r="R17" s="714"/>
      <c r="S17" s="715"/>
      <c r="T17" s="714"/>
      <c r="U17" s="715"/>
      <c r="V17" s="714"/>
      <c r="W17" s="715"/>
      <c r="X17" s="1509"/>
      <c r="Y17" s="3519"/>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19"/>
      <c r="Q18" s="1506" t="str">
        <f>B18</f>
        <v>基础设施水平</v>
      </c>
      <c r="R18" s="714" t="s">
        <v>17</v>
      </c>
      <c r="S18" s="715">
        <f>F18</f>
        <v>100</v>
      </c>
      <c r="T18" s="714" t="s">
        <v>17</v>
      </c>
      <c r="U18" s="715">
        <f>H18</f>
        <v>100</v>
      </c>
      <c r="V18" s="714" t="s">
        <v>17</v>
      </c>
      <c r="W18" s="715">
        <f>J18</f>
        <v>100</v>
      </c>
      <c r="X18" s="1509"/>
      <c r="Y18" s="351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19"/>
      <c r="Q19" s="1506"/>
      <c r="R19" s="714"/>
      <c r="S19" s="715"/>
      <c r="T19" s="714"/>
      <c r="U19" s="715"/>
      <c r="V19" s="714"/>
      <c r="W19" s="715"/>
      <c r="X19" s="1509"/>
      <c r="Y19" s="3519"/>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19"/>
      <c r="Q20" s="1506" t="str">
        <f>B20</f>
        <v>自然及人文环境</v>
      </c>
      <c r="R20" s="714" t="s">
        <v>17</v>
      </c>
      <c r="S20" s="715">
        <f>F20</f>
        <v>100</v>
      </c>
      <c r="T20" s="714" t="s">
        <v>17</v>
      </c>
      <c r="U20" s="715">
        <f>H20</f>
        <v>100</v>
      </c>
      <c r="V20" s="714" t="s">
        <v>17</v>
      </c>
      <c r="W20" s="715">
        <f>J20</f>
        <v>100</v>
      </c>
      <c r="X20" s="1509"/>
      <c r="Y20" s="351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19"/>
      <c r="Q21" s="1506"/>
      <c r="R21" s="714"/>
      <c r="S21" s="715"/>
      <c r="T21" s="714"/>
      <c r="U21" s="715"/>
      <c r="V21" s="714"/>
      <c r="W21" s="715"/>
      <c r="X21" s="1509"/>
      <c r="Y21" s="3519"/>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19"/>
      <c r="Q22" s="1506" t="str">
        <f>B22</f>
        <v>楼层</v>
      </c>
      <c r="R22" s="714" t="s">
        <v>17</v>
      </c>
      <c r="S22" s="715">
        <f>F22</f>
        <v>100</v>
      </c>
      <c r="T22" s="714" t="s">
        <v>17</v>
      </c>
      <c r="U22" s="715">
        <f>H22</f>
        <v>100</v>
      </c>
      <c r="V22" s="714" t="s">
        <v>17</v>
      </c>
      <c r="W22" s="715">
        <f>J22</f>
        <v>100</v>
      </c>
      <c r="X22" s="1509"/>
      <c r="Y22" s="351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19"/>
      <c r="Q23" s="1506">
        <f>B23</f>
        <v>111</v>
      </c>
      <c r="R23" s="714" t="s">
        <v>17</v>
      </c>
      <c r="S23" s="715">
        <f>F23</f>
        <v>100</v>
      </c>
      <c r="T23" s="714" t="s">
        <v>17</v>
      </c>
      <c r="U23" s="715">
        <f>H23</f>
        <v>100</v>
      </c>
      <c r="V23" s="714" t="s">
        <v>17</v>
      </c>
      <c r="W23" s="715">
        <f>J23</f>
        <v>100</v>
      </c>
      <c r="X23" s="1509"/>
      <c r="Y23" s="351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19"/>
      <c r="Q24" s="1506">
        <f t="shared" ref="Q24:Q34" si="11">B24</f>
        <v>111</v>
      </c>
      <c r="R24" s="714" t="s">
        <v>17</v>
      </c>
      <c r="S24" s="715">
        <f>F24</f>
        <v>100</v>
      </c>
      <c r="T24" s="714" t="s">
        <v>17</v>
      </c>
      <c r="U24" s="715">
        <f>H24</f>
        <v>100</v>
      </c>
      <c r="V24" s="714" t="s">
        <v>17</v>
      </c>
      <c r="W24" s="715">
        <f>J24</f>
        <v>100</v>
      </c>
      <c r="X24" s="1509"/>
      <c r="Y24" s="351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19"/>
      <c r="Q25" s="1497">
        <f t="shared" si="11"/>
        <v>111</v>
      </c>
      <c r="R25" s="710" t="s">
        <v>17</v>
      </c>
      <c r="S25" s="711">
        <f>F25</f>
        <v>100</v>
      </c>
      <c r="T25" s="710" t="s">
        <v>17</v>
      </c>
      <c r="U25" s="711">
        <f>H25</f>
        <v>100</v>
      </c>
      <c r="V25" s="710" t="s">
        <v>17</v>
      </c>
      <c r="W25" s="711">
        <f>J25</f>
        <v>100</v>
      </c>
      <c r="X25" s="712"/>
      <c r="Y25" s="3519"/>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2"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3"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3"/>
      <c r="Q27" s="716" t="str">
        <f t="shared" si="11"/>
        <v>成新率</v>
      </c>
      <c r="R27" s="717" t="s">
        <v>17</v>
      </c>
      <c r="S27" s="718" t="e">
        <f t="shared" si="12"/>
        <v>#N/A</v>
      </c>
      <c r="T27" s="717" t="s">
        <v>17</v>
      </c>
      <c r="U27" s="718" t="e">
        <f t="shared" si="13"/>
        <v>#N/A</v>
      </c>
      <c r="V27" s="717" t="s">
        <v>17</v>
      </c>
      <c r="W27" s="718" t="e">
        <f t="shared" si="14"/>
        <v>#N/A</v>
      </c>
      <c r="X27" s="719"/>
      <c r="Y27" s="3523"/>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3"/>
      <c r="Q28" s="1506" t="str">
        <f t="shared" si="11"/>
        <v>物业等级</v>
      </c>
      <c r="R28" s="714" t="s">
        <v>17</v>
      </c>
      <c r="S28" s="715">
        <f t="shared" si="12"/>
        <v>100</v>
      </c>
      <c r="T28" s="714" t="s">
        <v>17</v>
      </c>
      <c r="U28" s="715">
        <f t="shared" si="13"/>
        <v>100</v>
      </c>
      <c r="V28" s="714" t="s">
        <v>17</v>
      </c>
      <c r="W28" s="715">
        <f t="shared" si="14"/>
        <v>100</v>
      </c>
      <c r="X28" s="1509"/>
      <c r="Y28" s="3523"/>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3"/>
      <c r="Q29" s="1506" t="str">
        <f t="shared" si="11"/>
        <v>有无电梯</v>
      </c>
      <c r="R29" s="714" t="s">
        <v>17</v>
      </c>
      <c r="S29" s="715">
        <f t="shared" si="12"/>
        <v>100</v>
      </c>
      <c r="T29" s="714" t="s">
        <v>17</v>
      </c>
      <c r="U29" s="715">
        <f t="shared" si="13"/>
        <v>100</v>
      </c>
      <c r="V29" s="714" t="s">
        <v>17</v>
      </c>
      <c r="W29" s="715">
        <f t="shared" si="14"/>
        <v>100</v>
      </c>
      <c r="X29" s="1509"/>
      <c r="Y29" s="3523"/>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3"/>
      <c r="Q30" s="1506" t="str">
        <f t="shared" si="11"/>
        <v>建筑面积</v>
      </c>
      <c r="R30" s="714" t="s">
        <v>17</v>
      </c>
      <c r="S30" s="715" t="e">
        <f t="shared" si="12"/>
        <v>#N/A</v>
      </c>
      <c r="T30" s="714" t="s">
        <v>17</v>
      </c>
      <c r="U30" s="715" t="e">
        <f t="shared" si="13"/>
        <v>#N/A</v>
      </c>
      <c r="V30" s="714" t="s">
        <v>17</v>
      </c>
      <c r="W30" s="715" t="e">
        <f t="shared" si="14"/>
        <v>#N/A</v>
      </c>
      <c r="X30" s="1509"/>
      <c r="Y30" s="3523"/>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3"/>
      <c r="Q31" s="1497" t="str">
        <f t="shared" si="11"/>
        <v>是否封闭</v>
      </c>
      <c r="R31" s="710" t="s">
        <v>17</v>
      </c>
      <c r="S31" s="711">
        <f t="shared" si="12"/>
        <v>100</v>
      </c>
      <c r="T31" s="710" t="s">
        <v>17</v>
      </c>
      <c r="U31" s="711">
        <f t="shared" si="13"/>
        <v>100</v>
      </c>
      <c r="V31" s="710" t="s">
        <v>17</v>
      </c>
      <c r="W31" s="711">
        <f t="shared" si="14"/>
        <v>100</v>
      </c>
      <c r="X31" s="712"/>
      <c r="Y31" s="352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3" t="s">
        <v>2324</v>
      </c>
      <c r="Q32" s="1506">
        <f t="shared" si="11"/>
        <v>111</v>
      </c>
      <c r="R32" s="714" t="s">
        <v>17</v>
      </c>
      <c r="S32" s="715">
        <f t="shared" si="12"/>
        <v>100</v>
      </c>
      <c r="T32" s="714" t="s">
        <v>17</v>
      </c>
      <c r="U32" s="715">
        <f t="shared" si="13"/>
        <v>100</v>
      </c>
      <c r="V32" s="714" t="s">
        <v>17</v>
      </c>
      <c r="W32" s="715">
        <f t="shared" si="14"/>
        <v>100</v>
      </c>
      <c r="X32" s="1509"/>
      <c r="Y32" s="3523"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3"/>
      <c r="Q33" s="1506">
        <f t="shared" si="11"/>
        <v>111</v>
      </c>
      <c r="R33" s="714" t="s">
        <v>17</v>
      </c>
      <c r="S33" s="715">
        <f t="shared" si="12"/>
        <v>100</v>
      </c>
      <c r="T33" s="714" t="s">
        <v>17</v>
      </c>
      <c r="U33" s="715">
        <f t="shared" si="13"/>
        <v>100</v>
      </c>
      <c r="V33" s="714" t="s">
        <v>17</v>
      </c>
      <c r="W33" s="715">
        <f t="shared" si="14"/>
        <v>100</v>
      </c>
      <c r="X33" s="1509"/>
      <c r="Y33" s="352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3"/>
      <c r="Q34" s="1506">
        <f t="shared" si="11"/>
        <v>111</v>
      </c>
      <c r="R34" s="714" t="s">
        <v>17</v>
      </c>
      <c r="S34" s="715">
        <f t="shared" si="12"/>
        <v>100</v>
      </c>
      <c r="T34" s="714" t="s">
        <v>17</v>
      </c>
      <c r="U34" s="715">
        <f t="shared" si="13"/>
        <v>100</v>
      </c>
      <c r="V34" s="714" t="s">
        <v>17</v>
      </c>
      <c r="W34" s="715">
        <f t="shared" si="14"/>
        <v>100</v>
      </c>
      <c r="X34" s="1509"/>
      <c r="Y34" s="3523"/>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3"/>
      <c r="M35" s="2924"/>
      <c r="N35" s="2915"/>
      <c r="O35" s="2924"/>
      <c r="P35" s="3516" t="str">
        <f>A35</f>
        <v>成交单价（元/平方米）</v>
      </c>
      <c r="Q35" s="3516"/>
      <c r="R35" s="3517">
        <f>E35</f>
        <v>0</v>
      </c>
      <c r="S35" s="3517"/>
      <c r="T35" s="3517">
        <f>G35</f>
        <v>0</v>
      </c>
      <c r="U35" s="3517"/>
      <c r="V35" s="3517">
        <f>I35</f>
        <v>0</v>
      </c>
      <c r="W35" s="3517"/>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516" t="str">
        <f>A36</f>
        <v>比较价值（元/平方米）</v>
      </c>
      <c r="Q36" s="3516"/>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3"/>
      <c r="M37" s="2924"/>
      <c r="N37" s="2924"/>
      <c r="O37" s="2924"/>
      <c r="P37" s="3513" t="str">
        <f>A37</f>
        <v>估价对象XX用房的比较价值（楼面单价，元/平方米）</v>
      </c>
      <c r="Q37" s="3514"/>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2433</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2307</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2344</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2309</v>
      </c>
      <c r="B49" s="467"/>
      <c r="C49" s="479" t="s">
        <v>2411</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2347</v>
      </c>
      <c r="B51" s="485" t="s">
        <v>2313</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2499</v>
      </c>
      <c r="C63" s="535" t="s">
        <v>2356</v>
      </c>
      <c r="D63" s="535" t="s">
        <v>2357</v>
      </c>
      <c r="E63" s="535" t="s">
        <v>2358</v>
      </c>
      <c r="F63" s="535" t="s">
        <v>2359</v>
      </c>
      <c r="G63" s="535" t="s">
        <v>2360</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2448</v>
      </c>
      <c r="C65" s="616" t="s">
        <v>2434</v>
      </c>
      <c r="D65" s="616" t="s">
        <v>2435</v>
      </c>
      <c r="E65" s="616" t="s">
        <v>2436</v>
      </c>
      <c r="F65" s="616" t="s">
        <v>2437</v>
      </c>
      <c r="G65" s="616" t="s">
        <v>2438</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2368</v>
      </c>
      <c r="C67" s="535" t="s">
        <v>2356</v>
      </c>
      <c r="D67" s="535" t="s">
        <v>2357</v>
      </c>
      <c r="E67" s="535" t="s">
        <v>2358</v>
      </c>
      <c r="F67" s="535" t="s">
        <v>2359</v>
      </c>
      <c r="G67" s="535" t="s">
        <v>2360</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2488</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2322</v>
      </c>
      <c r="B77" s="485" t="s">
        <v>2375</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2492</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2500</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2502</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2404</v>
      </c>
      <c r="B4" s="362"/>
      <c r="C4" s="3499" t="s">
        <v>2405</v>
      </c>
      <c r="D4" s="3500"/>
      <c r="E4" s="3501" t="s">
        <v>2406</v>
      </c>
      <c r="F4" s="3502"/>
      <c r="G4" s="3499" t="s">
        <v>2407</v>
      </c>
      <c r="H4" s="3500"/>
      <c r="I4" s="3499" t="s">
        <v>2408</v>
      </c>
      <c r="J4" s="3500"/>
      <c r="K4" s="567" t="s">
        <v>2409</v>
      </c>
      <c r="L4" s="2914"/>
      <c r="M4" s="2915"/>
      <c r="N4" s="2915"/>
      <c r="O4" s="2915"/>
      <c r="P4" s="3503" t="s">
        <v>2410</v>
      </c>
      <c r="Q4" s="3504"/>
      <c r="R4" s="3486" t="s">
        <v>2406</v>
      </c>
      <c r="S4" s="3487"/>
      <c r="T4" s="3486" t="s">
        <v>2407</v>
      </c>
      <c r="U4" s="3487"/>
      <c r="V4" s="3511" t="s">
        <v>2408</v>
      </c>
      <c r="W4" s="3511"/>
      <c r="X4" s="1509"/>
      <c r="Y4" s="3486" t="s">
        <v>2410</v>
      </c>
      <c r="Z4" s="3487"/>
      <c r="AA4" s="3481" t="s">
        <v>2406</v>
      </c>
      <c r="AB4" s="3482" t="s">
        <v>2407</v>
      </c>
      <c r="AC4" s="3481" t="s">
        <v>2408</v>
      </c>
    </row>
    <row r="5" spans="1:30" ht="15">
      <c r="A5" s="364"/>
      <c r="B5" s="365"/>
      <c r="C5" s="3492" t="s">
        <v>2301</v>
      </c>
      <c r="D5" s="3493"/>
      <c r="E5" s="3490" t="s">
        <v>2302</v>
      </c>
      <c r="F5" s="3491"/>
      <c r="G5" s="3492" t="s">
        <v>2303</v>
      </c>
      <c r="H5" s="3493"/>
      <c r="I5" s="3492" t="s">
        <v>2304</v>
      </c>
      <c r="J5" s="3493"/>
      <c r="K5" s="567"/>
      <c r="L5" s="2914"/>
      <c r="M5" s="2915"/>
      <c r="N5" s="2915"/>
      <c r="O5" s="2915"/>
      <c r="P5" s="3505"/>
      <c r="Q5" s="3506"/>
      <c r="R5" s="3488"/>
      <c r="S5" s="3489"/>
      <c r="T5" s="3488"/>
      <c r="U5" s="3489"/>
      <c r="V5" s="3511"/>
      <c r="W5" s="3511"/>
      <c r="X5" s="1509"/>
      <c r="Y5" s="3488"/>
      <c r="Z5" s="3489"/>
      <c r="AA5" s="3482"/>
      <c r="AB5" s="3482"/>
      <c r="AC5" s="3482"/>
    </row>
    <row r="6" spans="1:30" ht="15.75" thickBot="1">
      <c r="A6" s="366"/>
      <c r="B6" s="367"/>
      <c r="C6" s="3494" t="s">
        <v>2305</v>
      </c>
      <c r="D6" s="3495"/>
      <c r="E6" s="3496" t="s">
        <v>2305</v>
      </c>
      <c r="F6" s="3497"/>
      <c r="G6" s="3494" t="s">
        <v>2305</v>
      </c>
      <c r="H6" s="3495"/>
      <c r="I6" s="3494" t="s">
        <v>2305</v>
      </c>
      <c r="J6" s="3495"/>
      <c r="K6" s="567" t="s">
        <v>2306</v>
      </c>
      <c r="L6" s="2914"/>
      <c r="M6" s="2915"/>
      <c r="N6" s="2915"/>
      <c r="O6" s="2915"/>
      <c r="P6" s="3507"/>
      <c r="Q6" s="3508"/>
      <c r="R6" s="3488"/>
      <c r="S6" s="3489"/>
      <c r="T6" s="3509"/>
      <c r="U6" s="3510"/>
      <c r="V6" s="3511"/>
      <c r="W6" s="3511"/>
      <c r="X6" s="1509"/>
      <c r="Y6" s="3509"/>
      <c r="Z6" s="3510"/>
      <c r="AA6" s="3483"/>
      <c r="AB6" s="3483"/>
      <c r="AC6" s="3483"/>
    </row>
    <row r="7" spans="1:30" s="113" customFormat="1" ht="15.75" thickBot="1">
      <c r="A7" s="368" t="s">
        <v>2307</v>
      </c>
      <c r="B7" s="369"/>
      <c r="C7" s="370">
        <f>'数据-取费表'!B2</f>
        <v>44566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4" t="s">
        <v>2308</v>
      </c>
      <c r="Q7" s="3512"/>
      <c r="R7" s="710" t="s">
        <v>17</v>
      </c>
      <c r="S7" s="711">
        <f t="shared" ref="S7:S15" si="0">F7</f>
        <v>0</v>
      </c>
      <c r="T7" s="710" t="s">
        <v>17</v>
      </c>
      <c r="U7" s="711">
        <f t="shared" ref="U7:U15" si="1">H7</f>
        <v>0</v>
      </c>
      <c r="V7" s="710" t="s">
        <v>17</v>
      </c>
      <c r="W7" s="711">
        <f t="shared" ref="W7:W15" si="2">J7</f>
        <v>0</v>
      </c>
      <c r="X7" s="712"/>
      <c r="Y7" s="3484" t="s">
        <v>2308</v>
      </c>
      <c r="Z7" s="3485"/>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4" t="s">
        <v>2311</v>
      </c>
      <c r="Q8" s="3485"/>
      <c r="R8" s="710" t="s">
        <v>17</v>
      </c>
      <c r="S8" s="711">
        <f t="shared" si="0"/>
        <v>0</v>
      </c>
      <c r="T8" s="710" t="s">
        <v>17</v>
      </c>
      <c r="U8" s="711">
        <f t="shared" si="1"/>
        <v>0</v>
      </c>
      <c r="V8" s="710" t="s">
        <v>17</v>
      </c>
      <c r="W8" s="711">
        <f t="shared" si="2"/>
        <v>0</v>
      </c>
      <c r="X8" s="712"/>
      <c r="Y8" s="3484" t="s">
        <v>2311</v>
      </c>
      <c r="Z8" s="3485"/>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16"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120</v>
      </c>
      <c r="G10" s="422"/>
      <c r="H10" s="132">
        <f>ROUND(100/'数据-取费表'!G16,0)</f>
        <v>120</v>
      </c>
      <c r="I10" s="422"/>
      <c r="J10" s="132">
        <f>ROUND(100/'数据-取费表'!G16,0)</f>
        <v>120</v>
      </c>
      <c r="K10" s="628"/>
      <c r="L10" s="2918"/>
      <c r="M10" s="2919"/>
      <c r="N10" s="2919"/>
      <c r="O10" s="2972"/>
      <c r="P10" s="3516"/>
      <c r="Q10" s="1497" t="str">
        <f t="shared" si="6"/>
        <v>土地使用年限（年）</v>
      </c>
      <c r="R10" s="710" t="s">
        <v>17</v>
      </c>
      <c r="S10" s="711">
        <f t="shared" si="0"/>
        <v>120</v>
      </c>
      <c r="T10" s="710" t="s">
        <v>17</v>
      </c>
      <c r="U10" s="711">
        <f t="shared" si="1"/>
        <v>120</v>
      </c>
      <c r="V10" s="710" t="s">
        <v>17</v>
      </c>
      <c r="W10" s="711">
        <f t="shared" si="2"/>
        <v>120</v>
      </c>
      <c r="X10" s="712"/>
      <c r="Y10" s="3428"/>
      <c r="Z10" s="55" t="str">
        <f t="shared" si="7"/>
        <v>土地使用年限（年）</v>
      </c>
      <c r="AA10" s="713">
        <f t="shared" si="3"/>
        <v>0.83333333333333337</v>
      </c>
      <c r="AB10" s="713">
        <f t="shared" si="4"/>
        <v>0.83333333333333337</v>
      </c>
      <c r="AC10" s="713">
        <f t="shared" si="5"/>
        <v>0.83333333333333337</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16"/>
      <c r="Q12" s="1497" t="str">
        <f t="shared" si="6"/>
        <v>配建</v>
      </c>
      <c r="R12" s="710" t="s">
        <v>17</v>
      </c>
      <c r="S12" s="711">
        <f t="shared" si="0"/>
        <v>100</v>
      </c>
      <c r="T12" s="710" t="s">
        <v>17</v>
      </c>
      <c r="U12" s="711">
        <f t="shared" si="1"/>
        <v>100</v>
      </c>
      <c r="V12" s="710" t="s">
        <v>17</v>
      </c>
      <c r="W12" s="711">
        <f t="shared" si="2"/>
        <v>100</v>
      </c>
      <c r="X12" s="712"/>
      <c r="Y12" s="342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18" t="s">
        <v>2319</v>
      </c>
      <c r="Q15" s="1506" t="str">
        <f t="shared" si="6"/>
        <v>居住社区成熟度</v>
      </c>
      <c r="R15" s="714" t="s">
        <v>17</v>
      </c>
      <c r="S15" s="715">
        <f t="shared" si="0"/>
        <v>100</v>
      </c>
      <c r="T15" s="714" t="s">
        <v>17</v>
      </c>
      <c r="U15" s="715">
        <f t="shared" si="1"/>
        <v>100</v>
      </c>
      <c r="V15" s="714" t="s">
        <v>17</v>
      </c>
      <c r="W15" s="715">
        <f t="shared" si="2"/>
        <v>100</v>
      </c>
      <c r="X15" s="1509"/>
      <c r="Y15" s="3518"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19"/>
      <c r="Q16" s="1506"/>
      <c r="R16" s="714"/>
      <c r="S16" s="715"/>
      <c r="T16" s="714"/>
      <c r="U16" s="715"/>
      <c r="V16" s="714"/>
      <c r="W16" s="715"/>
      <c r="X16" s="1509"/>
      <c r="Y16" s="3519"/>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19"/>
      <c r="Q17" s="1506" t="str">
        <f>B17</f>
        <v>商业繁华度</v>
      </c>
      <c r="R17" s="714" t="s">
        <v>17</v>
      </c>
      <c r="S17" s="715">
        <f>F17</f>
        <v>100</v>
      </c>
      <c r="T17" s="714" t="s">
        <v>17</v>
      </c>
      <c r="U17" s="715">
        <f>H17</f>
        <v>100</v>
      </c>
      <c r="V17" s="714" t="s">
        <v>17</v>
      </c>
      <c r="W17" s="715">
        <f>J17</f>
        <v>100</v>
      </c>
      <c r="X17" s="1509"/>
      <c r="Y17" s="351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19"/>
      <c r="Q18" s="1506"/>
      <c r="R18" s="714"/>
      <c r="S18" s="715"/>
      <c r="T18" s="714"/>
      <c r="U18" s="715"/>
      <c r="V18" s="714"/>
      <c r="W18" s="715"/>
      <c r="X18" s="1509"/>
      <c r="Y18" s="3519"/>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19"/>
      <c r="Q19" s="1506" t="str">
        <f>B19</f>
        <v>办公集聚程度</v>
      </c>
      <c r="R19" s="714" t="s">
        <v>17</v>
      </c>
      <c r="S19" s="715">
        <f>F19</f>
        <v>100</v>
      </c>
      <c r="T19" s="714" t="s">
        <v>17</v>
      </c>
      <c r="U19" s="715">
        <f>H19</f>
        <v>100</v>
      </c>
      <c r="V19" s="714" t="s">
        <v>17</v>
      </c>
      <c r="W19" s="715">
        <f>J19</f>
        <v>100</v>
      </c>
      <c r="X19" s="1509"/>
      <c r="Y19" s="351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19"/>
      <c r="Q20" s="1506"/>
      <c r="R20" s="714"/>
      <c r="S20" s="715"/>
      <c r="T20" s="714"/>
      <c r="U20" s="715"/>
      <c r="V20" s="714"/>
      <c r="W20" s="715"/>
      <c r="X20" s="1509"/>
      <c r="Y20" s="3519"/>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19"/>
      <c r="Q21" s="1506" t="str">
        <f>B21</f>
        <v>交通便捷度</v>
      </c>
      <c r="R21" s="714" t="s">
        <v>17</v>
      </c>
      <c r="S21" s="715">
        <f>F21</f>
        <v>100</v>
      </c>
      <c r="T21" s="714" t="s">
        <v>17</v>
      </c>
      <c r="U21" s="715">
        <f>H21</f>
        <v>100</v>
      </c>
      <c r="V21" s="714" t="s">
        <v>17</v>
      </c>
      <c r="W21" s="715">
        <f>J21</f>
        <v>100</v>
      </c>
      <c r="X21" s="1509"/>
      <c r="Y21" s="351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19"/>
      <c r="Q22" s="1506"/>
      <c r="R22" s="714"/>
      <c r="S22" s="715"/>
      <c r="T22" s="714"/>
      <c r="U22" s="715"/>
      <c r="V22" s="714"/>
      <c r="W22" s="715"/>
      <c r="X22" s="1509"/>
      <c r="Y22" s="3519"/>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19"/>
      <c r="Q23" s="1506" t="str">
        <f t="shared" ref="Q23:Q37" si="8">B23</f>
        <v>区域土地利用方向</v>
      </c>
      <c r="R23" s="714" t="s">
        <v>17</v>
      </c>
      <c r="S23" s="715">
        <f>F23</f>
        <v>100</v>
      </c>
      <c r="T23" s="714" t="s">
        <v>17</v>
      </c>
      <c r="U23" s="715">
        <f>H23</f>
        <v>100</v>
      </c>
      <c r="V23" s="714" t="s">
        <v>17</v>
      </c>
      <c r="W23" s="715">
        <f>J23</f>
        <v>100</v>
      </c>
      <c r="X23" s="1509"/>
      <c r="Y23" s="351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19"/>
      <c r="Q24" s="1506"/>
      <c r="R24" s="714"/>
      <c r="S24" s="715"/>
      <c r="T24" s="714"/>
      <c r="U24" s="715"/>
      <c r="V24" s="714"/>
      <c r="W24" s="715"/>
      <c r="X24" s="1509"/>
      <c r="Y24" s="3519"/>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19"/>
      <c r="Q25" s="1506" t="str">
        <f t="shared" si="8"/>
        <v>自然及人文环境状况</v>
      </c>
      <c r="R25" s="714" t="s">
        <v>17</v>
      </c>
      <c r="S25" s="715">
        <f>F25</f>
        <v>100</v>
      </c>
      <c r="T25" s="714" t="s">
        <v>17</v>
      </c>
      <c r="U25" s="715">
        <f>H25</f>
        <v>100</v>
      </c>
      <c r="V25" s="714" t="s">
        <v>17</v>
      </c>
      <c r="W25" s="715">
        <f>J25</f>
        <v>100</v>
      </c>
      <c r="X25" s="1509"/>
      <c r="Y25" s="351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19"/>
      <c r="Q26" s="1506"/>
      <c r="R26" s="714"/>
      <c r="S26" s="715"/>
      <c r="T26" s="714"/>
      <c r="U26" s="715"/>
      <c r="V26" s="714"/>
      <c r="W26" s="715"/>
      <c r="X26" s="1509"/>
      <c r="Y26" s="3519"/>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19"/>
      <c r="Q27" s="1497" t="str">
        <f t="shared" si="8"/>
        <v>公共配套设施</v>
      </c>
      <c r="R27" s="710" t="s">
        <v>17</v>
      </c>
      <c r="S27" s="711">
        <f>F27</f>
        <v>100</v>
      </c>
      <c r="T27" s="710" t="s">
        <v>17</v>
      </c>
      <c r="U27" s="711">
        <f>H27</f>
        <v>100</v>
      </c>
      <c r="V27" s="710" t="s">
        <v>17</v>
      </c>
      <c r="W27" s="711">
        <f>J27</f>
        <v>100</v>
      </c>
      <c r="X27" s="712"/>
      <c r="Y27" s="351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19"/>
      <c r="Q28" s="1497"/>
      <c r="R28" s="710"/>
      <c r="S28" s="711"/>
      <c r="T28" s="710"/>
      <c r="U28" s="711"/>
      <c r="V28" s="710"/>
      <c r="W28" s="711"/>
      <c r="X28" s="712"/>
      <c r="Y28" s="3519"/>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19"/>
      <c r="Q29" s="1497" t="str">
        <f t="shared" ref="Q29" si="9">B29</f>
        <v>基础设施水平</v>
      </c>
      <c r="R29" s="710" t="s">
        <v>17</v>
      </c>
      <c r="S29" s="711">
        <f>F29</f>
        <v>100</v>
      </c>
      <c r="T29" s="710" t="s">
        <v>17</v>
      </c>
      <c r="U29" s="711">
        <f>H29</f>
        <v>100</v>
      </c>
      <c r="V29" s="710" t="s">
        <v>17</v>
      </c>
      <c r="W29" s="711">
        <f>J29</f>
        <v>100</v>
      </c>
      <c r="X29" s="712"/>
      <c r="Y29" s="351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19"/>
      <c r="Q30" s="1497"/>
      <c r="R30" s="710"/>
      <c r="S30" s="711"/>
      <c r="T30" s="710"/>
      <c r="U30" s="711"/>
      <c r="V30" s="710"/>
      <c r="W30" s="711"/>
      <c r="X30" s="712"/>
      <c r="Y30" s="3519"/>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1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19"/>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19"/>
      <c r="Q32" s="1506" t="str">
        <f t="shared" si="8"/>
        <v>毗邻道路的类型与等级</v>
      </c>
      <c r="R32" s="714" t="s">
        <v>17</v>
      </c>
      <c r="S32" s="715">
        <f t="shared" si="10"/>
        <v>100</v>
      </c>
      <c r="T32" s="714" t="s">
        <v>17</v>
      </c>
      <c r="U32" s="715">
        <f t="shared" si="11"/>
        <v>100</v>
      </c>
      <c r="V32" s="714" t="s">
        <v>17</v>
      </c>
      <c r="W32" s="715">
        <f t="shared" si="12"/>
        <v>100</v>
      </c>
      <c r="X32" s="1509"/>
      <c r="Y32" s="351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19"/>
      <c r="Q33" s="1506"/>
      <c r="R33" s="714"/>
      <c r="S33" s="715"/>
      <c r="T33" s="714"/>
      <c r="U33" s="715"/>
      <c r="V33" s="714"/>
      <c r="W33" s="715"/>
      <c r="X33" s="1509"/>
      <c r="Y33" s="3519"/>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19"/>
      <c r="Q34" s="1506" t="str">
        <f t="shared" si="8"/>
        <v>土地级别</v>
      </c>
      <c r="R34" s="714" t="s">
        <v>17</v>
      </c>
      <c r="S34" s="715">
        <f t="shared" si="10"/>
        <v>100</v>
      </c>
      <c r="T34" s="714" t="s">
        <v>17</v>
      </c>
      <c r="U34" s="715">
        <f t="shared" si="11"/>
        <v>100</v>
      </c>
      <c r="V34" s="714" t="s">
        <v>17</v>
      </c>
      <c r="W34" s="715">
        <f t="shared" si="12"/>
        <v>100</v>
      </c>
      <c r="X34" s="1509"/>
      <c r="Y34" s="351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19"/>
      <c r="Q35" s="1506">
        <f t="shared" si="8"/>
        <v>111</v>
      </c>
      <c r="R35" s="714" t="s">
        <v>17</v>
      </c>
      <c r="S35" s="715">
        <f t="shared" si="10"/>
        <v>100</v>
      </c>
      <c r="T35" s="714" t="s">
        <v>17</v>
      </c>
      <c r="U35" s="715">
        <f t="shared" si="11"/>
        <v>100</v>
      </c>
      <c r="V35" s="714" t="s">
        <v>17</v>
      </c>
      <c r="W35" s="715">
        <f t="shared" si="12"/>
        <v>100</v>
      </c>
      <c r="X35" s="1509"/>
      <c r="Y35" s="351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2" t="s">
        <v>2324</v>
      </c>
      <c r="Q36" s="1506">
        <f t="shared" si="8"/>
        <v>111</v>
      </c>
      <c r="R36" s="714" t="s">
        <v>17</v>
      </c>
      <c r="S36" s="715">
        <f t="shared" si="10"/>
        <v>100</v>
      </c>
      <c r="T36" s="714" t="s">
        <v>17</v>
      </c>
      <c r="U36" s="715">
        <f t="shared" si="11"/>
        <v>100</v>
      </c>
      <c r="V36" s="714" t="s">
        <v>17</v>
      </c>
      <c r="W36" s="715">
        <f t="shared" si="12"/>
        <v>100</v>
      </c>
      <c r="X36" s="1509"/>
      <c r="Y36" s="3523"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3"/>
      <c r="Q37" s="1506">
        <f t="shared" si="8"/>
        <v>111</v>
      </c>
      <c r="R37" s="717" t="s">
        <v>17</v>
      </c>
      <c r="S37" s="718">
        <f t="shared" si="10"/>
        <v>100</v>
      </c>
      <c r="T37" s="717" t="s">
        <v>17</v>
      </c>
      <c r="U37" s="718">
        <f t="shared" si="11"/>
        <v>100</v>
      </c>
      <c r="V37" s="717" t="s">
        <v>17</v>
      </c>
      <c r="W37" s="718">
        <f t="shared" si="12"/>
        <v>100</v>
      </c>
      <c r="X37" s="719"/>
      <c r="Y37" s="3523"/>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3"/>
      <c r="Q38" s="1506" t="str">
        <f>B38</f>
        <v>宗地面积</v>
      </c>
      <c r="R38" s="714" t="s">
        <v>17</v>
      </c>
      <c r="S38" s="715" t="e">
        <f t="shared" si="10"/>
        <v>#N/A</v>
      </c>
      <c r="T38" s="714" t="s">
        <v>17</v>
      </c>
      <c r="U38" s="715" t="e">
        <f t="shared" si="11"/>
        <v>#N/A</v>
      </c>
      <c r="V38" s="714" t="s">
        <v>17</v>
      </c>
      <c r="W38" s="715" t="e">
        <f t="shared" si="12"/>
        <v>#N/A</v>
      </c>
      <c r="X38" s="1509"/>
      <c r="Y38" s="3523"/>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3"/>
      <c r="Q39" s="1506" t="str">
        <f t="shared" ref="Q39:Q45" si="14">B39</f>
        <v>宗地形状</v>
      </c>
      <c r="R39" s="714" t="s">
        <v>17</v>
      </c>
      <c r="S39" s="715">
        <f t="shared" si="10"/>
        <v>100</v>
      </c>
      <c r="T39" s="714" t="s">
        <v>17</v>
      </c>
      <c r="U39" s="715">
        <f t="shared" si="11"/>
        <v>100</v>
      </c>
      <c r="V39" s="714" t="s">
        <v>17</v>
      </c>
      <c r="W39" s="715">
        <f t="shared" si="12"/>
        <v>100</v>
      </c>
      <c r="X39" s="1509"/>
      <c r="Y39" s="3523"/>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3"/>
      <c r="Q40" s="1506" t="str">
        <f t="shared" si="14"/>
        <v>临街宽度及深度</v>
      </c>
      <c r="R40" s="714" t="s">
        <v>17</v>
      </c>
      <c r="S40" s="715">
        <f t="shared" si="10"/>
        <v>100</v>
      </c>
      <c r="T40" s="714" t="s">
        <v>17</v>
      </c>
      <c r="U40" s="715">
        <f t="shared" si="11"/>
        <v>100</v>
      </c>
      <c r="V40" s="714" t="s">
        <v>17</v>
      </c>
      <c r="W40" s="715">
        <f t="shared" si="12"/>
        <v>100</v>
      </c>
      <c r="X40" s="1509"/>
      <c r="Y40" s="3523"/>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3"/>
      <c r="Q41" s="1506" t="str">
        <f t="shared" si="14"/>
        <v>宗地开发程度</v>
      </c>
      <c r="R41" s="710" t="s">
        <v>17</v>
      </c>
      <c r="S41" s="711">
        <f t="shared" si="10"/>
        <v>100</v>
      </c>
      <c r="T41" s="710" t="s">
        <v>17</v>
      </c>
      <c r="U41" s="711">
        <f t="shared" si="11"/>
        <v>100</v>
      </c>
      <c r="V41" s="710" t="s">
        <v>17</v>
      </c>
      <c r="W41" s="711">
        <f t="shared" si="12"/>
        <v>100</v>
      </c>
      <c r="X41" s="712"/>
      <c r="Y41" s="3523"/>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3" t="s">
        <v>2324</v>
      </c>
      <c r="Q42" s="1506" t="str">
        <f t="shared" si="14"/>
        <v>工程地质条件</v>
      </c>
      <c r="R42" s="714" t="s">
        <v>17</v>
      </c>
      <c r="S42" s="715">
        <f t="shared" si="10"/>
        <v>100</v>
      </c>
      <c r="T42" s="714" t="s">
        <v>17</v>
      </c>
      <c r="U42" s="715">
        <f t="shared" si="11"/>
        <v>100</v>
      </c>
      <c r="V42" s="714" t="s">
        <v>17</v>
      </c>
      <c r="W42" s="715">
        <f t="shared" si="12"/>
        <v>100</v>
      </c>
      <c r="X42" s="1509"/>
      <c r="Y42" s="3523"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3"/>
      <c r="Q43" s="1506">
        <f t="shared" si="14"/>
        <v>111</v>
      </c>
      <c r="R43" s="714" t="s">
        <v>17</v>
      </c>
      <c r="S43" s="715">
        <f t="shared" si="10"/>
        <v>100</v>
      </c>
      <c r="T43" s="714" t="s">
        <v>17</v>
      </c>
      <c r="U43" s="715">
        <f t="shared" si="11"/>
        <v>100</v>
      </c>
      <c r="V43" s="714" t="s">
        <v>17</v>
      </c>
      <c r="W43" s="715">
        <f t="shared" si="12"/>
        <v>100</v>
      </c>
      <c r="X43" s="1509"/>
      <c r="Y43" s="352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3"/>
      <c r="Q44" s="1506">
        <f t="shared" si="14"/>
        <v>111</v>
      </c>
      <c r="R44" s="714" t="s">
        <v>17</v>
      </c>
      <c r="S44" s="715">
        <f t="shared" si="10"/>
        <v>100</v>
      </c>
      <c r="T44" s="714" t="s">
        <v>17</v>
      </c>
      <c r="U44" s="715">
        <f t="shared" si="11"/>
        <v>100</v>
      </c>
      <c r="V44" s="714" t="s">
        <v>17</v>
      </c>
      <c r="W44" s="715">
        <f t="shared" si="12"/>
        <v>100</v>
      </c>
      <c r="X44" s="1509"/>
      <c r="Y44" s="352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3"/>
      <c r="Q45" s="1506">
        <f t="shared" si="14"/>
        <v>111</v>
      </c>
      <c r="R45" s="717" t="s">
        <v>17</v>
      </c>
      <c r="S45" s="718">
        <f t="shared" si="10"/>
        <v>100</v>
      </c>
      <c r="T45" s="717" t="s">
        <v>17</v>
      </c>
      <c r="U45" s="718">
        <f t="shared" si="11"/>
        <v>100</v>
      </c>
      <c r="V45" s="717" t="s">
        <v>17</v>
      </c>
      <c r="W45" s="718">
        <f t="shared" si="12"/>
        <v>100</v>
      </c>
      <c r="X45" s="719"/>
      <c r="Y45" s="3523"/>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3"/>
      <c r="M46" s="2924"/>
      <c r="N46" s="2915"/>
      <c r="O46" s="2924"/>
      <c r="P46" s="3516" t="str">
        <f>A46</f>
        <v>成交单价</v>
      </c>
      <c r="Q46" s="3516"/>
      <c r="R46" s="3511">
        <f>E46</f>
        <v>0</v>
      </c>
      <c r="S46" s="3511"/>
      <c r="T46" s="3511">
        <f>G46</f>
        <v>0</v>
      </c>
      <c r="U46" s="3511"/>
      <c r="V46" s="3511">
        <f>I46</f>
        <v>0</v>
      </c>
      <c r="W46" s="3511"/>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516" t="str">
        <f>A47</f>
        <v>比较价值（元/平方米）</v>
      </c>
      <c r="Q47" s="3516"/>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3"/>
      <c r="M48" s="2924"/>
      <c r="N48" s="2924"/>
      <c r="O48" s="2924"/>
      <c r="P48" s="3513" t="str">
        <f>A48</f>
        <v>估价对象XX用房的比较价值（楼面单价，元/平方米）</v>
      </c>
      <c r="Q48" s="3514"/>
      <c r="R48" s="3545" t="e">
        <f>ROUND(IF(D47="简单平均",AVERAGE(R47:W47),R47*F47+T47*H47+V47*J47),0)</f>
        <v>#DIV/0!</v>
      </c>
      <c r="S48" s="3545"/>
      <c r="T48" s="3545"/>
      <c r="U48" s="3545"/>
      <c r="V48" s="3545"/>
      <c r="W48" s="354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2517</v>
      </c>
      <c r="B55" s="641" t="s">
        <v>2518</v>
      </c>
      <c r="C55" s="2139" t="s">
        <v>2519</v>
      </c>
      <c r="D55" s="2140" t="s">
        <v>2520</v>
      </c>
      <c r="E55" s="642" t="s">
        <v>2521</v>
      </c>
      <c r="F55" s="1021" t="s">
        <v>2522</v>
      </c>
      <c r="G55" s="3499" t="s">
        <v>2523</v>
      </c>
      <c r="H55" s="3546"/>
      <c r="I55" s="140" t="s">
        <v>2524</v>
      </c>
      <c r="J55" s="2141">
        <f>项目基本情况!F35</f>
        <v>0</v>
      </c>
      <c r="K55" s="2142" t="s">
        <v>2525</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2526</v>
      </c>
      <c r="B56" s="645" t="e">
        <f>C48</f>
        <v>#DIV/0!</v>
      </c>
      <c r="C56" s="646">
        <v>1</v>
      </c>
      <c r="D56" s="1075">
        <v>1</v>
      </c>
      <c r="E56" s="646">
        <f>'数据-汇总表'!E8+'数据-汇总表'!E9</f>
        <v>37962.699999999997</v>
      </c>
      <c r="F56" s="1017" t="e">
        <f t="shared" ref="F56:F65" si="15">ROUND(B56*E56/10000,0)</f>
        <v>#DIV/0!</v>
      </c>
      <c r="G56" s="3498"/>
      <c r="H56" s="351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2527</v>
      </c>
      <c r="B57" s="224" t="e">
        <f>ROUND($C$48*C57*D57,0)</f>
        <v>#DIV/0!</v>
      </c>
      <c r="C57" s="176">
        <f t="shared" ref="C57:C65" si="16">IF($C$55="北京市系数",I57,J57)</f>
        <v>0.7</v>
      </c>
      <c r="D57" s="1076">
        <v>0.25</v>
      </c>
      <c r="E57" s="650"/>
      <c r="F57" s="1017" t="e">
        <f t="shared" si="15"/>
        <v>#DIV/0!</v>
      </c>
      <c r="G57" s="3547" t="s">
        <v>2528</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2529</v>
      </c>
      <c r="B58" s="224" t="e">
        <f t="shared" ref="B58:B65" si="17">ROUND($C$48*C58*D58,0)</f>
        <v>#DIV/0!</v>
      </c>
      <c r="C58" s="176">
        <f t="shared" si="16"/>
        <v>0.4</v>
      </c>
      <c r="D58" s="1076">
        <v>0.25</v>
      </c>
      <c r="E58" s="650"/>
      <c r="F58" s="1017" t="e">
        <f t="shared" si="15"/>
        <v>#DIV/0!</v>
      </c>
      <c r="G58" s="3547"/>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2530</v>
      </c>
      <c r="B59" s="224" t="e">
        <f t="shared" si="17"/>
        <v>#DIV/0!</v>
      </c>
      <c r="C59" s="176">
        <f t="shared" si="16"/>
        <v>0.28000000000000003</v>
      </c>
      <c r="D59" s="1076">
        <v>0.25</v>
      </c>
      <c r="E59" s="650"/>
      <c r="F59" s="1017" t="e">
        <f t="shared" si="15"/>
        <v>#DIV/0!</v>
      </c>
      <c r="G59" s="3547"/>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2531</v>
      </c>
      <c r="B60" s="224" t="e">
        <f t="shared" si="17"/>
        <v>#DIV/0!</v>
      </c>
      <c r="C60" s="176">
        <f t="shared" si="16"/>
        <v>0.25</v>
      </c>
      <c r="D60" s="1076">
        <v>0.25</v>
      </c>
      <c r="E60" s="650"/>
      <c r="F60" s="1017" t="e">
        <f t="shared" si="15"/>
        <v>#DIV/0!</v>
      </c>
      <c r="G60" s="3547"/>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2538</v>
      </c>
      <c r="B64" s="224" t="e">
        <f t="shared" si="17"/>
        <v>#DIV/0!</v>
      </c>
      <c r="C64" s="176">
        <f t="shared" si="16"/>
        <v>0.2</v>
      </c>
      <c r="D64" s="1076">
        <v>0.25</v>
      </c>
      <c r="E64" s="223">
        <f>'数据-汇总表'!E14</f>
        <v>12905.800000000001</v>
      </c>
      <c r="F64" s="1017" t="e">
        <f t="shared" si="15"/>
        <v>#DIV/0!</v>
      </c>
      <c r="G64" s="2143" t="s">
        <v>2528</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2540</v>
      </c>
      <c r="B66" s="652" t="s">
        <v>28</v>
      </c>
      <c r="C66" s="652" t="s">
        <v>29</v>
      </c>
      <c r="D66" s="652" t="s">
        <v>997</v>
      </c>
      <c r="E66" s="652">
        <f>IF(B46="楼面地价",SUM(E56:E65),'数据-汇总表'!D3)</f>
        <v>50868.5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2433</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2542</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2344</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2309</v>
      </c>
      <c r="B73" s="467"/>
      <c r="C73" s="479" t="s">
        <v>2411</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2347</v>
      </c>
      <c r="B75" s="485" t="s">
        <v>2313</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2316</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2318</v>
      </c>
      <c r="B88" s="485" t="s">
        <v>2355</v>
      </c>
      <c r="C88" s="530" t="s">
        <v>2356</v>
      </c>
      <c r="D88" s="530" t="s">
        <v>2357</v>
      </c>
      <c r="E88" s="530" t="s">
        <v>2358</v>
      </c>
      <c r="F88" s="530" t="s">
        <v>2359</v>
      </c>
      <c r="G88" s="530" t="s">
        <v>2360</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2543</v>
      </c>
      <c r="C90" s="535" t="s">
        <v>2356</v>
      </c>
      <c r="D90" s="535" t="s">
        <v>2357</v>
      </c>
      <c r="E90" s="535" t="s">
        <v>2358</v>
      </c>
      <c r="F90" s="535" t="s">
        <v>2359</v>
      </c>
      <c r="G90" s="535" t="s">
        <v>2360</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2456</v>
      </c>
      <c r="C92" s="535" t="s">
        <v>2356</v>
      </c>
      <c r="D92" s="535" t="s">
        <v>2357</v>
      </c>
      <c r="E92" s="535" t="s">
        <v>2358</v>
      </c>
      <c r="F92" s="535" t="s">
        <v>2359</v>
      </c>
      <c r="G92" s="535" t="s">
        <v>2360</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2361</v>
      </c>
      <c r="C94" s="535" t="s">
        <v>2356</v>
      </c>
      <c r="D94" s="535" t="s">
        <v>2357</v>
      </c>
      <c r="E94" s="535" t="s">
        <v>2358</v>
      </c>
      <c r="F94" s="535" t="s">
        <v>2359</v>
      </c>
      <c r="G94" s="535" t="s">
        <v>2360</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2450</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2509</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2551</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2552</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2553</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2554</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9" t="s">
        <v>2405</v>
      </c>
      <c r="D4" s="3500"/>
      <c r="E4" s="3501" t="s">
        <v>2406</v>
      </c>
      <c r="F4" s="3502"/>
      <c r="G4" s="3499" t="s">
        <v>2407</v>
      </c>
      <c r="H4" s="3500"/>
      <c r="I4" s="3499" t="s">
        <v>2408</v>
      </c>
      <c r="J4" s="3500"/>
      <c r="K4" s="567" t="s">
        <v>2409</v>
      </c>
      <c r="L4" s="2914"/>
      <c r="M4" s="2915"/>
      <c r="N4" s="2915"/>
      <c r="O4" s="2915"/>
      <c r="P4" s="3503" t="s">
        <v>2410</v>
      </c>
      <c r="Q4" s="3504"/>
      <c r="R4" s="3486" t="s">
        <v>2406</v>
      </c>
      <c r="S4" s="3487"/>
      <c r="T4" s="3486" t="s">
        <v>2407</v>
      </c>
      <c r="U4" s="3487"/>
      <c r="V4" s="3511" t="s">
        <v>2408</v>
      </c>
      <c r="W4" s="3511"/>
      <c r="X4" s="1509"/>
      <c r="Y4" s="3486" t="s">
        <v>2410</v>
      </c>
      <c r="Z4" s="3487"/>
      <c r="AA4" s="3481" t="s">
        <v>2406</v>
      </c>
      <c r="AB4" s="3482" t="s">
        <v>2407</v>
      </c>
      <c r="AC4" s="3481" t="s">
        <v>2408</v>
      </c>
    </row>
    <row r="5" spans="1:29" ht="15">
      <c r="A5" s="364"/>
      <c r="B5" s="365"/>
      <c r="C5" s="3492" t="s">
        <v>2301</v>
      </c>
      <c r="D5" s="3493"/>
      <c r="E5" s="3490" t="s">
        <v>2302</v>
      </c>
      <c r="F5" s="3491"/>
      <c r="G5" s="3492" t="s">
        <v>2303</v>
      </c>
      <c r="H5" s="3493"/>
      <c r="I5" s="3492" t="s">
        <v>2304</v>
      </c>
      <c r="J5" s="3493"/>
      <c r="K5" s="567"/>
      <c r="L5" s="2914"/>
      <c r="M5" s="2915"/>
      <c r="N5" s="2915"/>
      <c r="O5" s="2915"/>
      <c r="P5" s="3505"/>
      <c r="Q5" s="3506"/>
      <c r="R5" s="3488"/>
      <c r="S5" s="3489"/>
      <c r="T5" s="3488"/>
      <c r="U5" s="3489"/>
      <c r="V5" s="3511"/>
      <c r="W5" s="3511"/>
      <c r="X5" s="1509"/>
      <c r="Y5" s="3488"/>
      <c r="Z5" s="3489"/>
      <c r="AA5" s="3482"/>
      <c r="AB5" s="3482"/>
      <c r="AC5" s="3482"/>
    </row>
    <row r="6" spans="1:29" ht="15.75" thickBot="1">
      <c r="A6" s="366"/>
      <c r="B6" s="367"/>
      <c r="C6" s="3548" t="s">
        <v>2556</v>
      </c>
      <c r="D6" s="3549"/>
      <c r="E6" s="3550" t="s">
        <v>2556</v>
      </c>
      <c r="F6" s="3551"/>
      <c r="G6" s="3548" t="s">
        <v>2556</v>
      </c>
      <c r="H6" s="3549"/>
      <c r="I6" s="3548" t="s">
        <v>2556</v>
      </c>
      <c r="J6" s="3549"/>
      <c r="K6" s="567" t="s">
        <v>2306</v>
      </c>
      <c r="L6" s="2914"/>
      <c r="M6" s="2915"/>
      <c r="N6" s="2915"/>
      <c r="O6" s="2915"/>
      <c r="P6" s="3507"/>
      <c r="Q6" s="3508"/>
      <c r="R6" s="3488"/>
      <c r="S6" s="3489"/>
      <c r="T6" s="3509"/>
      <c r="U6" s="3510"/>
      <c r="V6" s="3511"/>
      <c r="W6" s="3511"/>
      <c r="X6" s="1509"/>
      <c r="Y6" s="3509"/>
      <c r="Z6" s="3510"/>
      <c r="AA6" s="3483"/>
      <c r="AB6" s="3483"/>
      <c r="AC6" s="3483"/>
    </row>
    <row r="7" spans="1:29" s="113" customFormat="1" ht="15.75" thickBot="1">
      <c r="A7" s="368" t="s">
        <v>2307</v>
      </c>
      <c r="B7" s="369"/>
      <c r="C7" s="370">
        <f>'数据-取费表'!B2</f>
        <v>44566</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4" t="s">
        <v>2308</v>
      </c>
      <c r="Q7" s="3512"/>
      <c r="R7" s="710" t="s">
        <v>17</v>
      </c>
      <c r="S7" s="711">
        <f t="shared" ref="S7:S15" si="0">F7</f>
        <v>0</v>
      </c>
      <c r="T7" s="710" t="s">
        <v>17</v>
      </c>
      <c r="U7" s="711">
        <f t="shared" ref="U7:U15" si="1">H7</f>
        <v>0</v>
      </c>
      <c r="V7" s="710" t="s">
        <v>17</v>
      </c>
      <c r="W7" s="711">
        <f t="shared" ref="W7:W15" si="2">J7</f>
        <v>0</v>
      </c>
      <c r="X7" s="712"/>
      <c r="Y7" s="3484" t="s">
        <v>2308</v>
      </c>
      <c r="Z7" s="3485"/>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4" t="s">
        <v>2311</v>
      </c>
      <c r="Q8" s="3485"/>
      <c r="R8" s="710" t="s">
        <v>17</v>
      </c>
      <c r="S8" s="711">
        <f t="shared" si="0"/>
        <v>0</v>
      </c>
      <c r="T8" s="710" t="s">
        <v>17</v>
      </c>
      <c r="U8" s="711">
        <f t="shared" si="1"/>
        <v>0</v>
      </c>
      <c r="V8" s="710" t="s">
        <v>17</v>
      </c>
      <c r="W8" s="711">
        <f t="shared" si="2"/>
        <v>0</v>
      </c>
      <c r="X8" s="712"/>
      <c r="Y8" s="3484" t="s">
        <v>2311</v>
      </c>
      <c r="Z8" s="3485"/>
      <c r="AA8" s="713" t="e">
        <f t="shared" ref="AA8:AA40" si="3">D8/F8</f>
        <v>#DIV/0!</v>
      </c>
      <c r="AB8" s="713" t="e">
        <f t="shared" ref="AB8:AB40" si="4">D8/H8</f>
        <v>#DIV/0!</v>
      </c>
      <c r="AC8" s="713" t="e">
        <f t="shared" ref="AC8:AC40" si="5">D8/J8</f>
        <v>#DIV/0!</v>
      </c>
    </row>
    <row r="9" spans="1:29" s="113" customFormat="1">
      <c r="A9" s="375" t="s">
        <v>2312</v>
      </c>
      <c r="B9" s="67" t="s">
        <v>2313</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16" t="s">
        <v>2314</v>
      </c>
      <c r="Q9" s="1497" t="str">
        <f t="shared" ref="Q9:Q15" si="6">B9</f>
        <v>用途</v>
      </c>
      <c r="R9" s="710" t="s">
        <v>17</v>
      </c>
      <c r="S9" s="711">
        <f t="shared" si="0"/>
        <v>100</v>
      </c>
      <c r="T9" s="710" t="s">
        <v>17</v>
      </c>
      <c r="U9" s="711">
        <f t="shared" si="1"/>
        <v>100</v>
      </c>
      <c r="V9" s="710" t="s">
        <v>17</v>
      </c>
      <c r="W9" s="711">
        <f t="shared" si="2"/>
        <v>100</v>
      </c>
      <c r="X9" s="712"/>
      <c r="Y9" s="3428"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120</v>
      </c>
      <c r="G10" s="391"/>
      <c r="H10" s="132">
        <f>ROUND(100/'数据-取费表'!G16,0)</f>
        <v>120</v>
      </c>
      <c r="I10" s="391"/>
      <c r="J10" s="132">
        <f>ROUND(100/'数据-取费表'!G16,0)</f>
        <v>120</v>
      </c>
      <c r="K10" s="628"/>
      <c r="L10" s="2918"/>
      <c r="M10" s="2919"/>
      <c r="N10" s="2919"/>
      <c r="O10" s="2972"/>
      <c r="P10" s="3516"/>
      <c r="Q10" s="1497" t="str">
        <f t="shared" si="6"/>
        <v>土地使用年限（年）</v>
      </c>
      <c r="R10" s="710" t="s">
        <v>17</v>
      </c>
      <c r="S10" s="711">
        <f t="shared" si="0"/>
        <v>120</v>
      </c>
      <c r="T10" s="710" t="s">
        <v>17</v>
      </c>
      <c r="U10" s="711">
        <f t="shared" si="1"/>
        <v>120</v>
      </c>
      <c r="V10" s="710" t="s">
        <v>17</v>
      </c>
      <c r="W10" s="711">
        <f t="shared" si="2"/>
        <v>120</v>
      </c>
      <c r="X10" s="712"/>
      <c r="Y10" s="3428"/>
      <c r="Z10" s="55" t="str">
        <f t="shared" si="7"/>
        <v>土地使用年限（年）</v>
      </c>
      <c r="AA10" s="713">
        <f t="shared" si="3"/>
        <v>0.83333333333333337</v>
      </c>
      <c r="AB10" s="713">
        <f t="shared" si="4"/>
        <v>0.83333333333333337</v>
      </c>
      <c r="AC10" s="713">
        <f t="shared" si="5"/>
        <v>0.83333333333333337</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16"/>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16"/>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16"/>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16"/>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2318</v>
      </c>
      <c r="B15" s="585" t="s">
        <v>2557</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18" t="s">
        <v>2319</v>
      </c>
      <c r="Q15" s="1506" t="str">
        <f t="shared" si="6"/>
        <v>产业集聚程度</v>
      </c>
      <c r="R15" s="714" t="s">
        <v>17</v>
      </c>
      <c r="S15" s="715">
        <f t="shared" si="0"/>
        <v>100</v>
      </c>
      <c r="T15" s="714" t="s">
        <v>17</v>
      </c>
      <c r="U15" s="715">
        <f t="shared" si="1"/>
        <v>100</v>
      </c>
      <c r="V15" s="714" t="s">
        <v>17</v>
      </c>
      <c r="W15" s="715">
        <f t="shared" si="2"/>
        <v>100</v>
      </c>
      <c r="X15" s="1509"/>
      <c r="Y15" s="3518" t="s">
        <v>2319</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19"/>
      <c r="Q16" s="1506"/>
      <c r="R16" s="714"/>
      <c r="S16" s="715"/>
      <c r="T16" s="714"/>
      <c r="U16" s="715"/>
      <c r="V16" s="714"/>
      <c r="W16" s="715"/>
      <c r="X16" s="1509"/>
      <c r="Y16" s="3519"/>
      <c r="Z16" s="1510"/>
      <c r="AA16" s="1507">
        <v>1</v>
      </c>
      <c r="AB16" s="1507">
        <v>1</v>
      </c>
      <c r="AC16" s="1507">
        <v>1</v>
      </c>
    </row>
    <row r="17" spans="1:29" ht="85.5">
      <c r="A17" s="387"/>
      <c r="B17" s="587" t="s">
        <v>2468</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19"/>
      <c r="Q17" s="1506" t="str">
        <f>B17</f>
        <v>交通便捷度</v>
      </c>
      <c r="R17" s="714" t="s">
        <v>17</v>
      </c>
      <c r="S17" s="715">
        <f>F17</f>
        <v>100</v>
      </c>
      <c r="T17" s="714" t="s">
        <v>17</v>
      </c>
      <c r="U17" s="715">
        <f>H17</f>
        <v>100</v>
      </c>
      <c r="V17" s="714" t="s">
        <v>17</v>
      </c>
      <c r="W17" s="715">
        <f>J17</f>
        <v>100</v>
      </c>
      <c r="X17" s="1509"/>
      <c r="Y17" s="351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19"/>
      <c r="Q18" s="1506"/>
      <c r="R18" s="714"/>
      <c r="S18" s="715"/>
      <c r="T18" s="714"/>
      <c r="U18" s="715"/>
      <c r="V18" s="714"/>
      <c r="W18" s="715"/>
      <c r="X18" s="1509"/>
      <c r="Y18" s="3519"/>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19"/>
      <c r="Q19" s="1506" t="str">
        <f t="shared" ref="Q19:Q33" si="8">B19</f>
        <v>区域土地利用方向</v>
      </c>
      <c r="R19" s="714" t="s">
        <v>17</v>
      </c>
      <c r="S19" s="715">
        <f>F19</f>
        <v>100</v>
      </c>
      <c r="T19" s="714" t="s">
        <v>17</v>
      </c>
      <c r="U19" s="715">
        <f>H19</f>
        <v>100</v>
      </c>
      <c r="V19" s="714" t="s">
        <v>17</v>
      </c>
      <c r="W19" s="715">
        <f>J19</f>
        <v>100</v>
      </c>
      <c r="X19" s="1509"/>
      <c r="Y19" s="351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19"/>
      <c r="Q20" s="1506"/>
      <c r="R20" s="714"/>
      <c r="S20" s="715"/>
      <c r="T20" s="714"/>
      <c r="U20" s="715"/>
      <c r="V20" s="714"/>
      <c r="W20" s="715"/>
      <c r="X20" s="1509"/>
      <c r="Y20" s="3519"/>
      <c r="Z20" s="1510"/>
      <c r="AA20" s="1507"/>
      <c r="AB20" s="1507"/>
      <c r="AC20" s="1507"/>
    </row>
    <row r="21" spans="1:29" ht="71.25">
      <c r="A21" s="364"/>
      <c r="B21" s="587" t="s">
        <v>2558</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19"/>
      <c r="Q21" s="1506" t="str">
        <f t="shared" si="8"/>
        <v>环境状况</v>
      </c>
      <c r="R21" s="714" t="s">
        <v>17</v>
      </c>
      <c r="S21" s="715">
        <f>F21</f>
        <v>100</v>
      </c>
      <c r="T21" s="714" t="s">
        <v>17</v>
      </c>
      <c r="U21" s="715">
        <f>H21</f>
        <v>100</v>
      </c>
      <c r="V21" s="714" t="s">
        <v>17</v>
      </c>
      <c r="W21" s="715">
        <f>J21</f>
        <v>100</v>
      </c>
      <c r="X21" s="1509"/>
      <c r="Y21" s="351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19"/>
      <c r="Q22" s="1506"/>
      <c r="R22" s="714"/>
      <c r="S22" s="715"/>
      <c r="T22" s="714"/>
      <c r="U22" s="715"/>
      <c r="V22" s="714"/>
      <c r="W22" s="715"/>
      <c r="X22" s="1509"/>
      <c r="Y22" s="3519"/>
      <c r="Z22" s="1510"/>
      <c r="AA22" s="1507">
        <v>1</v>
      </c>
      <c r="AB22" s="1507">
        <v>1</v>
      </c>
      <c r="AC22" s="1507">
        <v>1</v>
      </c>
    </row>
    <row r="23" spans="1:29" s="113" customFormat="1" ht="42.75">
      <c r="A23" s="605"/>
      <c r="B23" s="589" t="s">
        <v>2413</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19"/>
      <c r="Q23" s="1497" t="str">
        <f t="shared" si="8"/>
        <v>公共配套设施</v>
      </c>
      <c r="R23" s="710" t="s">
        <v>17</v>
      </c>
      <c r="S23" s="711">
        <f>F23</f>
        <v>100</v>
      </c>
      <c r="T23" s="710" t="s">
        <v>17</v>
      </c>
      <c r="U23" s="711">
        <f>H23</f>
        <v>100</v>
      </c>
      <c r="V23" s="710" t="s">
        <v>17</v>
      </c>
      <c r="W23" s="711">
        <f>J23</f>
        <v>100</v>
      </c>
      <c r="X23" s="712"/>
      <c r="Y23" s="351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19"/>
      <c r="Q24" s="1497"/>
      <c r="R24" s="710"/>
      <c r="S24" s="711"/>
      <c r="T24" s="710"/>
      <c r="U24" s="711"/>
      <c r="V24" s="710"/>
      <c r="W24" s="711"/>
      <c r="X24" s="712"/>
      <c r="Y24" s="3519"/>
      <c r="Z24" s="55"/>
      <c r="AA24" s="713">
        <v>1</v>
      </c>
      <c r="AB24" s="713">
        <v>1</v>
      </c>
      <c r="AC24" s="713">
        <v>1</v>
      </c>
    </row>
    <row r="25" spans="1:29" s="113" customFormat="1" ht="28.5">
      <c r="A25" s="605"/>
      <c r="B25" s="589" t="s">
        <v>2414</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19"/>
      <c r="Q25" s="1497" t="str">
        <f t="shared" ref="Q25" si="9">B25</f>
        <v>基础设施水平</v>
      </c>
      <c r="R25" s="710" t="s">
        <v>17</v>
      </c>
      <c r="S25" s="711">
        <f>F25</f>
        <v>100</v>
      </c>
      <c r="T25" s="710" t="s">
        <v>17</v>
      </c>
      <c r="U25" s="711">
        <f>H25</f>
        <v>100</v>
      </c>
      <c r="V25" s="710" t="s">
        <v>17</v>
      </c>
      <c r="W25" s="711">
        <f>J25</f>
        <v>100</v>
      </c>
      <c r="X25" s="712"/>
      <c r="Y25" s="351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19"/>
      <c r="Q26" s="1497"/>
      <c r="R26" s="710"/>
      <c r="S26" s="711"/>
      <c r="T26" s="710"/>
      <c r="U26" s="711"/>
      <c r="V26" s="710"/>
      <c r="W26" s="711"/>
      <c r="X26" s="712"/>
      <c r="Y26" s="3519"/>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1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19"/>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19"/>
      <c r="Q28" s="1506" t="str">
        <f t="shared" si="8"/>
        <v>毗邻道路的类型与等级</v>
      </c>
      <c r="R28" s="714" t="s">
        <v>17</v>
      </c>
      <c r="S28" s="715">
        <f t="shared" si="10"/>
        <v>100</v>
      </c>
      <c r="T28" s="714" t="s">
        <v>17</v>
      </c>
      <c r="U28" s="715">
        <f t="shared" si="11"/>
        <v>100</v>
      </c>
      <c r="V28" s="714" t="s">
        <v>17</v>
      </c>
      <c r="W28" s="715">
        <f t="shared" si="12"/>
        <v>100</v>
      </c>
      <c r="X28" s="1509"/>
      <c r="Y28" s="351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19"/>
      <c r="Q29" s="1506"/>
      <c r="R29" s="714"/>
      <c r="S29" s="715"/>
      <c r="T29" s="714"/>
      <c r="U29" s="715"/>
      <c r="V29" s="714"/>
      <c r="W29" s="715"/>
      <c r="X29" s="1509"/>
      <c r="Y29" s="3519"/>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19"/>
      <c r="Q30" s="1506" t="str">
        <f t="shared" si="8"/>
        <v>土地级别</v>
      </c>
      <c r="R30" s="714" t="s">
        <v>17</v>
      </c>
      <c r="S30" s="715">
        <f t="shared" si="10"/>
        <v>100</v>
      </c>
      <c r="T30" s="714" t="s">
        <v>17</v>
      </c>
      <c r="U30" s="715">
        <f t="shared" si="11"/>
        <v>100</v>
      </c>
      <c r="V30" s="714" t="s">
        <v>17</v>
      </c>
      <c r="W30" s="715">
        <f t="shared" si="12"/>
        <v>100</v>
      </c>
      <c r="X30" s="1509"/>
      <c r="Y30" s="351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19"/>
      <c r="Q31" s="1506">
        <f t="shared" si="8"/>
        <v>111</v>
      </c>
      <c r="R31" s="714" t="s">
        <v>17</v>
      </c>
      <c r="S31" s="715">
        <f t="shared" si="10"/>
        <v>100</v>
      </c>
      <c r="T31" s="714" t="s">
        <v>17</v>
      </c>
      <c r="U31" s="715">
        <f t="shared" si="11"/>
        <v>100</v>
      </c>
      <c r="V31" s="714" t="s">
        <v>17</v>
      </c>
      <c r="W31" s="715">
        <f t="shared" si="12"/>
        <v>100</v>
      </c>
      <c r="X31" s="1509"/>
      <c r="Y31" s="351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2" t="s">
        <v>2324</v>
      </c>
      <c r="Q32" s="1506">
        <f t="shared" si="8"/>
        <v>111</v>
      </c>
      <c r="R32" s="714" t="s">
        <v>17</v>
      </c>
      <c r="S32" s="715">
        <f t="shared" si="10"/>
        <v>100</v>
      </c>
      <c r="T32" s="714" t="s">
        <v>17</v>
      </c>
      <c r="U32" s="715">
        <f t="shared" si="11"/>
        <v>100</v>
      </c>
      <c r="V32" s="714" t="s">
        <v>17</v>
      </c>
      <c r="W32" s="715">
        <f t="shared" si="12"/>
        <v>100</v>
      </c>
      <c r="X32" s="1509"/>
      <c r="Y32" s="3523"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3"/>
      <c r="Q33" s="1506">
        <f t="shared" si="8"/>
        <v>111</v>
      </c>
      <c r="R33" s="717" t="s">
        <v>17</v>
      </c>
      <c r="S33" s="718">
        <f t="shared" si="10"/>
        <v>100</v>
      </c>
      <c r="T33" s="717" t="s">
        <v>17</v>
      </c>
      <c r="U33" s="718">
        <f t="shared" si="11"/>
        <v>100</v>
      </c>
      <c r="V33" s="717" t="s">
        <v>17</v>
      </c>
      <c r="W33" s="718">
        <f t="shared" si="12"/>
        <v>100</v>
      </c>
      <c r="X33" s="719"/>
      <c r="Y33" s="3523"/>
      <c r="Z33" s="720">
        <f t="shared" si="13"/>
        <v>111</v>
      </c>
      <c r="AA33" s="1507">
        <f t="shared" si="3"/>
        <v>1</v>
      </c>
      <c r="AB33" s="1507">
        <f t="shared" si="4"/>
        <v>1</v>
      </c>
      <c r="AC33" s="1507">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3"/>
      <c r="Q34" s="1506" t="str">
        <f>B34</f>
        <v>宗地面积</v>
      </c>
      <c r="R34" s="714" t="s">
        <v>17</v>
      </c>
      <c r="S34" s="715" t="e">
        <f t="shared" si="10"/>
        <v>#N/A</v>
      </c>
      <c r="T34" s="714" t="s">
        <v>17</v>
      </c>
      <c r="U34" s="715" t="e">
        <f t="shared" si="11"/>
        <v>#N/A</v>
      </c>
      <c r="V34" s="714" t="s">
        <v>17</v>
      </c>
      <c r="W34" s="715" t="e">
        <f t="shared" si="12"/>
        <v>#N/A</v>
      </c>
      <c r="X34" s="1509"/>
      <c r="Y34" s="3523"/>
      <c r="Z34" s="1510" t="str">
        <f t="shared" si="13"/>
        <v>宗地面积</v>
      </c>
      <c r="AA34" s="1507" t="e">
        <f t="shared" si="3"/>
        <v>#N/A</v>
      </c>
      <c r="AB34" s="1507" t="e">
        <f t="shared" si="4"/>
        <v>#N/A</v>
      </c>
      <c r="AC34" s="1507" t="e">
        <f t="shared" si="5"/>
        <v>#N/A</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3"/>
      <c r="Q35" s="1506" t="str">
        <f t="shared" ref="Q35:Q40" si="14">B35</f>
        <v>宗地形状</v>
      </c>
      <c r="R35" s="714" t="s">
        <v>17</v>
      </c>
      <c r="S35" s="715">
        <f t="shared" si="10"/>
        <v>100</v>
      </c>
      <c r="T35" s="714" t="s">
        <v>17</v>
      </c>
      <c r="U35" s="715">
        <f t="shared" si="11"/>
        <v>100</v>
      </c>
      <c r="V35" s="714" t="s">
        <v>17</v>
      </c>
      <c r="W35" s="715">
        <f t="shared" si="12"/>
        <v>100</v>
      </c>
      <c r="X35" s="1509"/>
      <c r="Y35" s="3523"/>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3"/>
      <c r="Q36" s="1506" t="str">
        <f t="shared" si="14"/>
        <v>宗地开发程度</v>
      </c>
      <c r="R36" s="710" t="s">
        <v>17</v>
      </c>
      <c r="S36" s="711">
        <f t="shared" si="10"/>
        <v>100</v>
      </c>
      <c r="T36" s="710" t="s">
        <v>17</v>
      </c>
      <c r="U36" s="711">
        <f t="shared" si="11"/>
        <v>100</v>
      </c>
      <c r="V36" s="710" t="s">
        <v>17</v>
      </c>
      <c r="W36" s="711">
        <f t="shared" si="12"/>
        <v>100</v>
      </c>
      <c r="X36" s="712"/>
      <c r="Y36" s="3523"/>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3" t="s">
        <v>2324</v>
      </c>
      <c r="Q37" s="1506" t="str">
        <f t="shared" si="14"/>
        <v>工程地质条件</v>
      </c>
      <c r="R37" s="714" t="s">
        <v>17</v>
      </c>
      <c r="S37" s="715">
        <f t="shared" si="10"/>
        <v>100</v>
      </c>
      <c r="T37" s="714" t="s">
        <v>17</v>
      </c>
      <c r="U37" s="715">
        <f t="shared" si="11"/>
        <v>100</v>
      </c>
      <c r="V37" s="714" t="s">
        <v>17</v>
      </c>
      <c r="W37" s="715">
        <f t="shared" si="12"/>
        <v>100</v>
      </c>
      <c r="X37" s="1509"/>
      <c r="Y37" s="3523"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3"/>
      <c r="Q38" s="1506">
        <f t="shared" si="14"/>
        <v>111</v>
      </c>
      <c r="R38" s="714" t="s">
        <v>17</v>
      </c>
      <c r="S38" s="715">
        <f t="shared" si="10"/>
        <v>100</v>
      </c>
      <c r="T38" s="714" t="s">
        <v>17</v>
      </c>
      <c r="U38" s="715">
        <f t="shared" si="11"/>
        <v>100</v>
      </c>
      <c r="V38" s="714" t="s">
        <v>17</v>
      </c>
      <c r="W38" s="715">
        <f t="shared" si="12"/>
        <v>100</v>
      </c>
      <c r="X38" s="1509"/>
      <c r="Y38" s="352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3"/>
      <c r="Q39" s="1506">
        <f t="shared" si="14"/>
        <v>111</v>
      </c>
      <c r="R39" s="714" t="s">
        <v>17</v>
      </c>
      <c r="S39" s="715">
        <f t="shared" si="10"/>
        <v>100</v>
      </c>
      <c r="T39" s="714" t="s">
        <v>17</v>
      </c>
      <c r="U39" s="715">
        <f t="shared" si="11"/>
        <v>100</v>
      </c>
      <c r="V39" s="714" t="s">
        <v>17</v>
      </c>
      <c r="W39" s="715">
        <f t="shared" si="12"/>
        <v>100</v>
      </c>
      <c r="X39" s="1509"/>
      <c r="Y39" s="352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3"/>
      <c r="Q40" s="1506">
        <f t="shared" si="14"/>
        <v>111</v>
      </c>
      <c r="R40" s="717" t="s">
        <v>17</v>
      </c>
      <c r="S40" s="718">
        <f t="shared" si="10"/>
        <v>100</v>
      </c>
      <c r="T40" s="717" t="s">
        <v>17</v>
      </c>
      <c r="U40" s="718">
        <f t="shared" si="11"/>
        <v>100</v>
      </c>
      <c r="V40" s="717" t="s">
        <v>17</v>
      </c>
      <c r="W40" s="718">
        <f t="shared" si="12"/>
        <v>100</v>
      </c>
      <c r="X40" s="719"/>
      <c r="Y40" s="3523"/>
      <c r="Z40" s="720">
        <f t="shared" si="13"/>
        <v>111</v>
      </c>
      <c r="AA40" s="1507">
        <f t="shared" si="3"/>
        <v>1</v>
      </c>
      <c r="AB40" s="1507">
        <f t="shared" si="4"/>
        <v>1</v>
      </c>
      <c r="AC40" s="1507">
        <f t="shared" si="5"/>
        <v>1</v>
      </c>
    </row>
    <row r="41" spans="1:31" ht="15">
      <c r="A41" s="438" t="s">
        <v>2479</v>
      </c>
      <c r="B41" s="2138" t="s">
        <v>2559</v>
      </c>
      <c r="C41" s="638" t="s">
        <v>1</v>
      </c>
      <c r="D41" s="440"/>
      <c r="E41" s="441"/>
      <c r="F41" s="442"/>
      <c r="G41" s="443"/>
      <c r="H41" s="444"/>
      <c r="I41" s="441"/>
      <c r="J41" s="444"/>
      <c r="K41" s="723"/>
      <c r="L41" s="2923"/>
      <c r="M41" s="2915"/>
      <c r="N41" s="2915"/>
      <c r="O41" s="2924"/>
      <c r="P41" s="3516" t="str">
        <f>A41</f>
        <v>成交单价</v>
      </c>
      <c r="Q41" s="3516"/>
      <c r="R41" s="3511">
        <f>E41</f>
        <v>0</v>
      </c>
      <c r="S41" s="3511"/>
      <c r="T41" s="3511">
        <f>G41</f>
        <v>0</v>
      </c>
      <c r="U41" s="3511"/>
      <c r="V41" s="3511">
        <f>I41</f>
        <v>0</v>
      </c>
      <c r="W41" s="3511"/>
      <c r="X41" s="699"/>
      <c r="Y41" s="721"/>
      <c r="Z41" s="699"/>
      <c r="AA41" s="699"/>
      <c r="AB41" s="699"/>
      <c r="AC41" s="699"/>
    </row>
    <row r="42" spans="1:31" ht="15.75" thickBot="1">
      <c r="A42" s="445" t="s">
        <v>2428</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516" t="str">
        <f>A42</f>
        <v>比较价值（元/平方米）</v>
      </c>
      <c r="Q42" s="3516"/>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3"/>
      <c r="M43" s="2915"/>
      <c r="N43" s="2915"/>
      <c r="O43" s="2924"/>
      <c r="P43" s="3513" t="str">
        <f>A43</f>
        <v>估价对象XX用房的比较价值（楼面单价，元/平方米）</v>
      </c>
      <c r="Q43" s="3514"/>
      <c r="R43" s="3545" t="e">
        <f>ROUND(IF(D42="简单平均",AVERAGE(R42:W42),R42*F42+T42*H42+V42*J42),0)</f>
        <v>#DIV/0!</v>
      </c>
      <c r="S43" s="3545"/>
      <c r="T43" s="3545"/>
      <c r="U43" s="3545"/>
      <c r="V43" s="3545"/>
      <c r="W43" s="354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2517</v>
      </c>
      <c r="B50" s="641" t="s">
        <v>2518</v>
      </c>
      <c r="C50" s="2139" t="s">
        <v>2519</v>
      </c>
      <c r="D50" s="2140" t="s">
        <v>2520</v>
      </c>
      <c r="E50" s="642" t="s">
        <v>2521</v>
      </c>
      <c r="F50" s="643" t="s">
        <v>2522</v>
      </c>
      <c r="G50" s="3499" t="s">
        <v>2523</v>
      </c>
      <c r="H50" s="3546"/>
      <c r="I50" s="1510" t="s">
        <v>2560</v>
      </c>
      <c r="J50" s="1510">
        <f>项目基本情况!F35</f>
        <v>0</v>
      </c>
      <c r="K50" s="2142" t="s">
        <v>2525</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2526</v>
      </c>
      <c r="B51" s="645" t="e">
        <f>C43</f>
        <v>#DIV/0!</v>
      </c>
      <c r="C51" s="646">
        <v>1</v>
      </c>
      <c r="D51" s="1075">
        <v>1</v>
      </c>
      <c r="E51" s="646">
        <f>'数据-汇总表'!E8+'数据-汇总表'!E9</f>
        <v>37962.699999999997</v>
      </c>
      <c r="F51" s="647" t="e">
        <f t="shared" ref="F51:F60" si="15">ROUND(B51*E51/10000,0)</f>
        <v>#DIV/0!</v>
      </c>
      <c r="G51" s="3498"/>
      <c r="H51" s="351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2527</v>
      </c>
      <c r="B52" s="224" t="e">
        <f>ROUND($C$43*C52*D52,0)</f>
        <v>#DIV/0!</v>
      </c>
      <c r="C52" s="176">
        <f t="shared" ref="C52:C60" si="16">IF($C$50="北京市系数",I52,J52)</f>
        <v>0.7</v>
      </c>
      <c r="D52" s="1076">
        <v>0.25</v>
      </c>
      <c r="E52" s="650"/>
      <c r="F52" s="647" t="e">
        <f t="shared" si="15"/>
        <v>#DIV/0!</v>
      </c>
      <c r="G52" s="3547" t="s">
        <v>2528</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2529</v>
      </c>
      <c r="B53" s="224" t="e">
        <f t="shared" ref="B53:B60" si="17">ROUND($C$43*C53*D53,0)</f>
        <v>#DIV/0!</v>
      </c>
      <c r="C53" s="176">
        <f t="shared" si="16"/>
        <v>0.4</v>
      </c>
      <c r="D53" s="1076">
        <v>0.25</v>
      </c>
      <c r="E53" s="650"/>
      <c r="F53" s="647" t="e">
        <f t="shared" si="15"/>
        <v>#DIV/0!</v>
      </c>
      <c r="G53" s="3547"/>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2530</v>
      </c>
      <c r="B54" s="224" t="e">
        <f t="shared" si="17"/>
        <v>#DIV/0!</v>
      </c>
      <c r="C54" s="176">
        <f t="shared" si="16"/>
        <v>0.28000000000000003</v>
      </c>
      <c r="D54" s="1076">
        <v>0.25</v>
      </c>
      <c r="E54" s="650"/>
      <c r="F54" s="647" t="e">
        <f t="shared" si="15"/>
        <v>#DIV/0!</v>
      </c>
      <c r="G54" s="3547"/>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2531</v>
      </c>
      <c r="B55" s="224" t="e">
        <f t="shared" si="17"/>
        <v>#DIV/0!</v>
      </c>
      <c r="C55" s="176">
        <f t="shared" si="16"/>
        <v>0.25</v>
      </c>
      <c r="D55" s="1076">
        <v>0.25</v>
      </c>
      <c r="E55" s="650"/>
      <c r="F55" s="647" t="e">
        <f t="shared" si="15"/>
        <v>#DIV/0!</v>
      </c>
      <c r="G55" s="3547"/>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2532</v>
      </c>
      <c r="B56" s="224" t="e">
        <f t="shared" si="17"/>
        <v>#DIV/0!</v>
      </c>
      <c r="C56" s="176">
        <f t="shared" si="16"/>
        <v>0</v>
      </c>
      <c r="D56" s="1076">
        <v>0.25</v>
      </c>
      <c r="E56" s="223">
        <f>'数据-汇总表'!E11</f>
        <v>0</v>
      </c>
      <c r="F56" s="647" t="e">
        <f t="shared" si="15"/>
        <v>#DIV/0!</v>
      </c>
      <c r="G56" s="2143" t="s">
        <v>2533</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2536</v>
      </c>
      <c r="B58" s="224" t="e">
        <f t="shared" si="17"/>
        <v>#DIV/0!</v>
      </c>
      <c r="C58" s="176">
        <f t="shared" si="16"/>
        <v>0</v>
      </c>
      <c r="D58" s="1076">
        <v>0.25</v>
      </c>
      <c r="E58" s="223">
        <f>'数据-汇总表'!E13</f>
        <v>0</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2538</v>
      </c>
      <c r="B59" s="224" t="e">
        <f t="shared" si="17"/>
        <v>#DIV/0!</v>
      </c>
      <c r="C59" s="176">
        <f t="shared" si="16"/>
        <v>0.2</v>
      </c>
      <c r="D59" s="1076">
        <v>0.25</v>
      </c>
      <c r="E59" s="223">
        <f>'数据-汇总表'!E14</f>
        <v>12905.800000000001</v>
      </c>
      <c r="F59" s="647" t="e">
        <f t="shared" si="15"/>
        <v>#DIV/0!</v>
      </c>
      <c r="G59" s="2143" t="s">
        <v>2528</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2539</v>
      </c>
      <c r="B60" s="224" t="e">
        <f t="shared" si="17"/>
        <v>#DIV/0!</v>
      </c>
      <c r="C60" s="176">
        <f t="shared" si="16"/>
        <v>0</v>
      </c>
      <c r="D60" s="1076">
        <v>0.25</v>
      </c>
      <c r="E60" s="223">
        <f>'数据-汇总表'!E15</f>
        <v>0</v>
      </c>
      <c r="F60" s="647" t="e">
        <f t="shared" si="15"/>
        <v>#DIV/0!</v>
      </c>
      <c r="G60" s="2144" t="s">
        <v>2533</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2540</v>
      </c>
      <c r="B61" s="652" t="s">
        <v>28</v>
      </c>
      <c r="C61" s="652" t="s">
        <v>29</v>
      </c>
      <c r="D61" s="652" t="s">
        <v>997</v>
      </c>
      <c r="E61" s="652">
        <f>IF(B41="楼面地价",SUM(E51:E60),'数据-汇总表'!D3)</f>
        <v>16578.400000000001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2433</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2561</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2344</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2309</v>
      </c>
      <c r="B68" s="467"/>
      <c r="C68" s="479" t="s">
        <v>2411</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2347</v>
      </c>
      <c r="B70" s="485" t="s">
        <v>2313</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2316</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2318</v>
      </c>
      <c r="B83" s="485" t="s">
        <v>2464</v>
      </c>
      <c r="C83" s="530" t="s">
        <v>2356</v>
      </c>
      <c r="D83" s="530" t="s">
        <v>2357</v>
      </c>
      <c r="E83" s="530" t="s">
        <v>2358</v>
      </c>
      <c r="F83" s="530" t="s">
        <v>2359</v>
      </c>
      <c r="G83" s="530" t="s">
        <v>2360</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2361</v>
      </c>
      <c r="C85" s="535" t="s">
        <v>2356</v>
      </c>
      <c r="D85" s="535" t="s">
        <v>2357</v>
      </c>
      <c r="E85" s="535" t="s">
        <v>2358</v>
      </c>
      <c r="F85" s="535" t="s">
        <v>2359</v>
      </c>
      <c r="G85" s="535" t="s">
        <v>2360</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2450</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2509</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2551</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2553</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2554</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4" zoomScale="85" zoomScaleNormal="80" zoomScaleSheetLayoutView="85" workbookViewId="0">
      <selection activeCell="E55" sqref="E55"/>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22672.400000000001</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67326</v>
      </c>
      <c r="C2" s="2155" t="s">
        <v>2572</v>
      </c>
      <c r="D2" s="2156" t="s">
        <v>2573</v>
      </c>
      <c r="E2" s="2157" t="s">
        <v>1283</v>
      </c>
      <c r="F2" s="2156" t="s">
        <v>2574</v>
      </c>
      <c r="G2" s="2158" t="str">
        <f>IF(E2="商业",项目基本情况!B37,IF(E2="办公",项目基本情况!C37,IF(E2="住宅",项目基本情况!D37,项目基本情况!E37)))</f>
        <v>六级</v>
      </c>
      <c r="H2" s="2156" t="s">
        <v>2575</v>
      </c>
      <c r="I2" s="2158" t="str">
        <f>IF(E2="商业",项目基本情况!B38,IF(E2="办公",项目基本情况!C38,IF(E2="住宅",项目基本情况!D38,项目基本情况!E38)))</f>
        <v>Ⅵ-昌2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21671</v>
      </c>
      <c r="U2" s="3226">
        <f>Sheet1!E26</f>
        <v>9500.73</v>
      </c>
      <c r="V2" s="1346">
        <f>ROUND(T2*U2/10000,0)</f>
        <v>20589</v>
      </c>
      <c r="W2" s="1350"/>
      <c r="X2" s="1350"/>
      <c r="Y2" s="1350"/>
      <c r="Z2" s="1350"/>
      <c r="AA2" s="1350"/>
      <c r="AB2" s="1350"/>
      <c r="AC2" s="1351"/>
      <c r="AD2" s="1352"/>
      <c r="AE2" s="1352"/>
      <c r="AF2" s="1352"/>
      <c r="AG2" s="1352"/>
      <c r="AH2" s="1352"/>
      <c r="AI2" s="1352"/>
      <c r="AJ2" s="1353"/>
    </row>
    <row r="3" spans="1:36" ht="15.75">
      <c r="A3" s="209" t="s">
        <v>2577</v>
      </c>
      <c r="B3" s="210">
        <f>ROUND(B2*10000/D1,0)</f>
        <v>29695</v>
      </c>
      <c r="C3" s="2155" t="s">
        <v>2578</v>
      </c>
      <c r="D3" s="2156" t="s">
        <v>2579</v>
      </c>
      <c r="E3" s="2161" t="s">
        <v>3159</v>
      </c>
      <c r="F3" s="2162" t="s">
        <v>2580</v>
      </c>
      <c r="G3" s="855">
        <f>IF(F3="宗地容积率",'数据-汇总表'!I4,IF(F3="估价对象容积率",'数据-汇总表'!I6,'数据-汇总表'!I7))</f>
        <v>2.29</v>
      </c>
      <c r="H3" s="175" t="s">
        <v>2581</v>
      </c>
      <c r="I3" s="881">
        <v>1</v>
      </c>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15555</v>
      </c>
      <c r="U3" s="3226">
        <f>Sheet1!E27</f>
        <v>9250.2000000000007</v>
      </c>
      <c r="V3" s="1346">
        <f t="shared" ref="V3:V16" si="1">ROUND(T3*U3/10000,0)</f>
        <v>14389</v>
      </c>
      <c r="W3" s="1350"/>
      <c r="X3" s="1350"/>
      <c r="Y3" s="1350"/>
      <c r="Z3" s="1350"/>
      <c r="AA3" s="1350"/>
      <c r="AB3" s="1350"/>
      <c r="AC3" s="1351"/>
      <c r="AD3" s="1352"/>
      <c r="AE3" s="1352"/>
      <c r="AF3" s="1352"/>
      <c r="AG3" s="1352"/>
      <c r="AH3" s="1352"/>
      <c r="AI3" s="1352"/>
      <c r="AJ3" s="1353"/>
    </row>
    <row r="4" spans="1:36" ht="15.75">
      <c r="A4" s="3571"/>
      <c r="B4" s="3572"/>
      <c r="C4" s="3572"/>
      <c r="D4" s="3573"/>
      <c r="E4" s="3573"/>
      <c r="F4" s="3573"/>
      <c r="G4" s="3573"/>
      <c r="H4" s="3573"/>
      <c r="I4" s="3573"/>
      <c r="J4" s="3574"/>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12549</v>
      </c>
      <c r="U4" s="3226">
        <f>Sheet1!E28</f>
        <v>9336.2199999999993</v>
      </c>
      <c r="V4" s="1346">
        <f t="shared" si="1"/>
        <v>11716</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10069</v>
      </c>
      <c r="U5" s="3226">
        <f>Sheet1!E29</f>
        <v>9367.6299999999992</v>
      </c>
      <c r="V5" s="1346">
        <f t="shared" si="1"/>
        <v>9432</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8574</v>
      </c>
      <c r="U6" s="1347"/>
      <c r="V6" s="1346">
        <f t="shared" si="1"/>
        <v>0</v>
      </c>
      <c r="W6" s="1350"/>
      <c r="X6" s="1350"/>
      <c r="Y6" s="1350"/>
      <c r="Z6" s="1350"/>
      <c r="AA6" s="1350"/>
      <c r="AB6" s="1350"/>
      <c r="AC6" s="2169"/>
      <c r="AD6" s="2170"/>
      <c r="AE6" s="2170"/>
      <c r="AF6" s="2170"/>
      <c r="AG6" s="2170"/>
      <c r="AH6" s="2170"/>
      <c r="AI6" s="2170"/>
      <c r="AJ6" s="2171"/>
    </row>
    <row r="7" spans="1:36" ht="24">
      <c r="A7" s="3552"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7540</v>
      </c>
      <c r="U7" s="1347"/>
      <c r="V7" s="1346">
        <f t="shared" si="1"/>
        <v>0</v>
      </c>
      <c r="W7" s="1512" t="s">
        <v>2594</v>
      </c>
      <c r="X7" s="1348" t="str">
        <f>G2</f>
        <v>六级</v>
      </c>
      <c r="Y7" s="1348" t="s">
        <v>2595</v>
      </c>
      <c r="Z7" s="1349">
        <f>G3</f>
        <v>2.29</v>
      </c>
      <c r="AA7" s="1350"/>
      <c r="AB7" s="1350"/>
      <c r="AC7" s="1351"/>
      <c r="AD7" s="1352"/>
      <c r="AE7" s="1352"/>
      <c r="AF7" s="1352"/>
      <c r="AG7" s="1352"/>
      <c r="AH7" s="1352"/>
      <c r="AI7" s="1352"/>
      <c r="AJ7" s="1353"/>
    </row>
    <row r="8" spans="1:36" ht="25.5">
      <c r="A8" s="3575"/>
      <c r="B8" s="175" t="s">
        <v>2596</v>
      </c>
      <c r="C8" s="2184" t="s">
        <v>3158</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68" t="s">
        <v>2599</v>
      </c>
      <c r="X8" s="356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75"/>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7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5"/>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7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5"/>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70" t="s">
        <v>2623</v>
      </c>
      <c r="X11" s="1358" t="s">
        <v>2624</v>
      </c>
      <c r="Y11" s="1359">
        <f>$G$3</f>
        <v>2.29</v>
      </c>
      <c r="Z11" s="1359">
        <f t="shared" ref="Z11:AJ11" si="3">$G$3</f>
        <v>2.29</v>
      </c>
      <c r="AA11" s="1359">
        <f t="shared" si="3"/>
        <v>2.29</v>
      </c>
      <c r="AB11" s="1359">
        <f t="shared" si="3"/>
        <v>2.29</v>
      </c>
      <c r="AC11" s="1359">
        <f t="shared" si="3"/>
        <v>2.29</v>
      </c>
      <c r="AD11" s="1359">
        <f t="shared" si="3"/>
        <v>2.29</v>
      </c>
      <c r="AE11" s="1359">
        <f t="shared" si="3"/>
        <v>2.29</v>
      </c>
      <c r="AF11" s="1359">
        <f t="shared" si="3"/>
        <v>2.29</v>
      </c>
      <c r="AG11" s="1359">
        <f t="shared" si="3"/>
        <v>2.29</v>
      </c>
      <c r="AH11" s="1359">
        <f t="shared" si="3"/>
        <v>2.29</v>
      </c>
      <c r="AI11" s="1359">
        <f t="shared" si="3"/>
        <v>2.29</v>
      </c>
      <c r="AJ11" s="1359">
        <f t="shared" si="3"/>
        <v>2.29</v>
      </c>
    </row>
    <row r="12" spans="1:36" ht="25.5" thickBot="1">
      <c r="A12" s="3552"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7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6"/>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70"/>
      <c r="X13" s="1360"/>
      <c r="Y13" s="1357">
        <f>(-0.163*(Y12^2)-0.59*Y12+7617)*(10^(-4))/Y11</f>
        <v>0.33262008733624454</v>
      </c>
      <c r="Z13" s="1357">
        <f t="shared" ref="Z13:AJ13" si="5">(-0.163*(Z12^2)-0.59*Z12+7617)*(10^(-4))/Z11</f>
        <v>0.33262008733624454</v>
      </c>
      <c r="AA13" s="1357">
        <f t="shared" si="5"/>
        <v>0.33262008733624454</v>
      </c>
      <c r="AB13" s="1357">
        <f t="shared" si="5"/>
        <v>0.33262008733624454</v>
      </c>
      <c r="AC13" s="1357">
        <f t="shared" si="5"/>
        <v>0.33262008733624454</v>
      </c>
      <c r="AD13" s="1357">
        <f t="shared" si="5"/>
        <v>0.33262008733624454</v>
      </c>
      <c r="AE13" s="1357">
        <f t="shared" si="5"/>
        <v>0.33262008733624454</v>
      </c>
      <c r="AF13" s="1357">
        <f t="shared" si="5"/>
        <v>0.33262008733624454</v>
      </c>
      <c r="AG13" s="1357">
        <f t="shared" si="5"/>
        <v>0.33262008733624454</v>
      </c>
      <c r="AH13" s="1357">
        <f t="shared" si="5"/>
        <v>0.33262008733624454</v>
      </c>
      <c r="AI13" s="1357">
        <f t="shared" si="5"/>
        <v>0.33262008733624454</v>
      </c>
      <c r="AJ13" s="1357">
        <f t="shared" si="5"/>
        <v>0.33262008733624454</v>
      </c>
    </row>
    <row r="14" spans="1:36" ht="15">
      <c r="A14" s="3576"/>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77"/>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52" t="s">
        <v>2642</v>
      </c>
      <c r="B16" s="2179" t="s">
        <v>2643</v>
      </c>
      <c r="C16" s="2341">
        <f>ROUND(IF(F17="与级别开发程度一致",0,(G17-E17)/C17),0)</f>
        <v>-20</v>
      </c>
      <c r="D16" s="3565" t="s">
        <v>2647</v>
      </c>
      <c r="E16" s="3566"/>
      <c r="F16" s="3565" t="s">
        <v>2644</v>
      </c>
      <c r="G16" s="3566"/>
      <c r="H16" s="2211" t="s">
        <v>3137</v>
      </c>
      <c r="I16" s="2211" t="s">
        <v>3138</v>
      </c>
      <c r="J16" s="2345" t="s">
        <v>3139</v>
      </c>
      <c r="K16" s="2211" t="s">
        <v>3140</v>
      </c>
      <c r="L16" s="2211" t="s">
        <v>3141</v>
      </c>
      <c r="M16" s="2211" t="s">
        <v>3160</v>
      </c>
      <c r="N16" s="2211" t="s">
        <v>4095</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53"/>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3161</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40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44566</v>
      </c>
      <c r="H19" s="2222" t="s">
        <v>3162</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0.84419999999999995</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25.7</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3163</v>
      </c>
      <c r="C21" s="876">
        <f>IF(B21="容积率修正",IF(G3&lt;=10,D22,J22),C23)</f>
        <v>1.8629</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1.0338000000000001</v>
      </c>
      <c r="E22" s="855">
        <f>ROUNDDOWN(G3,1)</f>
        <v>2.2000000000000002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2.3000000000000003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1.0316000000000001</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67326</v>
      </c>
      <c r="D26" s="2251"/>
      <c r="E26" s="2207"/>
      <c r="F26" s="2252"/>
      <c r="G26" s="2207"/>
      <c r="H26" s="2207"/>
      <c r="I26" s="2207"/>
      <c r="J26" s="2253"/>
      <c r="K26" s="1252"/>
      <c r="L26" s="2987" t="s">
        <v>2573</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2800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21671</v>
      </c>
      <c r="D29" s="2266"/>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5418</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2"/>
      <c r="B33" s="2282" t="s">
        <v>2688</v>
      </c>
      <c r="C33" s="180">
        <f>ROUND(D5*C19*C20*C24*F33,0)</f>
        <v>8143</v>
      </c>
      <c r="D33" s="2266">
        <f>'数据-基础表'!K14</f>
        <v>9766.6</v>
      </c>
      <c r="E33" s="176">
        <f>ROUND(C33*D33/10000,0)</f>
        <v>7953</v>
      </c>
      <c r="F33" s="176">
        <f>SUMIF(修正!A45:A56,G2,修正!B45:B56)</f>
        <v>0.7</v>
      </c>
      <c r="G33" s="176">
        <f t="shared" ref="G33" si="6">ROUND(IF(E2="工业",C33*$M$39,C33*$M$38),0)</f>
        <v>2036</v>
      </c>
      <c r="H33" s="176">
        <f>D33</f>
        <v>9766.6</v>
      </c>
      <c r="I33" s="176">
        <f>ROUND(G33*H33/10000,0)</f>
        <v>1988</v>
      </c>
      <c r="J33" s="356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3"/>
      <c r="B34" s="2199" t="s">
        <v>2689</v>
      </c>
      <c r="C34" s="180">
        <f>ROUND(D5*C19*C20*C24*F34,0)</f>
        <v>4653</v>
      </c>
      <c r="D34" s="2266"/>
      <c r="E34" s="176">
        <f t="shared" ref="E34:E39" si="7">ROUND(C34*D34/10000,0)</f>
        <v>0</v>
      </c>
      <c r="F34" s="176">
        <f>SUMIF(修正!A45:A56,G2,修正!C45:C56)</f>
        <v>0.4</v>
      </c>
      <c r="G34" s="176">
        <f>ROUND(IF(E2="工业",C34*$M$39,C34*$M$38),0)</f>
        <v>1163</v>
      </c>
      <c r="H34" s="176">
        <f t="shared" ref="H34:H39" si="8">D34</f>
        <v>0</v>
      </c>
      <c r="I34" s="176">
        <f t="shared" ref="I34:I39" si="9">ROUND(G34*H34/10000,0)</f>
        <v>0</v>
      </c>
      <c r="J34" s="356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3"/>
      <c r="B35" s="2199" t="s">
        <v>2690</v>
      </c>
      <c r="C35" s="180">
        <f>ROUND(D5*C19*C20*C24*F35,0)</f>
        <v>3257</v>
      </c>
      <c r="D35" s="2266"/>
      <c r="E35" s="176">
        <f t="shared" si="7"/>
        <v>0</v>
      </c>
      <c r="F35" s="176">
        <f>SUMIF(修正!A45:A56,G2,修正!D45:D56)</f>
        <v>0.28000000000000003</v>
      </c>
      <c r="G35" s="176">
        <f>ROUND(IF(E2="工业",C35*$M$39,C35*$M$38),0)</f>
        <v>814</v>
      </c>
      <c r="H35" s="176">
        <f t="shared" si="8"/>
        <v>0</v>
      </c>
      <c r="I35" s="176">
        <f t="shared" si="9"/>
        <v>0</v>
      </c>
      <c r="J35" s="356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4"/>
      <c r="B36" s="2199" t="s">
        <v>2691</v>
      </c>
      <c r="C36" s="180">
        <f>ROUND(D5*C19*C20*C24*F36,0)</f>
        <v>2908</v>
      </c>
      <c r="D36" s="2266"/>
      <c r="E36" s="176">
        <f t="shared" si="7"/>
        <v>0</v>
      </c>
      <c r="F36" s="176">
        <f>SUMIF(修正!A45:A56,G2,修正!E45:E56)</f>
        <v>0.25</v>
      </c>
      <c r="G36" s="176">
        <f>ROUND(IF(E2="工业",C36*$M$39,C36*$M$38),0)</f>
        <v>727</v>
      </c>
      <c r="H36" s="176">
        <f t="shared" si="8"/>
        <v>0</v>
      </c>
      <c r="I36" s="176">
        <f t="shared" si="9"/>
        <v>0</v>
      </c>
      <c r="J36" s="356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2908</v>
      </c>
      <c r="D37" s="2266"/>
      <c r="E37" s="176">
        <f t="shared" si="7"/>
        <v>0</v>
      </c>
      <c r="F37" s="180">
        <f>SUMIF(修正!A45:A56,G2,修正!F45:F56)</f>
        <v>0.25</v>
      </c>
      <c r="G37" s="176">
        <f>ROUND(IF(E2="工业",C37*$M$39,C37*$M$38),0)</f>
        <v>727</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3145</v>
      </c>
      <c r="D38" s="2266"/>
      <c r="E38" s="176">
        <f t="shared" si="7"/>
        <v>0</v>
      </c>
      <c r="F38" s="180">
        <f>SUMIF(修正!A45:A56,G2,修正!G45:G56)</f>
        <v>0.25</v>
      </c>
      <c r="G38" s="176">
        <f>ROUND(IF(E2="工业",C38*$M$39,C38*$M$38),0)</f>
        <v>786</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2516</v>
      </c>
      <c r="D39" s="2272">
        <f>'数据-基础表'!M5</f>
        <v>12905.800000000001</v>
      </c>
      <c r="E39" s="193">
        <f t="shared" si="7"/>
        <v>3247</v>
      </c>
      <c r="F39" s="871">
        <f>SUMIF(修正!A45:A56,G2,修正!H45:H56)</f>
        <v>0.2</v>
      </c>
      <c r="G39" s="193">
        <f>ROUND(IF(E2="工业",C39*$M$39,C39*$M$38),0)</f>
        <v>629</v>
      </c>
      <c r="H39" s="193">
        <f t="shared" si="8"/>
        <v>12905.800000000001</v>
      </c>
      <c r="I39" s="193">
        <f t="shared" si="9"/>
        <v>812</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0.91290000000000004</v>
      </c>
      <c r="D41" s="176" t="s">
        <v>2648</v>
      </c>
      <c r="E41" s="2339">
        <f>G20</f>
        <v>5.3999999999999999E-2</v>
      </c>
      <c r="F41" s="176" t="s">
        <v>2657</v>
      </c>
      <c r="G41" s="189">
        <f>项目基本情况!G15</f>
        <v>35.71</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1.0316000000000001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t="s">
        <v>3164</v>
      </c>
      <c r="D48" s="1196">
        <f t="shared" ref="D48:D56" si="10">SUMIF($J$47:$N$47,C48,J48:N48)</f>
        <v>0</v>
      </c>
      <c r="E48" s="760">
        <f>ROUND(SUM(D48:D56),4)</f>
        <v>3.1600000000000003E-2</v>
      </c>
      <c r="F48" s="1970">
        <f>IF(E2="商业",SUMIF(L1:L12,G2,N1:N12),"——")</f>
        <v>0.125</v>
      </c>
      <c r="G48" s="1194">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t="s">
        <v>3165</v>
      </c>
      <c r="D49" s="1196">
        <f t="shared" si="10"/>
        <v>1.5599999999999999E-2</v>
      </c>
      <c r="E49" s="761"/>
      <c r="F49" s="1970"/>
      <c r="G49" s="1194">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t="s">
        <v>3165</v>
      </c>
      <c r="D50" s="1196">
        <f t="shared" si="10"/>
        <v>3.0999999999999999E-3</v>
      </c>
      <c r="E50" s="761"/>
      <c r="F50" s="1970"/>
      <c r="G50" s="1194">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2204" t="s">
        <v>3165</v>
      </c>
      <c r="D51" s="1196">
        <f t="shared" si="10"/>
        <v>3.0999999999999999E-3</v>
      </c>
      <c r="E51" s="761"/>
      <c r="F51" s="1970"/>
      <c r="G51" s="1194">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t="s">
        <v>3166</v>
      </c>
      <c r="D52" s="1196">
        <f t="shared" si="10"/>
        <v>-5.0000000000000001E-3</v>
      </c>
      <c r="E52" s="761"/>
      <c r="F52" s="1970"/>
      <c r="G52" s="1194">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2204" t="s">
        <v>3165</v>
      </c>
      <c r="D53" s="1196">
        <f t="shared" si="10"/>
        <v>1.8E-3</v>
      </c>
      <c r="E53" s="761"/>
      <c r="F53" s="197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t="s">
        <v>3165</v>
      </c>
      <c r="D54" s="1196">
        <f t="shared" si="10"/>
        <v>3.0999999999999999E-3</v>
      </c>
      <c r="E54" s="761"/>
      <c r="F54" s="1970"/>
      <c r="G54" s="1194">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t="s">
        <v>3165</v>
      </c>
      <c r="D55" s="1196">
        <f t="shared" si="10"/>
        <v>6.1999999999999998E-3</v>
      </c>
      <c r="E55" s="761"/>
      <c r="F55" s="1970"/>
      <c r="G55" s="1194">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t="s">
        <v>3165</v>
      </c>
      <c r="D56" s="1196">
        <f t="shared" si="10"/>
        <v>3.7000000000000002E-3</v>
      </c>
      <c r="E56" s="764"/>
      <c r="F56" s="1970"/>
      <c r="G56" s="1194">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4" t="s">
        <v>2729</v>
      </c>
      <c r="B90" s="3554"/>
      <c r="C90" s="3554"/>
      <c r="D90" s="3554"/>
      <c r="E90" s="3554"/>
      <c r="F90" s="3554"/>
      <c r="G90" s="3554"/>
      <c r="H90" s="3554"/>
      <c r="I90" s="3554"/>
      <c r="J90" s="3554"/>
      <c r="K90" s="2313"/>
      <c r="L90" s="2313"/>
      <c r="M90" s="2313"/>
      <c r="N90" s="2313"/>
    </row>
    <row r="91" spans="1:37">
      <c r="A91" s="3556" t="s">
        <v>2730</v>
      </c>
      <c r="B91" s="3556" t="s">
        <v>2731</v>
      </c>
      <c r="C91" s="2267" t="s">
        <v>2732</v>
      </c>
      <c r="D91" s="2268"/>
      <c r="E91" s="2268"/>
      <c r="F91" s="2268"/>
      <c r="G91" s="2268"/>
      <c r="H91" s="2268"/>
      <c r="I91" s="2268"/>
      <c r="J91" s="2314"/>
      <c r="K91" s="2315"/>
      <c r="L91" s="2315"/>
      <c r="M91" s="2315"/>
      <c r="N91" s="2315"/>
    </row>
    <row r="92" spans="1:37">
      <c r="A92" s="3556"/>
      <c r="B92" s="355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5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8"/>
      <c r="B99" s="2316" t="s">
        <v>2616</v>
      </c>
      <c r="C99" s="2318">
        <f>$I$3</f>
        <v>1</v>
      </c>
      <c r="D99" s="2318">
        <f t="shared" ref="D99:M99" si="30">$I$3</f>
        <v>1</v>
      </c>
      <c r="E99" s="2318">
        <f t="shared" si="30"/>
        <v>1</v>
      </c>
      <c r="F99" s="2318">
        <f t="shared" si="30"/>
        <v>1</v>
      </c>
      <c r="G99" s="2318">
        <f t="shared" si="30"/>
        <v>1</v>
      </c>
      <c r="H99" s="2318">
        <f t="shared" si="30"/>
        <v>1</v>
      </c>
      <c r="I99" s="2318">
        <f t="shared" si="30"/>
        <v>1</v>
      </c>
      <c r="J99" s="2318">
        <f t="shared" si="30"/>
        <v>1</v>
      </c>
      <c r="K99" s="2318">
        <f t="shared" si="30"/>
        <v>1</v>
      </c>
      <c r="L99" s="2318">
        <f t="shared" si="30"/>
        <v>1</v>
      </c>
      <c r="M99" s="2318">
        <f t="shared" si="30"/>
        <v>1</v>
      </c>
      <c r="N99" s="2318">
        <f>$I$3</f>
        <v>1</v>
      </c>
    </row>
    <row r="100" spans="1:14">
      <c r="A100" s="3559"/>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557" t="s">
        <v>2734</v>
      </c>
      <c r="B101" s="2320" t="s">
        <v>2735</v>
      </c>
      <c r="C101" s="2321">
        <f>$G$3</f>
        <v>2.29</v>
      </c>
      <c r="D101" s="2321">
        <f t="shared" ref="D101:N101" si="31">$G$3</f>
        <v>2.29</v>
      </c>
      <c r="E101" s="2321">
        <f t="shared" si="31"/>
        <v>2.29</v>
      </c>
      <c r="F101" s="2321">
        <f t="shared" si="31"/>
        <v>2.29</v>
      </c>
      <c r="G101" s="2321">
        <f t="shared" si="31"/>
        <v>2.29</v>
      </c>
      <c r="H101" s="2321">
        <f t="shared" si="31"/>
        <v>2.29</v>
      </c>
      <c r="I101" s="2321">
        <f t="shared" si="31"/>
        <v>2.29</v>
      </c>
      <c r="J101" s="2321">
        <f t="shared" si="31"/>
        <v>2.29</v>
      </c>
      <c r="K101" s="2321">
        <f t="shared" si="31"/>
        <v>2.29</v>
      </c>
      <c r="L101" s="2321">
        <f t="shared" si="31"/>
        <v>2.29</v>
      </c>
      <c r="M101" s="2321">
        <f t="shared" si="31"/>
        <v>2.29</v>
      </c>
      <c r="N101" s="2321">
        <f t="shared" si="31"/>
        <v>2.29</v>
      </c>
    </row>
    <row r="102" spans="1:14">
      <c r="A102" s="3558"/>
      <c r="B102" s="2316">
        <v>1</v>
      </c>
      <c r="C102" s="2317">
        <f>1.9362/C101</f>
        <v>0.84550218340611349</v>
      </c>
      <c r="D102" s="2317">
        <f>1.9362/D101</f>
        <v>0.84550218340611349</v>
      </c>
      <c r="E102" s="2317">
        <f>1.8629/E101</f>
        <v>0.81349344978165938</v>
      </c>
      <c r="F102" s="2317">
        <f>1.8629/F101</f>
        <v>0.81349344978165938</v>
      </c>
      <c r="G102" s="2317">
        <f>1.8629/G101</f>
        <v>0.81349344978165938</v>
      </c>
      <c r="H102" s="2317">
        <f>1.8629/H101</f>
        <v>0.81349344978165938</v>
      </c>
      <c r="I102" s="2317">
        <f>1.8629/I101</f>
        <v>0.81349344978165938</v>
      </c>
      <c r="J102" s="2317">
        <f>1.942/J101</f>
        <v>0.84803493449781653</v>
      </c>
      <c r="K102" s="2317">
        <f>1.942/K101</f>
        <v>0.84803493449781653</v>
      </c>
      <c r="L102" s="2317">
        <f>1.942/L101</f>
        <v>0.84803493449781653</v>
      </c>
      <c r="M102" s="2317">
        <f>1.942/M101</f>
        <v>0.84803493449781653</v>
      </c>
      <c r="N102" s="2317">
        <f>1.942/N101</f>
        <v>0.84803493449781653</v>
      </c>
    </row>
    <row r="103" spans="1:14">
      <c r="A103" s="3558"/>
      <c r="B103" s="2316">
        <v>2</v>
      </c>
      <c r="C103" s="2317">
        <f>1.4198/C101</f>
        <v>0.62</v>
      </c>
      <c r="D103" s="2317">
        <f>1.4198/D101</f>
        <v>0.62</v>
      </c>
      <c r="E103" s="2317">
        <f>1.3372/E101</f>
        <v>0.58393013100436675</v>
      </c>
      <c r="F103" s="2317">
        <f>1.3372/F101</f>
        <v>0.58393013100436675</v>
      </c>
      <c r="G103" s="2317">
        <f>1.3372/G101</f>
        <v>0.58393013100436675</v>
      </c>
      <c r="H103" s="2317">
        <f>1.3372/H101</f>
        <v>0.58393013100436675</v>
      </c>
      <c r="I103" s="2317">
        <f>1.3372/I101</f>
        <v>0.58393013100436675</v>
      </c>
      <c r="J103" s="2317">
        <f>1.2799/J101</f>
        <v>0.55890829694323141</v>
      </c>
      <c r="K103" s="2317">
        <f>1.2799/K101</f>
        <v>0.55890829694323141</v>
      </c>
      <c r="L103" s="2317">
        <f>1.2799/L101</f>
        <v>0.55890829694323141</v>
      </c>
      <c r="M103" s="2317">
        <f>1.2799/M101</f>
        <v>0.55890829694323141</v>
      </c>
      <c r="N103" s="2317">
        <f>1.2799/N101</f>
        <v>0.55890829694323141</v>
      </c>
    </row>
    <row r="104" spans="1:14">
      <c r="A104" s="3558"/>
      <c r="B104" s="2316">
        <v>3</v>
      </c>
      <c r="C104" s="2317">
        <f>1.1594/C101</f>
        <v>0.50628820960698684</v>
      </c>
      <c r="D104" s="2317">
        <f>1.1594/D101</f>
        <v>0.50628820960698684</v>
      </c>
      <c r="E104" s="2317">
        <f>1.0788/E101</f>
        <v>0.47109170305676856</v>
      </c>
      <c r="F104" s="2317">
        <f>1.0788/F101</f>
        <v>0.47109170305676856</v>
      </c>
      <c r="G104" s="2317">
        <f>1.0788/G101</f>
        <v>0.47109170305676856</v>
      </c>
      <c r="H104" s="2317">
        <f>1.0788/H101</f>
        <v>0.47109170305676856</v>
      </c>
      <c r="I104" s="2317">
        <f>1.0788/I101</f>
        <v>0.47109170305676856</v>
      </c>
      <c r="J104" s="2317">
        <f>1.0072/J101</f>
        <v>0.43982532751091707</v>
      </c>
      <c r="K104" s="2317">
        <f>1.0072/K101</f>
        <v>0.43982532751091707</v>
      </c>
      <c r="L104" s="2317">
        <f>1.0072/L101</f>
        <v>0.43982532751091707</v>
      </c>
      <c r="M104" s="2317">
        <f>1.0072/M101</f>
        <v>0.43982532751091707</v>
      </c>
      <c r="N104" s="2317">
        <f>1.0072/N101</f>
        <v>0.43982532751091707</v>
      </c>
    </row>
    <row r="105" spans="1:14">
      <c r="A105" s="3558"/>
      <c r="B105" s="2316">
        <v>4</v>
      </c>
      <c r="C105" s="2317">
        <f>0.9622/C101</f>
        <v>0.42017467248908297</v>
      </c>
      <c r="D105" s="2317">
        <f>0.9622/D101</f>
        <v>0.42017467248908297</v>
      </c>
      <c r="E105" s="2317">
        <f>0.8656/E101</f>
        <v>0.37799126637554586</v>
      </c>
      <c r="F105" s="2317">
        <f>0.8656/F101</f>
        <v>0.37799126637554586</v>
      </c>
      <c r="G105" s="2317">
        <f>0.8656/G101</f>
        <v>0.37799126637554586</v>
      </c>
      <c r="H105" s="2317">
        <f>0.8656/H101</f>
        <v>0.37799126637554586</v>
      </c>
      <c r="I105" s="2317">
        <f>0.8656/I101</f>
        <v>0.37799126637554586</v>
      </c>
      <c r="J105" s="2317">
        <f>0.7525/J101</f>
        <v>0.32860262008733621</v>
      </c>
      <c r="K105" s="2317">
        <f>0.7525/K101</f>
        <v>0.32860262008733621</v>
      </c>
      <c r="L105" s="2317">
        <f>0.7525/L101</f>
        <v>0.32860262008733621</v>
      </c>
      <c r="M105" s="2317">
        <f>0.7525/M101</f>
        <v>0.32860262008733621</v>
      </c>
      <c r="N105" s="2317">
        <f>0.7525/N101</f>
        <v>0.32860262008733621</v>
      </c>
    </row>
    <row r="106" spans="1:14">
      <c r="A106" s="3558"/>
      <c r="B106" s="2316">
        <v>5</v>
      </c>
      <c r="C106" s="2317">
        <f>0.8417/C101</f>
        <v>0.3675545851528384</v>
      </c>
      <c r="D106" s="2317">
        <f>0.8417/D101</f>
        <v>0.3675545851528384</v>
      </c>
      <c r="E106" s="2317">
        <f>0.7371/E101</f>
        <v>0.32187772925764191</v>
      </c>
      <c r="F106" s="2317">
        <f>0.7371/F101</f>
        <v>0.32187772925764191</v>
      </c>
      <c r="G106" s="2317">
        <f>0.7371/G101</f>
        <v>0.32187772925764191</v>
      </c>
      <c r="H106" s="2317">
        <f>0.7371/H101</f>
        <v>0.32187772925764191</v>
      </c>
      <c r="I106" s="2317">
        <f>0.7371/I101</f>
        <v>0.32187772925764191</v>
      </c>
      <c r="J106" s="2317">
        <f>0.5659/J101</f>
        <v>0.24711790393013097</v>
      </c>
      <c r="K106" s="2317">
        <f>0.5659/K101</f>
        <v>0.24711790393013097</v>
      </c>
      <c r="L106" s="2317">
        <f>0.5659/L101</f>
        <v>0.24711790393013097</v>
      </c>
      <c r="M106" s="2317">
        <f>0.5659/M101</f>
        <v>0.24711790393013097</v>
      </c>
      <c r="N106" s="2317">
        <f>0.5659/N101</f>
        <v>0.24711790393013097</v>
      </c>
    </row>
    <row r="107" spans="1:14">
      <c r="A107" s="3558"/>
      <c r="B107" s="2316">
        <v>6</v>
      </c>
      <c r="C107" s="2317">
        <f>0.7608/C101</f>
        <v>0.33222707423580788</v>
      </c>
      <c r="D107" s="2317">
        <f>0.7608/D101</f>
        <v>0.33222707423580788</v>
      </c>
      <c r="E107" s="2317">
        <f>0.6482/E101</f>
        <v>0.28305676855895195</v>
      </c>
      <c r="F107" s="2317">
        <f>0.6482/F101</f>
        <v>0.28305676855895195</v>
      </c>
      <c r="G107" s="2317">
        <f>0.6482/G101</f>
        <v>0.28305676855895195</v>
      </c>
      <c r="H107" s="2317">
        <f>0.6482/H101</f>
        <v>0.28305676855895195</v>
      </c>
      <c r="I107" s="2317">
        <f>0.6482/I101</f>
        <v>0.28305676855895195</v>
      </c>
      <c r="J107" s="2317">
        <f>0.4525/J101</f>
        <v>0.19759825327510919</v>
      </c>
      <c r="K107" s="2317">
        <f>0.4525/K101</f>
        <v>0.19759825327510919</v>
      </c>
      <c r="L107" s="2317">
        <f>0.4525/L101</f>
        <v>0.19759825327510919</v>
      </c>
      <c r="M107" s="2317">
        <f>0.4525/M101</f>
        <v>0.19759825327510919</v>
      </c>
      <c r="N107" s="2317">
        <f>0.4525/N101</f>
        <v>0.19759825327510919</v>
      </c>
    </row>
    <row r="108" spans="1:14">
      <c r="A108" s="3558"/>
      <c r="B108" s="3560" t="s">
        <v>2736</v>
      </c>
      <c r="C108" s="2318">
        <f>C99</f>
        <v>1</v>
      </c>
      <c r="D108" s="2318">
        <f t="shared" ref="D108:N108" si="32">D99</f>
        <v>1</v>
      </c>
      <c r="E108" s="2318">
        <f t="shared" si="32"/>
        <v>1</v>
      </c>
      <c r="F108" s="2318">
        <f t="shared" si="32"/>
        <v>1</v>
      </c>
      <c r="G108" s="2318">
        <f t="shared" si="32"/>
        <v>1</v>
      </c>
      <c r="H108" s="2318">
        <f t="shared" si="32"/>
        <v>1</v>
      </c>
      <c r="I108" s="2318">
        <f t="shared" si="32"/>
        <v>1</v>
      </c>
      <c r="J108" s="2318">
        <f t="shared" si="32"/>
        <v>1</v>
      </c>
      <c r="K108" s="2318">
        <f t="shared" si="32"/>
        <v>1</v>
      </c>
      <c r="L108" s="2318">
        <f t="shared" si="32"/>
        <v>1</v>
      </c>
      <c r="M108" s="2318">
        <f t="shared" si="32"/>
        <v>1</v>
      </c>
      <c r="N108" s="2318">
        <f t="shared" si="32"/>
        <v>1</v>
      </c>
    </row>
    <row r="109" spans="1:14">
      <c r="A109" s="3559"/>
      <c r="B109" s="3561"/>
      <c r="C109" s="2319">
        <f>(-0.163*(C108^2)-0.59*C108+7617)*(10^(-4))/C101</f>
        <v>0.33258720524017471</v>
      </c>
      <c r="D109" s="2319">
        <f>(-0.163*(D108^2)-0.59*D108+7617)*(10^(-4))/D101</f>
        <v>0.33258720524017471</v>
      </c>
      <c r="E109" s="2319">
        <f>(-0.161*(E108^2)-7.509*E108+6533)*(10^(-4))/E101</f>
        <v>0.28494890829694325</v>
      </c>
      <c r="F109" s="2319">
        <f>(-0.161*(F108^2)-7.509*F108+6533)*(10^(-4))/F101</f>
        <v>0.28494890829694325</v>
      </c>
      <c r="G109" s="2319">
        <f>(-0.161*(G108^2)-7.509*G108+6533)*(10^(-4))/G101</f>
        <v>0.28494890829694325</v>
      </c>
      <c r="H109" s="2319">
        <f>(-0.161*(H108^2)-7.509*H108+6533)*(10^(-4))/H101</f>
        <v>0.28494890829694325</v>
      </c>
      <c r="I109" s="2319">
        <f>(-0.161*(I108^2)-7.509*I108+6533)*(10^(-4))/I101</f>
        <v>0.28494890829694325</v>
      </c>
      <c r="J109" s="2319">
        <f>(-0.214*(J108^2)-21.991*J108+4665)*(10^(-4))/J101</f>
        <v>0.20274213973799127</v>
      </c>
      <c r="K109" s="2319">
        <f>(-0.214*(K108^2)-21.991*K108+4665)*(10^(-4))/K101</f>
        <v>0.20274213973799127</v>
      </c>
      <c r="L109" s="2319">
        <f>(-0.214*(L108^2)-21.991*L108+4665)*(10^(-4))/L101</f>
        <v>0.20274213973799127</v>
      </c>
      <c r="M109" s="2319">
        <f>(-0.214*(M108^2)-21.991*M108+4665)*(10^(-4))/M101</f>
        <v>0.20274213973799127</v>
      </c>
      <c r="N109" s="2319">
        <f>(-0.214*(N108^2)-21.991*N108+4665)*(10^(-4))/N101</f>
        <v>0.20274213973799127</v>
      </c>
    </row>
    <row r="110" spans="1:14">
      <c r="A110" s="3555" t="s">
        <v>2737</v>
      </c>
      <c r="B110" s="3555"/>
      <c r="C110" s="3555"/>
      <c r="D110" s="3555"/>
      <c r="E110" s="3555"/>
      <c r="F110" s="3555"/>
      <c r="G110" s="3555"/>
      <c r="H110" s="3555"/>
      <c r="I110" s="3555"/>
      <c r="J110" s="3555"/>
      <c r="K110" s="2322"/>
      <c r="L110" s="2322"/>
      <c r="M110" s="2322"/>
      <c r="N110" s="2322"/>
    </row>
    <row r="112" spans="1:14" ht="13.5" thickBot="1"/>
    <row r="113" spans="1:13" ht="25.5" thickBot="1">
      <c r="A113" s="842" t="s">
        <v>2738</v>
      </c>
      <c r="B113" s="1197">
        <f>G3</f>
        <v>2.29</v>
      </c>
      <c r="C113" s="843" t="s">
        <v>2739</v>
      </c>
      <c r="D113" s="844">
        <f>SUMPRODUCT((A115:A118=F113)*(B114:M114=H113)*B115:M118)</f>
        <v>0.80810000000000004</v>
      </c>
      <c r="E113" s="2158" t="s">
        <v>2573</v>
      </c>
      <c r="F113" s="2324" t="str">
        <f>E2</f>
        <v>商业</v>
      </c>
      <c r="G113" s="2158" t="s">
        <v>2574</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0.91200000000000003</v>
      </c>
      <c r="C115" s="849">
        <f>B115</f>
        <v>0.91200000000000003</v>
      </c>
      <c r="D115" s="849">
        <f>ROUND(0.8331-0.0109*B113,4)</f>
        <v>0.80810000000000004</v>
      </c>
      <c r="E115" s="849">
        <f>D115</f>
        <v>0.80810000000000004</v>
      </c>
      <c r="F115" s="849">
        <f>E115</f>
        <v>0.80810000000000004</v>
      </c>
      <c r="G115" s="849">
        <f>F115</f>
        <v>0.80810000000000004</v>
      </c>
      <c r="H115" s="849">
        <f>G115</f>
        <v>0.80810000000000004</v>
      </c>
      <c r="I115" s="849">
        <f>ROUND(0.689-0.0155*B113,4)</f>
        <v>0.65349999999999997</v>
      </c>
      <c r="J115" s="849">
        <f t="shared" ref="J115:M118" si="33">I115</f>
        <v>0.65349999999999997</v>
      </c>
      <c r="K115" s="849">
        <f t="shared" si="33"/>
        <v>0.65349999999999997</v>
      </c>
      <c r="L115" s="849">
        <f t="shared" si="33"/>
        <v>0.65349999999999997</v>
      </c>
      <c r="M115" s="850">
        <f t="shared" si="33"/>
        <v>0.65349999999999997</v>
      </c>
    </row>
    <row r="116" spans="1:13">
      <c r="A116" s="848" t="s">
        <v>2639</v>
      </c>
      <c r="B116" s="849">
        <f>ROUND(0.949-0.012*B113,4)</f>
        <v>0.92149999999999999</v>
      </c>
      <c r="C116" s="849">
        <f>B116</f>
        <v>0.92149999999999999</v>
      </c>
      <c r="D116" s="849">
        <f>ROUND(0.8567-0.013*B113,4)</f>
        <v>0.82689999999999997</v>
      </c>
      <c r="E116" s="849">
        <f t="shared" ref="E116:H117" si="34">D116</f>
        <v>0.82689999999999997</v>
      </c>
      <c r="F116" s="849">
        <f t="shared" si="34"/>
        <v>0.82689999999999997</v>
      </c>
      <c r="G116" s="849">
        <f t="shared" si="34"/>
        <v>0.82689999999999997</v>
      </c>
      <c r="H116" s="849">
        <f t="shared" si="34"/>
        <v>0.82689999999999997</v>
      </c>
      <c r="I116" s="849">
        <f>ROUND(0.7694-0.014*B113,4)</f>
        <v>0.73729999999999996</v>
      </c>
      <c r="J116" s="849">
        <f t="shared" si="33"/>
        <v>0.73729999999999996</v>
      </c>
      <c r="K116" s="849">
        <f t="shared" si="33"/>
        <v>0.73729999999999996</v>
      </c>
      <c r="L116" s="849">
        <f t="shared" si="33"/>
        <v>0.73729999999999996</v>
      </c>
      <c r="M116" s="850">
        <f t="shared" si="33"/>
        <v>0.73729999999999996</v>
      </c>
    </row>
    <row r="117" spans="1:13">
      <c r="A117" s="848" t="s">
        <v>2640</v>
      </c>
      <c r="B117" s="849">
        <f>ROUND(0.8808-0.006*B113,4)</f>
        <v>0.86709999999999998</v>
      </c>
      <c r="C117" s="849">
        <f>B117</f>
        <v>0.86709999999999998</v>
      </c>
      <c r="D117" s="849">
        <f>ROUND(0.8748-0.008*B113,4)</f>
        <v>0.85650000000000004</v>
      </c>
      <c r="E117" s="849">
        <f t="shared" si="34"/>
        <v>0.85650000000000004</v>
      </c>
      <c r="F117" s="849">
        <f t="shared" si="34"/>
        <v>0.85650000000000004</v>
      </c>
      <c r="G117" s="849">
        <f t="shared" si="34"/>
        <v>0.85650000000000004</v>
      </c>
      <c r="H117" s="849">
        <f t="shared" si="34"/>
        <v>0.85650000000000004</v>
      </c>
      <c r="I117" s="849">
        <f>ROUND(0.7412-0.0095*B113,4)</f>
        <v>0.71940000000000004</v>
      </c>
      <c r="J117" s="849">
        <f t="shared" si="33"/>
        <v>0.71940000000000004</v>
      </c>
      <c r="K117" s="849">
        <f t="shared" si="33"/>
        <v>0.71940000000000004</v>
      </c>
      <c r="L117" s="849">
        <f t="shared" si="33"/>
        <v>0.71940000000000004</v>
      </c>
      <c r="M117" s="850">
        <f t="shared" si="33"/>
        <v>0.71940000000000004</v>
      </c>
    </row>
    <row r="118" spans="1:13" ht="13.5" thickBot="1">
      <c r="A118" s="670" t="s">
        <v>2641</v>
      </c>
      <c r="B118" s="851">
        <f>ROUND(0.7275-0.01*B113,4)</f>
        <v>0.7046</v>
      </c>
      <c r="C118" s="851">
        <f>B118</f>
        <v>0.7046</v>
      </c>
      <c r="D118" s="851">
        <f>ROUND(0.7043-0.012*B113,4)</f>
        <v>0.67679999999999996</v>
      </c>
      <c r="E118" s="851">
        <f>D118</f>
        <v>0.67679999999999996</v>
      </c>
      <c r="F118" s="851">
        <f>E118</f>
        <v>0.67679999999999996</v>
      </c>
      <c r="G118" s="851">
        <f>ROUND(0.6299-0.0122*B113,4)</f>
        <v>0.60199999999999998</v>
      </c>
      <c r="H118" s="851">
        <f>G118</f>
        <v>0.60199999999999998</v>
      </c>
      <c r="I118" s="851">
        <f>ROUND(0.5667-0.0136*B113,4)</f>
        <v>0.53559999999999997</v>
      </c>
      <c r="J118" s="851">
        <f t="shared" si="33"/>
        <v>0.53559999999999997</v>
      </c>
      <c r="K118" s="851">
        <f t="shared" si="33"/>
        <v>0.53559999999999997</v>
      </c>
      <c r="L118" s="851">
        <f t="shared" si="33"/>
        <v>0.53559999999999997</v>
      </c>
      <c r="M118" s="852">
        <f t="shared" si="33"/>
        <v>0.53559999999999997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8" t="s">
        <v>183</v>
      </c>
      <c r="B18" s="821" t="s">
        <v>560</v>
      </c>
      <c r="C18" s="822" t="s">
        <v>561</v>
      </c>
      <c r="D18" s="823"/>
      <c r="E18" s="821">
        <v>1</v>
      </c>
      <c r="F18" s="824" t="s">
        <v>562</v>
      </c>
      <c r="G18" s="825"/>
      <c r="H18" s="817"/>
      <c r="I18" s="817"/>
    </row>
    <row r="19" spans="1:9" s="826" customFormat="1" ht="19.5" customHeight="1">
      <c r="A19" s="3578"/>
      <c r="B19" s="3578" t="s">
        <v>563</v>
      </c>
      <c r="C19" s="822" t="s">
        <v>564</v>
      </c>
      <c r="D19" s="823"/>
      <c r="E19" s="821">
        <v>0.9</v>
      </c>
      <c r="F19" s="824" t="s">
        <v>565</v>
      </c>
      <c r="G19" s="825"/>
      <c r="H19" s="817"/>
      <c r="I19" s="817"/>
    </row>
    <row r="20" spans="1:9" s="826" customFormat="1" ht="19.5" customHeight="1">
      <c r="A20" s="3578"/>
      <c r="B20" s="3578"/>
      <c r="C20" s="822" t="s">
        <v>566</v>
      </c>
      <c r="D20" s="823"/>
      <c r="E20" s="821">
        <v>1.1000000000000001</v>
      </c>
      <c r="F20" s="824" t="s">
        <v>567</v>
      </c>
      <c r="G20" s="825"/>
      <c r="H20" s="817"/>
      <c r="I20" s="817"/>
    </row>
    <row r="21" spans="1:9" s="826" customFormat="1" ht="19.5" customHeight="1">
      <c r="A21" s="3578"/>
      <c r="B21" s="3578"/>
      <c r="C21" s="822" t="s">
        <v>568</v>
      </c>
      <c r="D21" s="823"/>
      <c r="E21" s="821">
        <v>0.8</v>
      </c>
      <c r="F21" s="824" t="s">
        <v>569</v>
      </c>
      <c r="G21" s="825"/>
      <c r="H21" s="817"/>
      <c r="I21" s="817"/>
    </row>
    <row r="22" spans="1:9" s="826" customFormat="1" ht="19.5" customHeight="1">
      <c r="A22" s="3578"/>
      <c r="B22" s="3578"/>
      <c r="C22" s="822" t="s">
        <v>570</v>
      </c>
      <c r="D22" s="823"/>
      <c r="E22" s="821">
        <v>0.5</v>
      </c>
      <c r="F22" s="824"/>
      <c r="G22" s="825"/>
      <c r="H22" s="817"/>
      <c r="I22" s="817"/>
    </row>
    <row r="23" spans="1:9" s="826" customFormat="1" ht="19.5" customHeight="1">
      <c r="A23" s="3578" t="s">
        <v>184</v>
      </c>
      <c r="B23" s="821" t="s">
        <v>560</v>
      </c>
      <c r="C23" s="822" t="s">
        <v>571</v>
      </c>
      <c r="D23" s="823"/>
      <c r="E23" s="821">
        <v>1</v>
      </c>
      <c r="F23" s="824" t="s">
        <v>572</v>
      </c>
      <c r="G23" s="825"/>
      <c r="H23" s="817"/>
      <c r="I23" s="817"/>
    </row>
    <row r="24" spans="1:9" s="826" customFormat="1" ht="19.5" customHeight="1">
      <c r="A24" s="3578"/>
      <c r="B24" s="3578" t="s">
        <v>563</v>
      </c>
      <c r="C24" s="822" t="s">
        <v>573</v>
      </c>
      <c r="D24" s="823"/>
      <c r="E24" s="821">
        <v>0.5</v>
      </c>
      <c r="F24" s="824"/>
      <c r="G24" s="825"/>
      <c r="H24" s="817"/>
      <c r="I24" s="817"/>
    </row>
    <row r="25" spans="1:9" s="826" customFormat="1" ht="19.5" customHeight="1">
      <c r="A25" s="3578"/>
      <c r="B25" s="3578"/>
      <c r="C25" s="822" t="s">
        <v>574</v>
      </c>
      <c r="D25" s="823"/>
      <c r="E25" s="821">
        <v>1.1000000000000001</v>
      </c>
      <c r="F25" s="824"/>
      <c r="G25" s="825"/>
      <c r="H25" s="817"/>
      <c r="I25" s="817"/>
    </row>
    <row r="26" spans="1:9" s="826" customFormat="1" ht="19.5" customHeight="1">
      <c r="A26" s="3578"/>
      <c r="B26" s="3578"/>
      <c r="C26" s="822" t="s">
        <v>575</v>
      </c>
      <c r="D26" s="823"/>
      <c r="E26" s="821">
        <v>1.1000000000000001</v>
      </c>
      <c r="F26" s="824"/>
      <c r="G26" s="825"/>
      <c r="H26" s="817"/>
      <c r="I26" s="817"/>
    </row>
    <row r="27" spans="1:9" s="826" customFormat="1" ht="19.5" customHeight="1">
      <c r="A27" s="3578"/>
      <c r="B27" s="3578"/>
      <c r="C27" s="822" t="s">
        <v>576</v>
      </c>
      <c r="D27" s="823"/>
      <c r="E27" s="821">
        <v>0.9</v>
      </c>
      <c r="F27" s="824" t="s">
        <v>577</v>
      </c>
      <c r="G27" s="825"/>
      <c r="H27" s="817"/>
      <c r="I27" s="817"/>
    </row>
    <row r="28" spans="1:9" s="826" customFormat="1" ht="19.5" customHeight="1">
      <c r="A28" s="3578"/>
      <c r="B28" s="3578"/>
      <c r="C28" s="822" t="s">
        <v>578</v>
      </c>
      <c r="D28" s="823"/>
      <c r="E28" s="821">
        <v>0.9</v>
      </c>
      <c r="F28" s="824" t="s">
        <v>579</v>
      </c>
      <c r="G28" s="825"/>
      <c r="H28" s="817"/>
      <c r="I28" s="817"/>
    </row>
    <row r="29" spans="1:9" s="826" customFormat="1" ht="19.5" customHeight="1">
      <c r="A29" s="3578"/>
      <c r="B29" s="3578"/>
      <c r="C29" s="822" t="s">
        <v>580</v>
      </c>
      <c r="D29" s="823"/>
      <c r="E29" s="821">
        <v>0.9</v>
      </c>
      <c r="F29" s="824" t="s">
        <v>581</v>
      </c>
      <c r="G29" s="825"/>
      <c r="H29" s="817"/>
      <c r="I29" s="817"/>
    </row>
    <row r="30" spans="1:9" s="826" customFormat="1" ht="19.5" customHeight="1">
      <c r="A30" s="3578"/>
      <c r="B30" s="3578"/>
      <c r="C30" s="822" t="s">
        <v>582</v>
      </c>
      <c r="D30" s="823"/>
      <c r="E30" s="821">
        <v>0.9</v>
      </c>
      <c r="F30" s="824" t="s">
        <v>583</v>
      </c>
      <c r="G30" s="825"/>
      <c r="H30" s="817"/>
      <c r="I30" s="817"/>
    </row>
    <row r="31" spans="1:9" s="826" customFormat="1" ht="19.5" customHeight="1">
      <c r="A31" s="3578"/>
      <c r="B31" s="3578"/>
      <c r="C31" s="822" t="s">
        <v>584</v>
      </c>
      <c r="D31" s="823"/>
      <c r="E31" s="821">
        <v>0.8</v>
      </c>
      <c r="F31" s="824" t="s">
        <v>585</v>
      </c>
      <c r="G31" s="825"/>
      <c r="H31" s="817"/>
      <c r="I31" s="817"/>
    </row>
    <row r="32" spans="1:9" s="826" customFormat="1" ht="19.5" customHeight="1">
      <c r="A32" s="3578"/>
      <c r="B32" s="3578"/>
      <c r="C32" s="822" t="s">
        <v>586</v>
      </c>
      <c r="D32" s="823"/>
      <c r="E32" s="821">
        <v>0.8</v>
      </c>
      <c r="F32" s="824" t="s">
        <v>587</v>
      </c>
      <c r="G32" s="825"/>
      <c r="H32" s="817"/>
      <c r="I32" s="817"/>
    </row>
    <row r="33" spans="1:9" s="826" customFormat="1" ht="19.5" customHeight="1">
      <c r="A33" s="3578" t="s">
        <v>185</v>
      </c>
      <c r="B33" s="821" t="s">
        <v>560</v>
      </c>
      <c r="C33" s="822" t="s">
        <v>588</v>
      </c>
      <c r="D33" s="823"/>
      <c r="E33" s="821">
        <v>1</v>
      </c>
      <c r="F33" s="824" t="s">
        <v>589</v>
      </c>
      <c r="G33" s="825"/>
      <c r="H33" s="817"/>
      <c r="I33" s="817"/>
    </row>
    <row r="34" spans="1:9" s="826" customFormat="1" ht="19.5" customHeight="1">
      <c r="A34" s="3578"/>
      <c r="B34" s="821" t="s">
        <v>563</v>
      </c>
      <c r="C34" s="822" t="s">
        <v>590</v>
      </c>
      <c r="D34" s="823"/>
      <c r="E34" s="821">
        <v>1.5</v>
      </c>
      <c r="F34" s="824" t="s">
        <v>591</v>
      </c>
      <c r="G34" s="825"/>
      <c r="H34" s="817"/>
      <c r="I34" s="817"/>
    </row>
    <row r="35" spans="1:9" s="826" customFormat="1" ht="19.5" customHeight="1">
      <c r="A35" s="3578" t="s">
        <v>186</v>
      </c>
      <c r="B35" s="821" t="s">
        <v>560</v>
      </c>
      <c r="C35" s="822" t="s">
        <v>592</v>
      </c>
      <c r="D35" s="823"/>
      <c r="E35" s="821">
        <v>1</v>
      </c>
      <c r="F35" s="824" t="s">
        <v>593</v>
      </c>
      <c r="G35" s="825"/>
      <c r="H35" s="817"/>
      <c r="I35" s="817"/>
    </row>
    <row r="36" spans="1:9" s="826" customFormat="1" ht="19.5" customHeight="1">
      <c r="A36" s="3578"/>
      <c r="B36" s="3578" t="s">
        <v>563</v>
      </c>
      <c r="C36" s="822" t="s">
        <v>594</v>
      </c>
      <c r="D36" s="823"/>
      <c r="E36" s="821">
        <v>1</v>
      </c>
      <c r="F36" s="824" t="s">
        <v>595</v>
      </c>
      <c r="G36" s="825"/>
      <c r="H36" s="817"/>
      <c r="I36" s="817"/>
    </row>
    <row r="37" spans="1:9" s="826" customFormat="1" ht="19.5" customHeight="1">
      <c r="A37" s="3578"/>
      <c r="B37" s="3578"/>
      <c r="C37" s="822" t="s">
        <v>596</v>
      </c>
      <c r="D37" s="823"/>
      <c r="E37" s="821">
        <v>1.5</v>
      </c>
      <c r="F37" s="824" t="s">
        <v>597</v>
      </c>
      <c r="G37" s="825"/>
      <c r="H37" s="817"/>
      <c r="I37" s="817"/>
    </row>
    <row r="38" spans="1:9" s="826" customFormat="1" ht="19.5" customHeight="1">
      <c r="A38" s="3578"/>
      <c r="B38" s="3578"/>
      <c r="C38" s="822" t="s">
        <v>598</v>
      </c>
      <c r="D38" s="823"/>
      <c r="E38" s="821">
        <v>1</v>
      </c>
      <c r="F38" s="824" t="s">
        <v>599</v>
      </c>
      <c r="G38" s="825"/>
      <c r="H38" s="817"/>
      <c r="I38" s="817"/>
    </row>
    <row r="39" spans="1:9" s="826" customFormat="1" ht="19.5" customHeight="1">
      <c r="A39" s="3578"/>
      <c r="B39" s="35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8" t="s">
        <v>614</v>
      </c>
      <c r="C61" s="757" t="s">
        <v>615</v>
      </c>
      <c r="D61" s="757" t="s">
        <v>616</v>
      </c>
      <c r="E61" s="834">
        <v>0.5</v>
      </c>
      <c r="F61" s="821">
        <v>80</v>
      </c>
    </row>
    <row r="62" spans="1:8" s="817" customFormat="1" ht="24">
      <c r="A62" s="821">
        <v>2</v>
      </c>
      <c r="B62" s="3578"/>
      <c r="C62" s="757" t="s">
        <v>617</v>
      </c>
      <c r="D62" s="757" t="s">
        <v>618</v>
      </c>
      <c r="E62" s="834">
        <v>0.5</v>
      </c>
      <c r="F62" s="821">
        <v>80</v>
      </c>
    </row>
    <row r="63" spans="1:8" s="817" customFormat="1" ht="36">
      <c r="A63" s="821">
        <v>3</v>
      </c>
      <c r="B63" s="3578"/>
      <c r="C63" s="757" t="s">
        <v>619</v>
      </c>
      <c r="D63" s="757" t="s">
        <v>620</v>
      </c>
      <c r="E63" s="834">
        <v>0.5</v>
      </c>
      <c r="F63" s="821">
        <v>80</v>
      </c>
    </row>
    <row r="64" spans="1:8" s="817" customFormat="1" ht="36">
      <c r="A64" s="821">
        <v>4</v>
      </c>
      <c r="B64" s="3578"/>
      <c r="C64" s="757" t="s">
        <v>621</v>
      </c>
      <c r="D64" s="757" t="s">
        <v>622</v>
      </c>
      <c r="E64" s="834">
        <v>0.4</v>
      </c>
      <c r="F64" s="821">
        <v>60</v>
      </c>
    </row>
    <row r="65" spans="1:6" s="817" customFormat="1" ht="36">
      <c r="A65" s="821">
        <v>5</v>
      </c>
      <c r="B65" s="3578"/>
      <c r="C65" s="757" t="s">
        <v>623</v>
      </c>
      <c r="D65" s="757" t="s">
        <v>624</v>
      </c>
      <c r="E65" s="834">
        <v>0.2</v>
      </c>
      <c r="F65" s="821">
        <v>30</v>
      </c>
    </row>
    <row r="66" spans="1:6" s="817" customFormat="1" ht="36">
      <c r="A66" s="821">
        <v>6</v>
      </c>
      <c r="B66" s="3578"/>
      <c r="C66" s="757" t="s">
        <v>625</v>
      </c>
      <c r="D66" s="757" t="s">
        <v>626</v>
      </c>
      <c r="E66" s="834">
        <v>0.3</v>
      </c>
      <c r="F66" s="821">
        <v>50</v>
      </c>
    </row>
    <row r="67" spans="1:6" s="817" customFormat="1" ht="36">
      <c r="A67" s="821">
        <v>7</v>
      </c>
      <c r="B67" s="3578"/>
      <c r="C67" s="757" t="s">
        <v>627</v>
      </c>
      <c r="D67" s="757" t="s">
        <v>628</v>
      </c>
      <c r="E67" s="834">
        <v>0.2</v>
      </c>
      <c r="F67" s="821">
        <v>30</v>
      </c>
    </row>
    <row r="68" spans="1:6" s="817" customFormat="1" ht="36">
      <c r="A68" s="821">
        <v>8</v>
      </c>
      <c r="B68" s="3578"/>
      <c r="C68" s="757" t="s">
        <v>629</v>
      </c>
      <c r="D68" s="757" t="s">
        <v>630</v>
      </c>
      <c r="E68" s="834">
        <v>0.2</v>
      </c>
      <c r="F68" s="821">
        <v>30</v>
      </c>
    </row>
    <row r="69" spans="1:6" s="817" customFormat="1" ht="36">
      <c r="A69" s="821">
        <v>9</v>
      </c>
      <c r="B69" s="3578"/>
      <c r="C69" s="757" t="s">
        <v>631</v>
      </c>
      <c r="D69" s="757" t="s">
        <v>632</v>
      </c>
      <c r="E69" s="834">
        <v>0.2</v>
      </c>
      <c r="F69" s="821">
        <v>30</v>
      </c>
    </row>
    <row r="70" spans="1:6" s="817" customFormat="1" ht="48">
      <c r="A70" s="821">
        <v>10</v>
      </c>
      <c r="B70" s="3578"/>
      <c r="C70" s="757" t="s">
        <v>633</v>
      </c>
      <c r="D70" s="757" t="s">
        <v>634</v>
      </c>
      <c r="E70" s="834">
        <v>0.2</v>
      </c>
      <c r="F70" s="821">
        <v>30</v>
      </c>
    </row>
    <row r="71" spans="1:6" s="817" customFormat="1" ht="48">
      <c r="A71" s="821">
        <v>11</v>
      </c>
      <c r="B71" s="3578"/>
      <c r="C71" s="757" t="s">
        <v>635</v>
      </c>
      <c r="D71" s="757" t="s">
        <v>636</v>
      </c>
      <c r="E71" s="834">
        <v>0.2</v>
      </c>
      <c r="F71" s="821">
        <v>30</v>
      </c>
    </row>
    <row r="72" spans="1:6" s="817" customFormat="1" ht="36">
      <c r="A72" s="821">
        <v>12</v>
      </c>
      <c r="B72" s="3578"/>
      <c r="C72" s="757" t="s">
        <v>637</v>
      </c>
      <c r="D72" s="757" t="s">
        <v>638</v>
      </c>
      <c r="E72" s="834">
        <v>0.5</v>
      </c>
      <c r="F72" s="821">
        <v>80</v>
      </c>
    </row>
    <row r="73" spans="1:6" s="817" customFormat="1" ht="24">
      <c r="A73" s="821">
        <v>13</v>
      </c>
      <c r="B73" s="3578"/>
      <c r="C73" s="757" t="s">
        <v>639</v>
      </c>
      <c r="D73" s="757" t="s">
        <v>640</v>
      </c>
      <c r="E73" s="834">
        <v>0.4</v>
      </c>
      <c r="F73" s="821">
        <v>60</v>
      </c>
    </row>
    <row r="74" spans="1:6" s="817" customFormat="1" ht="24">
      <c r="A74" s="821">
        <v>14</v>
      </c>
      <c r="B74" s="3578"/>
      <c r="C74" s="757" t="s">
        <v>641</v>
      </c>
      <c r="D74" s="757" t="s">
        <v>642</v>
      </c>
      <c r="E74" s="834">
        <v>0.2</v>
      </c>
      <c r="F74" s="821">
        <v>30</v>
      </c>
    </row>
    <row r="75" spans="1:6" s="817" customFormat="1" ht="24">
      <c r="A75" s="821">
        <v>15</v>
      </c>
      <c r="B75" s="3578"/>
      <c r="C75" s="757" t="s">
        <v>643</v>
      </c>
      <c r="D75" s="757" t="s">
        <v>644</v>
      </c>
      <c r="E75" s="834">
        <v>0.2</v>
      </c>
      <c r="F75" s="821">
        <v>30</v>
      </c>
    </row>
    <row r="76" spans="1:6" s="817" customFormat="1" ht="24">
      <c r="A76" s="821">
        <v>16</v>
      </c>
      <c r="B76" s="3578" t="s">
        <v>645</v>
      </c>
      <c r="C76" s="757" t="s">
        <v>646</v>
      </c>
      <c r="D76" s="757" t="s">
        <v>647</v>
      </c>
      <c r="E76" s="834">
        <v>0.5</v>
      </c>
      <c r="F76" s="821">
        <v>80</v>
      </c>
    </row>
    <row r="77" spans="1:6" s="817" customFormat="1" ht="24">
      <c r="A77" s="821">
        <v>17</v>
      </c>
      <c r="B77" s="3578"/>
      <c r="C77" s="757" t="s">
        <v>648</v>
      </c>
      <c r="D77" s="757" t="s">
        <v>649</v>
      </c>
      <c r="E77" s="834">
        <v>0.5</v>
      </c>
      <c r="F77" s="821">
        <v>80</v>
      </c>
    </row>
    <row r="78" spans="1:6" s="817" customFormat="1" ht="24">
      <c r="A78" s="821">
        <v>18</v>
      </c>
      <c r="B78" s="3578"/>
      <c r="C78" s="757" t="s">
        <v>650</v>
      </c>
      <c r="D78" s="757" t="s">
        <v>651</v>
      </c>
      <c r="E78" s="834">
        <v>0.2</v>
      </c>
      <c r="F78" s="821">
        <v>30</v>
      </c>
    </row>
    <row r="79" spans="1:6" s="817" customFormat="1" ht="24">
      <c r="A79" s="821">
        <v>19</v>
      </c>
      <c r="B79" s="3578"/>
      <c r="C79" s="757" t="s">
        <v>652</v>
      </c>
      <c r="D79" s="757" t="s">
        <v>653</v>
      </c>
      <c r="E79" s="834">
        <v>0.5</v>
      </c>
      <c r="F79" s="821">
        <v>80</v>
      </c>
    </row>
    <row r="80" spans="1:6" s="817" customFormat="1" ht="36">
      <c r="A80" s="821">
        <v>20</v>
      </c>
      <c r="B80" s="3578"/>
      <c r="C80" s="757" t="s">
        <v>654</v>
      </c>
      <c r="D80" s="757" t="s">
        <v>655</v>
      </c>
      <c r="E80" s="834">
        <v>0.2</v>
      </c>
      <c r="F80" s="821">
        <v>30</v>
      </c>
    </row>
    <row r="81" spans="1:6" s="817" customFormat="1" ht="36">
      <c r="A81" s="821">
        <v>21</v>
      </c>
      <c r="B81" s="3578"/>
      <c r="C81" s="757" t="s">
        <v>656</v>
      </c>
      <c r="D81" s="757" t="s">
        <v>657</v>
      </c>
      <c r="E81" s="834">
        <v>0.2</v>
      </c>
      <c r="F81" s="821">
        <v>30</v>
      </c>
    </row>
    <row r="82" spans="1:6" s="817" customFormat="1" ht="48">
      <c r="A82" s="821">
        <v>22</v>
      </c>
      <c r="B82" s="3578"/>
      <c r="C82" s="757" t="s">
        <v>658</v>
      </c>
      <c r="D82" s="757" t="s">
        <v>659</v>
      </c>
      <c r="E82" s="834">
        <v>0.2</v>
      </c>
      <c r="F82" s="821">
        <v>30</v>
      </c>
    </row>
    <row r="83" spans="1:6" s="817" customFormat="1" ht="48">
      <c r="A83" s="821">
        <v>23</v>
      </c>
      <c r="B83" s="3578"/>
      <c r="C83" s="757" t="s">
        <v>660</v>
      </c>
      <c r="D83" s="757" t="s">
        <v>661</v>
      </c>
      <c r="E83" s="834">
        <v>0.2</v>
      </c>
      <c r="F83" s="821">
        <v>30</v>
      </c>
    </row>
    <row r="84" spans="1:6" s="817" customFormat="1" ht="36">
      <c r="A84" s="821">
        <v>24</v>
      </c>
      <c r="B84" s="3578"/>
      <c r="C84" s="757" t="s">
        <v>662</v>
      </c>
      <c r="D84" s="757" t="s">
        <v>663</v>
      </c>
      <c r="E84" s="834">
        <v>0.2</v>
      </c>
      <c r="F84" s="821">
        <v>30</v>
      </c>
    </row>
    <row r="85" spans="1:6" s="817" customFormat="1" ht="36">
      <c r="A85" s="821">
        <v>25</v>
      </c>
      <c r="B85" s="3578"/>
      <c r="C85" s="757" t="s">
        <v>664</v>
      </c>
      <c r="D85" s="757" t="s">
        <v>665</v>
      </c>
      <c r="E85" s="834">
        <v>0.5</v>
      </c>
      <c r="F85" s="821">
        <v>80</v>
      </c>
    </row>
    <row r="86" spans="1:6" s="817" customFormat="1" ht="36">
      <c r="A86" s="821">
        <v>26</v>
      </c>
      <c r="B86" s="3578"/>
      <c r="C86" s="757" t="s">
        <v>666</v>
      </c>
      <c r="D86" s="757" t="s">
        <v>667</v>
      </c>
      <c r="E86" s="834">
        <v>0.2</v>
      </c>
      <c r="F86" s="821">
        <v>30</v>
      </c>
    </row>
    <row r="87" spans="1:6" s="817" customFormat="1" ht="36">
      <c r="A87" s="821">
        <v>27</v>
      </c>
      <c r="B87" s="3578"/>
      <c r="C87" s="757" t="s">
        <v>668</v>
      </c>
      <c r="D87" s="757" t="s">
        <v>669</v>
      </c>
      <c r="E87" s="834">
        <v>0.2</v>
      </c>
      <c r="F87" s="821">
        <v>30</v>
      </c>
    </row>
    <row r="88" spans="1:6" s="817" customFormat="1" ht="36">
      <c r="A88" s="821">
        <v>28</v>
      </c>
      <c r="B88" s="3578"/>
      <c r="C88" s="757" t="s">
        <v>670</v>
      </c>
      <c r="D88" s="757" t="s">
        <v>671</v>
      </c>
      <c r="E88" s="834">
        <v>0.2</v>
      </c>
      <c r="F88" s="821">
        <v>30</v>
      </c>
    </row>
    <row r="89" spans="1:6" s="817" customFormat="1" ht="24">
      <c r="A89" s="821">
        <v>29</v>
      </c>
      <c r="B89" s="3578"/>
      <c r="C89" s="757" t="s">
        <v>672</v>
      </c>
      <c r="D89" s="757" t="s">
        <v>673</v>
      </c>
      <c r="E89" s="834">
        <v>0.2</v>
      </c>
      <c r="F89" s="821">
        <v>30</v>
      </c>
    </row>
    <row r="90" spans="1:6" s="817" customFormat="1" ht="24">
      <c r="A90" s="821">
        <v>30</v>
      </c>
      <c r="B90" s="3578"/>
      <c r="C90" s="757" t="s">
        <v>674</v>
      </c>
      <c r="D90" s="757" t="s">
        <v>675</v>
      </c>
      <c r="E90" s="834">
        <v>0.2</v>
      </c>
      <c r="F90" s="821">
        <v>30</v>
      </c>
    </row>
    <row r="91" spans="1:6" s="817" customFormat="1" ht="36">
      <c r="A91" s="821">
        <v>31</v>
      </c>
      <c r="B91" s="3578"/>
      <c r="C91" s="757" t="s">
        <v>676</v>
      </c>
      <c r="D91" s="757" t="s">
        <v>677</v>
      </c>
      <c r="E91" s="834">
        <v>0.2</v>
      </c>
      <c r="F91" s="821">
        <v>30</v>
      </c>
    </row>
    <row r="92" spans="1:6" s="817" customFormat="1" ht="24">
      <c r="A92" s="821">
        <v>32</v>
      </c>
      <c r="B92" s="3578" t="s">
        <v>678</v>
      </c>
      <c r="C92" s="821" t="s">
        <v>679</v>
      </c>
      <c r="D92" s="757" t="s">
        <v>680</v>
      </c>
      <c r="E92" s="834">
        <v>0.2</v>
      </c>
      <c r="F92" s="821">
        <v>30</v>
      </c>
    </row>
    <row r="93" spans="1:6" s="817" customFormat="1" ht="36">
      <c r="A93" s="821">
        <v>33</v>
      </c>
      <c r="B93" s="3578"/>
      <c r="C93" s="821" t="s">
        <v>681</v>
      </c>
      <c r="D93" s="757" t="s">
        <v>682</v>
      </c>
      <c r="E93" s="834">
        <v>0.2</v>
      </c>
      <c r="F93" s="821">
        <v>30</v>
      </c>
    </row>
    <row r="94" spans="1:6" s="817" customFormat="1" ht="48">
      <c r="A94" s="821">
        <v>34</v>
      </c>
      <c r="B94" s="3578"/>
      <c r="C94" s="821" t="s">
        <v>683</v>
      </c>
      <c r="D94" s="757" t="s">
        <v>684</v>
      </c>
      <c r="E94" s="834">
        <v>0.2</v>
      </c>
      <c r="F94" s="821">
        <v>30</v>
      </c>
    </row>
    <row r="95" spans="1:6" s="817" customFormat="1" ht="36">
      <c r="A95" s="821">
        <v>35</v>
      </c>
      <c r="B95" s="3578"/>
      <c r="C95" s="821" t="s">
        <v>685</v>
      </c>
      <c r="D95" s="757" t="s">
        <v>686</v>
      </c>
      <c r="E95" s="834">
        <v>0.2</v>
      </c>
      <c r="F95" s="821">
        <v>30</v>
      </c>
    </row>
    <row r="96" spans="1:6" s="817" customFormat="1" ht="48">
      <c r="A96" s="821">
        <v>36</v>
      </c>
      <c r="B96" s="3578"/>
      <c r="C96" s="757" t="s">
        <v>687</v>
      </c>
      <c r="D96" s="757" t="s">
        <v>688</v>
      </c>
      <c r="E96" s="834">
        <v>0.2</v>
      </c>
      <c r="F96" s="821">
        <v>30</v>
      </c>
    </row>
    <row r="97" spans="1:6" s="817" customFormat="1" ht="36">
      <c r="A97" s="821">
        <v>37</v>
      </c>
      <c r="B97" s="3578"/>
      <c r="C97" s="821" t="s">
        <v>689</v>
      </c>
      <c r="D97" s="757" t="s">
        <v>690</v>
      </c>
      <c r="E97" s="834">
        <v>0.2</v>
      </c>
      <c r="F97" s="821">
        <v>30</v>
      </c>
    </row>
    <row r="98" spans="1:6" s="817" customFormat="1" ht="36">
      <c r="A98" s="821">
        <v>38</v>
      </c>
      <c r="B98" s="3578"/>
      <c r="C98" s="821" t="s">
        <v>691</v>
      </c>
      <c r="D98" s="757" t="s">
        <v>692</v>
      </c>
      <c r="E98" s="834">
        <v>0.2</v>
      </c>
      <c r="F98" s="821">
        <v>30</v>
      </c>
    </row>
    <row r="99" spans="1:6" s="817" customFormat="1" ht="36">
      <c r="A99" s="821">
        <v>39</v>
      </c>
      <c r="B99" s="3578" t="s">
        <v>693</v>
      </c>
      <c r="C99" s="821" t="s">
        <v>694</v>
      </c>
      <c r="D99" s="757" t="s">
        <v>695</v>
      </c>
      <c r="E99" s="834">
        <v>0.3</v>
      </c>
      <c r="F99" s="821">
        <v>50</v>
      </c>
    </row>
    <row r="100" spans="1:6" s="817" customFormat="1" ht="24">
      <c r="A100" s="821">
        <v>40</v>
      </c>
      <c r="B100" s="3578"/>
      <c r="C100" s="821" t="s">
        <v>696</v>
      </c>
      <c r="D100" s="757" t="s">
        <v>697</v>
      </c>
      <c r="E100" s="834">
        <v>0.2</v>
      </c>
      <c r="F100" s="821">
        <v>30</v>
      </c>
    </row>
    <row r="101" spans="1:6" s="817" customFormat="1" ht="36">
      <c r="A101" s="821">
        <v>41</v>
      </c>
      <c r="B101" s="35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8" t="s">
        <v>708</v>
      </c>
      <c r="C105" s="821" t="s">
        <v>709</v>
      </c>
      <c r="D105" s="757" t="s">
        <v>710</v>
      </c>
      <c r="E105" s="834">
        <v>0.2</v>
      </c>
      <c r="F105" s="821">
        <v>30</v>
      </c>
    </row>
    <row r="106" spans="1:6" s="817" customFormat="1" ht="36">
      <c r="A106" s="821">
        <v>46</v>
      </c>
      <c r="B106" s="3578"/>
      <c r="C106" s="821" t="s">
        <v>711</v>
      </c>
      <c r="D106" s="757" t="s">
        <v>712</v>
      </c>
      <c r="E106" s="834">
        <v>0.2</v>
      </c>
      <c r="F106" s="821">
        <v>30</v>
      </c>
    </row>
    <row r="107" spans="1:6" s="817" customFormat="1" ht="36">
      <c r="A107" s="821">
        <v>47</v>
      </c>
      <c r="B107" s="3578" t="s">
        <v>713</v>
      </c>
      <c r="C107" s="821" t="s">
        <v>714</v>
      </c>
      <c r="D107" s="757" t="s">
        <v>715</v>
      </c>
      <c r="E107" s="834">
        <v>0.3</v>
      </c>
      <c r="F107" s="821">
        <v>50</v>
      </c>
    </row>
    <row r="108" spans="1:6" s="817" customFormat="1" ht="36">
      <c r="A108" s="821">
        <v>48</v>
      </c>
      <c r="B108" s="35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8" t="s">
        <v>724</v>
      </c>
      <c r="C111" s="821" t="s">
        <v>725</v>
      </c>
      <c r="D111" s="757" t="s">
        <v>726</v>
      </c>
      <c r="E111" s="834">
        <v>0.2</v>
      </c>
      <c r="F111" s="821">
        <v>30</v>
      </c>
    </row>
    <row r="112" spans="1:6" s="817" customFormat="1" ht="24">
      <c r="A112" s="821">
        <v>52</v>
      </c>
      <c r="B112" s="3578"/>
      <c r="C112" s="821" t="s">
        <v>727</v>
      </c>
      <c r="D112" s="757" t="s">
        <v>728</v>
      </c>
      <c r="E112" s="834">
        <v>0.2</v>
      </c>
      <c r="F112" s="821">
        <v>30</v>
      </c>
    </row>
    <row r="113" spans="1:6" s="817" customFormat="1" ht="24">
      <c r="A113" s="821">
        <v>53</v>
      </c>
      <c r="B113" s="35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8" t="s">
        <v>737</v>
      </c>
      <c r="C116" s="821" t="s">
        <v>738</v>
      </c>
      <c r="D116" s="757" t="s">
        <v>739</v>
      </c>
      <c r="E116" s="834">
        <v>0.2</v>
      </c>
      <c r="F116" s="821">
        <v>30</v>
      </c>
    </row>
    <row r="117" spans="1:6" ht="36">
      <c r="A117" s="821">
        <v>57</v>
      </c>
      <c r="B117" s="35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1.0419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67326</v>
      </c>
      <c r="C2" s="2331" t="s">
        <v>2753</v>
      </c>
      <c r="D2" s="2331" t="s">
        <v>2754</v>
      </c>
      <c r="E2" s="2808">
        <f ca="1">SUMIF(E6:E13,"&lt;&gt;#ref!",E6:E13)</f>
        <v>22672.400000000001</v>
      </c>
      <c r="F2" s="2994"/>
      <c r="G2" s="2994"/>
      <c r="H2" s="2994"/>
      <c r="I2" s="2994"/>
      <c r="J2" s="2994"/>
      <c r="K2" s="2994"/>
      <c r="L2" s="2994"/>
      <c r="M2" s="2994"/>
      <c r="N2" s="2994"/>
      <c r="O2" s="2994"/>
      <c r="P2" s="2994"/>
    </row>
    <row r="3" spans="1:16" ht="15.75">
      <c r="A3" s="2331" t="s">
        <v>2755</v>
      </c>
      <c r="B3" s="2798">
        <f ca="1">ROUND(B2*10000/E2,0)</f>
        <v>29695</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67326</v>
      </c>
      <c r="C6" s="2331" t="s">
        <v>2753</v>
      </c>
      <c r="D6" s="2994"/>
      <c r="E6" s="2808">
        <f ca="1">SUMIF(INDIRECT("'"&amp;A6&amp;"'"&amp;"!C:C"),"建筑面积",INDIRECT("'"&amp;A6&amp;"'"&amp;"!D:D"))</f>
        <v>22672.400000000001</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4" t="s">
        <v>1058</v>
      </c>
      <c r="C1" s="3584"/>
      <c r="D1" s="3584"/>
      <c r="E1" s="3584"/>
      <c r="F1" s="3584"/>
      <c r="G1" s="3580" t="s">
        <v>1059</v>
      </c>
      <c r="H1" s="3580"/>
      <c r="I1" s="3580"/>
      <c r="J1" s="3580"/>
      <c r="K1" s="3580"/>
      <c r="L1" s="3580"/>
      <c r="N1" s="3580" t="s">
        <v>1060</v>
      </c>
      <c r="O1" s="3580"/>
      <c r="P1" s="3580"/>
      <c r="Q1" s="3580"/>
      <c r="S1" s="3580" t="s">
        <v>1061</v>
      </c>
      <c r="T1" s="3580"/>
      <c r="U1" s="3580"/>
      <c r="V1" s="3580"/>
      <c r="X1" s="3579" t="s">
        <v>1062</v>
      </c>
      <c r="Y1" s="3580"/>
      <c r="Z1" s="3580"/>
      <c r="AA1" s="3580"/>
      <c r="AB1" s="3580"/>
      <c r="AD1" s="3579" t="s">
        <v>1063</v>
      </c>
      <c r="AE1" s="3580"/>
      <c r="AF1" s="3580"/>
      <c r="AG1" s="3580"/>
      <c r="AH1" s="358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5">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5">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0">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9">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8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8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8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8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8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8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8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8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8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8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8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8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8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8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8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8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8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8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8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8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48"/>
      <c r="B4" s="3267" t="s">
        <v>1535</v>
      </c>
      <c r="C4" s="3267"/>
      <c r="D4" s="3267"/>
      <c r="E4" s="1648"/>
    </row>
    <row r="5" spans="1:5" ht="16.5" thickTop="1">
      <c r="A5" s="1646"/>
      <c r="B5" s="3265" t="s">
        <v>1527</v>
      </c>
      <c r="C5" s="1649" t="s">
        <v>1528</v>
      </c>
      <c r="D5" s="959">
        <f ca="1">结果表!H101</f>
        <v>131540</v>
      </c>
      <c r="E5" s="1646"/>
    </row>
    <row r="6" spans="1:5" ht="15.75">
      <c r="A6" s="1646"/>
      <c r="B6" s="3265"/>
      <c r="C6" s="1649" t="s">
        <v>1529</v>
      </c>
      <c r="D6" s="959" t="str">
        <f ca="1">NUMBERSTRING(INT(D5*10000),2)&amp;"元整"</f>
        <v>壹拾叁亿壹仟伍佰肆拾万元整</v>
      </c>
      <c r="E6" s="1646"/>
    </row>
    <row r="7" spans="1:5" ht="15.75">
      <c r="A7" s="1646"/>
      <c r="B7" s="3270"/>
      <c r="C7" s="1650" t="s">
        <v>1530</v>
      </c>
      <c r="D7" s="960">
        <f ca="1">结果表!H102</f>
        <v>21694</v>
      </c>
      <c r="E7" s="1646"/>
    </row>
    <row r="8" spans="1:5" ht="15.75">
      <c r="A8" s="1646"/>
      <c r="B8" s="3271" t="str">
        <f>结果表!E103</f>
        <v>2.估价师知悉的法定优先受偿款</v>
      </c>
      <c r="C8" s="1651" t="s">
        <v>1531</v>
      </c>
      <c r="D8" s="960">
        <f>结果表!H103</f>
        <v>0</v>
      </c>
      <c r="E8" s="1646"/>
    </row>
    <row r="9" spans="1:5" ht="15.75">
      <c r="A9" s="1646"/>
      <c r="B9" s="327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4" t="str">
        <f>结果表!E107</f>
        <v>——</v>
      </c>
      <c r="C13" s="1654" t="s">
        <v>1528</v>
      </c>
      <c r="D13" s="962" t="str">
        <f>结果表!H107</f>
        <v>——</v>
      </c>
      <c r="E13" s="1646"/>
    </row>
    <row r="14" spans="1:5" ht="15.75">
      <c r="A14" s="1646"/>
      <c r="B14" s="3265"/>
      <c r="C14" s="1649" t="s">
        <v>1529</v>
      </c>
      <c r="D14" s="959" t="e">
        <f>NUMBERSTRING(INT(D13*10000),2)&amp;"元整"</f>
        <v>#VALUE!</v>
      </c>
      <c r="E14" s="1646"/>
    </row>
    <row r="15" spans="1:5" ht="15">
      <c r="A15" s="1646"/>
      <c r="B15" s="3270"/>
      <c r="C15" s="1650" t="s">
        <v>1539</v>
      </c>
      <c r="D15" s="968" t="e">
        <f>结果表!H108</f>
        <v>#VALUE!</v>
      </c>
      <c r="E15" s="1646"/>
    </row>
    <row r="16" spans="1:5" ht="15">
      <c r="A16" s="1646"/>
      <c r="B16" s="3271" t="str">
        <f>结果表!E109</f>
        <v>3.抵押担保权已注销时的房地产抵押价值</v>
      </c>
      <c r="C16" s="1654" t="s">
        <v>1540</v>
      </c>
      <c r="D16" s="1655">
        <f ca="1">结果表!H109</f>
        <v>131540</v>
      </c>
      <c r="E16" s="1646"/>
    </row>
    <row r="17" spans="1:5" ht="15.75">
      <c r="A17" s="1646"/>
      <c r="B17" s="3272"/>
      <c r="C17" s="1649" t="s">
        <v>1541</v>
      </c>
      <c r="D17" s="959" t="str">
        <f ca="1">NUMBERSTRING(INT(D16*10000),2)&amp;"元整"</f>
        <v>壹拾叁亿壹仟伍佰肆拾万元整</v>
      </c>
      <c r="E17" s="1646"/>
    </row>
    <row r="18" spans="1:5" ht="15">
      <c r="A18" s="1646"/>
      <c r="B18" s="3273"/>
      <c r="C18" s="1650" t="s">
        <v>1530</v>
      </c>
      <c r="D18" s="968">
        <f ca="1">结果表!H110</f>
        <v>21694</v>
      </c>
      <c r="E18" s="1646"/>
    </row>
    <row r="19" spans="1:5" ht="15.75">
      <c r="A19" s="1646"/>
      <c r="B19" s="3264" t="str">
        <f>结果表!E111</f>
        <v>——</v>
      </c>
      <c r="C19" s="1654" t="s">
        <v>1528</v>
      </c>
      <c r="D19" s="960" t="str">
        <f>结果表!H111</f>
        <v>——</v>
      </c>
      <c r="E19" s="1646"/>
    </row>
    <row r="20" spans="1:5" ht="15.75">
      <c r="A20" s="1646"/>
      <c r="B20" s="3265"/>
      <c r="C20" s="1649" t="s">
        <v>1541</v>
      </c>
      <c r="D20" s="959" t="e">
        <f>NUMBERSTRING(INT(D19*10000),2)&amp;"元整"</f>
        <v>#VALUE!</v>
      </c>
      <c r="E20" s="1646"/>
    </row>
    <row r="21" spans="1:5" ht="15.75" thickBot="1">
      <c r="A21" s="1646"/>
      <c r="B21" s="326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93" t="s">
        <v>2763</v>
      </c>
      <c r="D1" s="3594"/>
      <c r="E1" s="3594"/>
      <c r="F1" s="3594"/>
      <c r="G1" s="3594"/>
      <c r="H1" s="3594"/>
      <c r="I1" s="3594"/>
      <c r="J1" s="3594"/>
      <c r="K1" s="3594"/>
      <c r="L1" s="3594"/>
      <c r="M1" s="3594"/>
      <c r="N1" s="3594"/>
      <c r="O1" s="3594"/>
      <c r="P1" s="3594"/>
      <c r="Q1" s="3594"/>
      <c r="R1" s="3594"/>
      <c r="S1" s="359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90" t="s">
        <v>33</v>
      </c>
      <c r="D22" s="3591"/>
      <c r="E22" s="3591"/>
      <c r="F22" s="3591"/>
      <c r="G22" s="3591"/>
      <c r="H22" s="3591"/>
      <c r="I22" s="3591"/>
      <c r="J22" s="3591"/>
      <c r="K22" s="3591"/>
      <c r="L22" s="3591"/>
      <c r="M22" s="3591"/>
      <c r="N22" s="3591"/>
      <c r="O22" s="3591"/>
      <c r="P22" s="3591"/>
      <c r="Q22" s="359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62008</v>
      </c>
      <c r="C2" s="2" t="s">
        <v>133</v>
      </c>
      <c r="D2" s="205"/>
      <c r="E2" s="205"/>
      <c r="F2" s="205"/>
      <c r="G2" s="205"/>
    </row>
    <row r="3" spans="1:7" s="206" customFormat="1" ht="18" customHeight="1" thickBot="1">
      <c r="A3" s="209" t="s">
        <v>85</v>
      </c>
      <c r="B3" s="210">
        <f ca="1">ROUND(B2*10000/'数据-汇总表'!E3,0)</f>
        <v>10226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1213</v>
      </c>
      <c r="D10" s="954">
        <f>'数据-汇总表'!E6</f>
        <v>60635.1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1213</v>
      </c>
      <c r="D19" s="958">
        <f>'数据-汇总表'!E3</f>
        <v>60635.1</v>
      </c>
      <c r="E19" s="217">
        <f>'数据-取费表'!B31</f>
        <v>200</v>
      </c>
      <c r="F19" s="237"/>
      <c r="G19" s="1" t="s">
        <v>1042</v>
      </c>
    </row>
    <row r="20" spans="1:7" s="220" customFormat="1" ht="13.5" customHeight="1">
      <c r="A20" s="885" t="s">
        <v>1025</v>
      </c>
      <c r="B20" s="216" t="s">
        <v>104</v>
      </c>
      <c r="C20" s="238">
        <f>ROUND((C5+C19)*F20,0)</f>
        <v>327</v>
      </c>
      <c r="D20" s="238"/>
      <c r="E20" s="238"/>
      <c r="F20" s="239">
        <f>'数据-取费表'!B37</f>
        <v>1.4999999999999999E-2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108</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4430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4430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26680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24254</v>
      </c>
      <c r="D34" s="223"/>
      <c r="E34" s="226"/>
      <c r="F34" s="263">
        <f>IF('数据-取费表'!B24=0,1,'数据-取费表'!N16)</f>
        <v>1</v>
      </c>
      <c r="G34" s="225" t="s">
        <v>116</v>
      </c>
    </row>
    <row r="35" spans="1:7" ht="13.5" customHeight="1">
      <c r="A35" s="888" t="s">
        <v>796</v>
      </c>
      <c r="B35" s="221" t="s">
        <v>60</v>
      </c>
      <c r="C35" s="226">
        <f>ROUND(C34*F35,0)</f>
        <v>849</v>
      </c>
      <c r="D35" s="226"/>
      <c r="E35" s="226"/>
      <c r="F35" s="265">
        <f>'数据-取费表'!B33</f>
        <v>3.5000000000000003E-2</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1213</v>
      </c>
      <c r="D37" s="223">
        <f>'数据-汇总表'!E3</f>
        <v>60635.1</v>
      </c>
      <c r="E37" s="255">
        <f>'数据-取费表'!B35</f>
        <v>200</v>
      </c>
      <c r="F37" s="265"/>
      <c r="G37" s="267" t="s">
        <v>119</v>
      </c>
    </row>
    <row r="38" spans="1:7" ht="13.5" customHeight="1">
      <c r="A38" s="888" t="s">
        <v>799</v>
      </c>
      <c r="B38" s="221" t="s">
        <v>63</v>
      </c>
      <c r="C38" s="226">
        <f>ROUND(C34*F38,0)</f>
        <v>364</v>
      </c>
      <c r="D38" s="226"/>
      <c r="E38" s="226"/>
      <c r="F38" s="265">
        <f>'数据-取费表'!B36</f>
        <v>1.4999999999999999E-2</v>
      </c>
      <c r="G38" s="225" t="s">
        <v>117</v>
      </c>
    </row>
    <row r="39" spans="1:7" s="220" customFormat="1" ht="13.5" customHeight="1">
      <c r="A39" s="885" t="s">
        <v>783</v>
      </c>
      <c r="B39" s="216" t="s">
        <v>104</v>
      </c>
      <c r="C39" s="238">
        <f>ROUND(C33*F20,0)</f>
        <v>400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1178</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1161</v>
      </c>
      <c r="D42" s="244"/>
      <c r="E42" s="244"/>
      <c r="F42" s="245"/>
      <c r="G42" s="3452" t="s">
        <v>121</v>
      </c>
    </row>
    <row r="43" spans="1:7" ht="13.5" customHeight="1">
      <c r="A43" s="888" t="s">
        <v>792</v>
      </c>
      <c r="B43" s="221" t="s">
        <v>1032</v>
      </c>
      <c r="C43" s="244">
        <f ca="1">ROUND(IF('数据-取费表'!B22&lt;=1,C39*F22*'数据-取费表'!B21/2,C39*(POWER((1+F22),'数据-取费表'!B21/2)-1)),0)</f>
        <v>17</v>
      </c>
      <c r="D43" s="244"/>
      <c r="E43" s="244"/>
      <c r="F43" s="245"/>
      <c r="G43" s="3453"/>
    </row>
    <row r="44" spans="1:7" ht="13.5" customHeight="1">
      <c r="A44" s="888" t="s">
        <v>793</v>
      </c>
      <c r="B44" s="221" t="s">
        <v>1034</v>
      </c>
      <c r="C44" s="244">
        <f ca="1">ROUND(IF('数据-取费表'!B22&lt;=1,C40*F22*'数据-取费表'!B21/2,C40*(POWER((1+F22),'数据-取费表'!B21/2)-1)),4)</f>
        <v>8.9999999999999998E-4</v>
      </c>
      <c r="D44" s="244"/>
      <c r="E44" s="244"/>
      <c r="F44" s="245"/>
      <c r="G44" s="3454"/>
    </row>
    <row r="45" spans="1:7" s="220" customFormat="1" ht="13.5" customHeight="1">
      <c r="A45" s="885" t="s">
        <v>786</v>
      </c>
      <c r="B45" s="250" t="s">
        <v>112</v>
      </c>
      <c r="C45" s="251">
        <f>C46</f>
        <v>5416</v>
      </c>
      <c r="D45" s="241">
        <f>C47</f>
        <v>4.0000000000000001E-3</v>
      </c>
      <c r="E45" s="242" t="s">
        <v>129</v>
      </c>
      <c r="F45" s="252"/>
      <c r="G45" s="253" t="s">
        <v>1040</v>
      </c>
    </row>
    <row r="46" spans="1:7" s="220" customFormat="1" ht="13.5" customHeight="1">
      <c r="A46" s="888" t="s">
        <v>794</v>
      </c>
      <c r="B46" s="254" t="s">
        <v>1033</v>
      </c>
      <c r="C46" s="255">
        <f>ROUND((C33+C39)*F27,0)</f>
        <v>5416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36532</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31052</v>
      </c>
      <c r="D51" s="238"/>
      <c r="E51" s="238"/>
      <c r="F51" s="270"/>
      <c r="G51" s="240" t="s">
        <v>64</v>
      </c>
    </row>
    <row r="52" spans="1:7" s="214" customFormat="1" ht="16.5" thickBot="1">
      <c r="A52" s="271" t="s">
        <v>65</v>
      </c>
      <c r="B52" s="272"/>
      <c r="C52" s="273">
        <f ca="1">C31+C51</f>
        <v>62008</v>
      </c>
      <c r="D52" s="272"/>
      <c r="E52" s="272"/>
      <c r="F52" s="272"/>
      <c r="G52" s="274"/>
    </row>
    <row r="55" spans="1:7" ht="15">
      <c r="B55" s="276" t="s">
        <v>66</v>
      </c>
      <c r="C55" s="277"/>
    </row>
    <row r="56" spans="1:7">
      <c r="B56" s="279" t="s">
        <v>67</v>
      </c>
      <c r="C56" s="280">
        <f ca="1">ROUND(C51/C52,3)</f>
        <v>0.501</v>
      </c>
    </row>
    <row r="57" spans="1:7">
      <c r="B57" s="279" t="s">
        <v>68</v>
      </c>
      <c r="C57" s="281">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839</v>
      </c>
      <c r="B1" s="35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44566</v>
      </c>
      <c r="D1" s="1442" t="s">
        <v>1209</v>
      </c>
      <c r="E1" s="1437">
        <f>'数据-取费表'!B22</f>
        <v>2</v>
      </c>
      <c r="F1" s="1442" t="s">
        <v>1210</v>
      </c>
      <c r="G1" s="1438">
        <f ca="1">INDIRECT("d"&amp;$K$1)/100</f>
        <v>3.7999999999999999E-2</v>
      </c>
      <c r="H1" s="1442" t="s">
        <v>1240</v>
      </c>
      <c r="I1" s="1438">
        <f ca="1">F4/100</f>
        <v>1.4999999999999999E-2</v>
      </c>
      <c r="J1" s="1443">
        <f>IF(C1&gt;C13,0,MATCH(C1,C$13:C$107,-1))+IF(SUMIF(C13:C107,C1,D13:D107)=0,13,12)</f>
        <v>14</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8">
        <v>44550</v>
      </c>
      <c r="D14" s="3017">
        <v>3.8</v>
      </c>
      <c r="E14" s="3017">
        <f>D14</f>
        <v>3.8</v>
      </c>
      <c r="F14" s="3017">
        <f>D14</f>
        <v>3.8</v>
      </c>
      <c r="G14" s="3017">
        <f>D14</f>
        <v>3.8</v>
      </c>
      <c r="H14" s="3017">
        <v>4.6500000000000004</v>
      </c>
      <c r="I14" s="3022"/>
      <c r="J14" s="3022"/>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8">
        <v>43941</v>
      </c>
      <c r="D15" s="3017">
        <v>3.85</v>
      </c>
      <c r="E15" s="3017">
        <v>3.85</v>
      </c>
      <c r="F15" s="3017">
        <v>3.85</v>
      </c>
      <c r="G15" s="3017">
        <v>3.85</v>
      </c>
      <c r="H15" s="3017">
        <v>4.6500000000000004</v>
      </c>
      <c r="I15" s="3022"/>
      <c r="J15" s="3022"/>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8" customFormat="1" ht="15">
      <c r="A18" s="1424"/>
      <c r="B18" s="3017"/>
      <c r="C18" s="3018">
        <v>43728</v>
      </c>
      <c r="D18" s="3017">
        <v>4.2</v>
      </c>
      <c r="E18" s="3017">
        <v>4.2</v>
      </c>
      <c r="F18" s="3017">
        <v>4.2</v>
      </c>
      <c r="G18" s="3017">
        <v>4.2</v>
      </c>
      <c r="H18" s="3017">
        <v>4.8499999999999996</v>
      </c>
      <c r="I18" s="3017"/>
      <c r="J18" s="3017"/>
      <c r="K18" s="1418"/>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ht="14.25">
      <c r="A19" s="1424"/>
      <c r="B19" s="3016" t="s">
        <v>2998</v>
      </c>
      <c r="C19" s="3019">
        <v>43697</v>
      </c>
      <c r="D19" s="3020">
        <v>4.25</v>
      </c>
      <c r="E19" s="3020">
        <v>4.25</v>
      </c>
      <c r="F19" s="3020">
        <v>4.25</v>
      </c>
      <c r="G19" s="3020">
        <v>4.25</v>
      </c>
      <c r="H19" s="3020">
        <v>4.8499999999999996</v>
      </c>
      <c r="I19" s="3020"/>
      <c r="J19" s="3020"/>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ht="14.25">
      <c r="A20" s="3023"/>
      <c r="B20" s="3024"/>
      <c r="C20" s="3025">
        <v>42301</v>
      </c>
      <c r="D20" s="3026">
        <v>4.3499999999999996</v>
      </c>
      <c r="E20" s="3026">
        <v>4.3499999999999996</v>
      </c>
      <c r="F20" s="3026">
        <v>4.75</v>
      </c>
      <c r="G20" s="3026">
        <v>4.75</v>
      </c>
      <c r="H20" s="3026">
        <v>4.9000000000000004</v>
      </c>
      <c r="I20" s="3026"/>
      <c r="J20" s="3026"/>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1"/>
  <sheetViews>
    <sheetView workbookViewId="0">
      <selection activeCell="N39" sqref="N39"/>
    </sheetView>
  </sheetViews>
  <sheetFormatPr defaultRowHeight="13.5"/>
  <cols>
    <col min="5" max="5" width="12.75" customWidth="1"/>
    <col min="7" max="7" width="12.125" customWidth="1"/>
  </cols>
  <sheetData>
    <row r="7" spans="4:10" ht="27">
      <c r="D7" s="3217" t="s">
        <v>3144</v>
      </c>
      <c r="E7" s="3218" t="s">
        <v>3146</v>
      </c>
      <c r="F7" s="3217" t="s">
        <v>3145</v>
      </c>
      <c r="G7" s="3217" t="s">
        <v>3149</v>
      </c>
      <c r="H7" s="3217"/>
      <c r="J7">
        <f>E15+E14+E13+E12+E11</f>
        <v>38000.42</v>
      </c>
    </row>
    <row r="8" spans="4:10">
      <c r="D8">
        <v>-2</v>
      </c>
      <c r="E8">
        <v>9100.91</v>
      </c>
      <c r="F8">
        <v>3971.39</v>
      </c>
      <c r="G8" s="3221">
        <f>E8/E16</f>
        <v>0.14994408139271273</v>
      </c>
      <c r="H8" s="3219"/>
      <c r="J8">
        <f>9776.31+12918.63</f>
        <v>22694.94</v>
      </c>
    </row>
    <row r="9" spans="4:10">
      <c r="D9" s="3600">
        <v>-1</v>
      </c>
      <c r="E9">
        <v>3817.72</v>
      </c>
      <c r="F9" s="3600">
        <f>27.6+26.54</f>
        <v>54.14</v>
      </c>
      <c r="G9" s="3221">
        <f>E9/E16</f>
        <v>6.2899701064463576E-2</v>
      </c>
      <c r="H9" s="3219"/>
    </row>
    <row r="10" spans="4:10">
      <c r="D10" s="3600"/>
      <c r="E10">
        <f>9776.31</f>
        <v>9776.31</v>
      </c>
      <c r="F10" s="3600"/>
      <c r="G10" s="3221">
        <f>E10/E16</f>
        <v>0.16107178538853711</v>
      </c>
      <c r="H10" s="3219"/>
    </row>
    <row r="11" spans="4:10">
      <c r="D11">
        <v>1</v>
      </c>
      <c r="E11">
        <f>9510.17</f>
        <v>9510.17</v>
      </c>
      <c r="F11">
        <f>28.8+55.57</f>
        <v>84.37</v>
      </c>
      <c r="G11" s="3221">
        <f>E11/E16</f>
        <v>0.15668693620072441</v>
      </c>
      <c r="H11" s="3219"/>
    </row>
    <row r="12" spans="4:10">
      <c r="D12">
        <v>2</v>
      </c>
      <c r="E12">
        <v>9259.39</v>
      </c>
      <c r="G12" s="3221">
        <f>E12/E16</f>
        <v>0.15255515413369325</v>
      </c>
    </row>
    <row r="13" spans="4:10">
      <c r="D13">
        <v>3</v>
      </c>
      <c r="E13">
        <v>9345.5</v>
      </c>
      <c r="G13" s="3221">
        <f>E13/E16</f>
        <v>0.15397387872812682</v>
      </c>
    </row>
    <row r="14" spans="4:10">
      <c r="D14">
        <v>4</v>
      </c>
      <c r="E14">
        <v>9376.94</v>
      </c>
      <c r="G14" s="3221">
        <f>E14/E16</f>
        <v>0.15449187549097659</v>
      </c>
    </row>
    <row r="15" spans="4:10">
      <c r="D15" s="3217" t="s">
        <v>3148</v>
      </c>
      <c r="E15">
        <v>508.42</v>
      </c>
      <c r="G15" s="3221">
        <f>E15/E16</f>
        <v>8.3765876007655289E-3</v>
      </c>
    </row>
    <row r="16" spans="4:10">
      <c r="D16" s="3217" t="s">
        <v>3147</v>
      </c>
      <c r="E16">
        <f>SUM(E8:E15)</f>
        <v>60695.360000000001</v>
      </c>
      <c r="F16">
        <f>SUM(F8:F14)</f>
        <v>4109.8999999999996</v>
      </c>
    </row>
    <row r="17" spans="3:7">
      <c r="E17">
        <f>E16+F16</f>
        <v>64805.26</v>
      </c>
    </row>
    <row r="22" spans="3:7" ht="27">
      <c r="D22" s="3217" t="s">
        <v>3144</v>
      </c>
      <c r="E22" s="3218" t="s">
        <v>3146</v>
      </c>
      <c r="F22" s="3217" t="s">
        <v>3145</v>
      </c>
      <c r="G22" s="3217"/>
    </row>
    <row r="23" spans="3:7">
      <c r="C23">
        <v>60635.1</v>
      </c>
      <c r="D23">
        <v>-2</v>
      </c>
      <c r="E23" s="3220">
        <f>ROUND(C23*G8,2)</f>
        <v>9091.8700000000008</v>
      </c>
      <c r="F23">
        <v>4031.63</v>
      </c>
      <c r="G23" s="3217" t="s">
        <v>3151</v>
      </c>
    </row>
    <row r="24" spans="3:7">
      <c r="C24">
        <v>60635.1</v>
      </c>
      <c r="D24" s="3600">
        <v>-1</v>
      </c>
      <c r="E24" s="3220">
        <f t="shared" ref="E24:E30" si="0">ROUND(C24*G9,2)</f>
        <v>3813.93</v>
      </c>
      <c r="F24" s="3600">
        <v>54.14</v>
      </c>
      <c r="G24" s="3217" t="s">
        <v>3151</v>
      </c>
    </row>
    <row r="25" spans="3:7">
      <c r="C25">
        <v>60635.1</v>
      </c>
      <c r="D25" s="3600"/>
      <c r="E25" s="3220">
        <f>ROUND(C25*G10,2)</f>
        <v>9766.6</v>
      </c>
      <c r="F25" s="3600"/>
      <c r="G25" s="3217" t="s">
        <v>3152</v>
      </c>
    </row>
    <row r="26" spans="3:7">
      <c r="C26">
        <v>60635.1</v>
      </c>
      <c r="D26">
        <v>1</v>
      </c>
      <c r="E26" s="3220">
        <f t="shared" si="0"/>
        <v>9500.73</v>
      </c>
      <c r="F26">
        <v>84.37</v>
      </c>
      <c r="G26" s="3217" t="s">
        <v>3152</v>
      </c>
    </row>
    <row r="27" spans="3:7">
      <c r="C27">
        <v>60635.1</v>
      </c>
      <c r="D27">
        <v>2</v>
      </c>
      <c r="E27" s="3220">
        <f t="shared" si="0"/>
        <v>9250.2000000000007</v>
      </c>
      <c r="G27" s="3217" t="s">
        <v>3152</v>
      </c>
    </row>
    <row r="28" spans="3:7">
      <c r="C28">
        <v>60635.1</v>
      </c>
      <c r="D28">
        <v>3</v>
      </c>
      <c r="E28" s="3220">
        <f t="shared" si="0"/>
        <v>9336.2199999999993</v>
      </c>
      <c r="G28" s="3217" t="s">
        <v>3152</v>
      </c>
    </row>
    <row r="29" spans="3:7">
      <c r="C29">
        <v>60635.1</v>
      </c>
      <c r="D29">
        <v>4</v>
      </c>
      <c r="E29" s="3220">
        <f t="shared" si="0"/>
        <v>9367.6299999999992</v>
      </c>
      <c r="G29" s="3217" t="s">
        <v>3152</v>
      </c>
    </row>
    <row r="30" spans="3:7">
      <c r="C30">
        <v>60635.1</v>
      </c>
      <c r="D30" s="3217" t="s">
        <v>3148</v>
      </c>
      <c r="E30" s="3220">
        <f t="shared" si="0"/>
        <v>507.92</v>
      </c>
    </row>
    <row r="31" spans="3:7">
      <c r="D31" s="3217" t="s">
        <v>3147</v>
      </c>
      <c r="E31" s="3220">
        <f>SUM(E23:E30)</f>
        <v>60635.1</v>
      </c>
      <c r="F31" s="3220">
        <f>SUM(F23:F30)</f>
        <v>4170.1400000000003</v>
      </c>
    </row>
  </sheetData>
  <mergeCells count="4">
    <mergeCell ref="D9:D10"/>
    <mergeCell ref="D24:D25"/>
    <mergeCell ref="F24:F25"/>
    <mergeCell ref="F9:F10"/>
  </mergeCells>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V219"/>
  <sheetViews>
    <sheetView topLeftCell="C183" zoomScale="85" zoomScaleNormal="85" workbookViewId="0">
      <selection activeCell="H223" sqref="H223"/>
    </sheetView>
  </sheetViews>
  <sheetFormatPr defaultColWidth="9.125" defaultRowHeight="13.5"/>
  <cols>
    <col min="1" max="1" width="12" style="3254" customWidth="1"/>
    <col min="2" max="2" width="8.5" style="3255" customWidth="1"/>
    <col min="3" max="3" width="10.75" style="3254" customWidth="1"/>
    <col min="4" max="4" width="27" style="3254" customWidth="1"/>
    <col min="5" max="5" width="15.375" style="3254" customWidth="1"/>
    <col min="6" max="8" width="18.125" style="3254" customWidth="1"/>
    <col min="9" max="9" width="18.125" style="3256" customWidth="1"/>
    <col min="10" max="10" width="20.5" style="3254" customWidth="1"/>
    <col min="11" max="11" width="45.375" style="3254" customWidth="1"/>
    <col min="12" max="13" width="20.5" style="3254" customWidth="1"/>
    <col min="14" max="17" width="17.25" style="3254" customWidth="1"/>
    <col min="18" max="18" width="23.375" style="3254" customWidth="1"/>
    <col min="19" max="19" width="12.375" style="3254" customWidth="1"/>
    <col min="20" max="20" width="12.75" style="3254" customWidth="1"/>
    <col min="21" max="21" width="17.25" style="3254" customWidth="1"/>
    <col min="22" max="22" width="9.125" style="3258" hidden="1" customWidth="1"/>
    <col min="23" max="16384" width="9.125" style="3258"/>
  </cols>
  <sheetData>
    <row r="1" spans="1:22" s="3227" customFormat="1" ht="28.15" customHeight="1">
      <c r="A1" s="3601" t="s">
        <v>3181</v>
      </c>
      <c r="B1" s="3602"/>
      <c r="C1" s="3601"/>
      <c r="D1" s="3601"/>
      <c r="E1" s="3601"/>
      <c r="F1" s="3601"/>
      <c r="G1" s="3601"/>
      <c r="H1" s="3601"/>
      <c r="I1" s="3603"/>
      <c r="J1" s="3601"/>
      <c r="K1" s="3601"/>
      <c r="L1" s="3601"/>
      <c r="M1" s="3601"/>
      <c r="N1" s="3601"/>
      <c r="O1" s="3601"/>
      <c r="P1" s="3601"/>
      <c r="Q1" s="3601"/>
      <c r="R1" s="3601"/>
      <c r="S1" s="3601"/>
      <c r="T1" s="3601"/>
      <c r="U1" s="3601"/>
    </row>
    <row r="2" spans="1:22" s="3233" customFormat="1" ht="45" customHeight="1">
      <c r="A2" s="3228" t="s">
        <v>3182</v>
      </c>
      <c r="B2" s="3229" t="s">
        <v>3183</v>
      </c>
      <c r="C2" s="3230" t="s">
        <v>3184</v>
      </c>
      <c r="D2" s="3228" t="s">
        <v>3185</v>
      </c>
      <c r="E2" s="3230" t="s">
        <v>3186</v>
      </c>
      <c r="F2" s="3230" t="s">
        <v>3187</v>
      </c>
      <c r="G2" s="3230" t="s">
        <v>3188</v>
      </c>
      <c r="H2" s="3231" t="s">
        <v>3189</v>
      </c>
      <c r="I2" s="3232" t="s">
        <v>3190</v>
      </c>
      <c r="J2" s="3230" t="s">
        <v>3191</v>
      </c>
      <c r="K2" s="3230" t="s">
        <v>3192</v>
      </c>
      <c r="L2" s="3230" t="s">
        <v>3193</v>
      </c>
      <c r="M2" s="3230" t="s">
        <v>3193</v>
      </c>
      <c r="N2" s="3230" t="s">
        <v>3194</v>
      </c>
      <c r="O2" s="3230"/>
      <c r="P2" s="3230" t="s">
        <v>3195</v>
      </c>
      <c r="Q2" s="3230" t="s">
        <v>3196</v>
      </c>
      <c r="R2" s="3230" t="s">
        <v>3197</v>
      </c>
      <c r="S2" s="3230" t="s">
        <v>3198</v>
      </c>
      <c r="T2" s="3230" t="s">
        <v>3199</v>
      </c>
      <c r="U2" s="3230" t="s">
        <v>3200</v>
      </c>
    </row>
    <row r="3" spans="1:22" s="3246" customFormat="1" ht="24" customHeight="1">
      <c r="A3" s="3234" t="s">
        <v>3201</v>
      </c>
      <c r="B3" s="3235">
        <v>1</v>
      </c>
      <c r="C3" s="3236" t="s">
        <v>3202</v>
      </c>
      <c r="D3" s="3237" t="s">
        <v>3203</v>
      </c>
      <c r="E3" s="3238">
        <v>144</v>
      </c>
      <c r="F3" s="3239" t="s">
        <v>3204</v>
      </c>
      <c r="G3" s="3240" t="s">
        <v>3205</v>
      </c>
      <c r="H3" s="3240" t="s">
        <v>3206</v>
      </c>
      <c r="I3" s="3241">
        <v>24558</v>
      </c>
      <c r="J3" s="3242" t="s">
        <v>3207</v>
      </c>
      <c r="K3" s="3242" t="s">
        <v>3208</v>
      </c>
      <c r="L3" s="3242" t="s">
        <v>3209</v>
      </c>
      <c r="M3" s="3242" t="s">
        <v>3210</v>
      </c>
      <c r="N3" s="3243">
        <v>2.5</v>
      </c>
      <c r="O3" s="3243">
        <f>N3*E3</f>
        <v>360</v>
      </c>
      <c r="P3" s="3244">
        <v>0</v>
      </c>
      <c r="Q3" s="3243"/>
      <c r="R3" s="3243" t="s">
        <v>3211</v>
      </c>
      <c r="S3" s="3243" t="s">
        <v>3212</v>
      </c>
      <c r="T3" s="3243" t="s">
        <v>3213</v>
      </c>
      <c r="U3" s="3245" t="s">
        <v>3214</v>
      </c>
    </row>
    <row r="4" spans="1:22" s="3246" customFormat="1" ht="24" customHeight="1">
      <c r="A4" s="3234" t="s">
        <v>3201</v>
      </c>
      <c r="B4" s="3235">
        <v>2</v>
      </c>
      <c r="C4" s="3236" t="s">
        <v>3202</v>
      </c>
      <c r="D4" s="3237" t="s">
        <v>3215</v>
      </c>
      <c r="E4" s="3238">
        <v>10</v>
      </c>
      <c r="F4" s="3239" t="s">
        <v>3216</v>
      </c>
      <c r="G4" s="3240" t="s">
        <v>3216</v>
      </c>
      <c r="H4" s="3240" t="s">
        <v>3206</v>
      </c>
      <c r="I4" s="3241">
        <v>42888</v>
      </c>
      <c r="J4" s="3242" t="s">
        <v>3217</v>
      </c>
      <c r="K4" s="3242" t="s">
        <v>3218</v>
      </c>
      <c r="L4" s="3242" t="s">
        <v>3219</v>
      </c>
      <c r="M4" s="3242" t="s">
        <v>3220</v>
      </c>
      <c r="N4" s="3243">
        <v>4</v>
      </c>
      <c r="O4" s="3243">
        <f t="shared" ref="O4:O67" si="0">N4*E4</f>
        <v>40</v>
      </c>
      <c r="P4" s="3244">
        <v>0</v>
      </c>
      <c r="Q4" s="3243"/>
      <c r="R4" s="3243" t="s">
        <v>3221</v>
      </c>
      <c r="S4" s="3243" t="s">
        <v>3222</v>
      </c>
      <c r="T4" s="3243" t="s">
        <v>3223</v>
      </c>
      <c r="U4" s="3245" t="s">
        <v>3214</v>
      </c>
    </row>
    <row r="5" spans="1:22" s="3246" customFormat="1" ht="24" customHeight="1">
      <c r="A5" s="3234" t="s">
        <v>3201</v>
      </c>
      <c r="B5" s="3235">
        <v>3</v>
      </c>
      <c r="C5" s="3236" t="s">
        <v>3202</v>
      </c>
      <c r="D5" s="3237" t="s">
        <v>3224</v>
      </c>
      <c r="E5" s="3238">
        <v>20</v>
      </c>
      <c r="F5" s="3239" t="s">
        <v>3216</v>
      </c>
      <c r="G5" s="3240" t="s">
        <v>3216</v>
      </c>
      <c r="H5" s="3240" t="s">
        <v>3206</v>
      </c>
      <c r="I5" s="3241">
        <v>42890</v>
      </c>
      <c r="J5" s="3242" t="s">
        <v>3225</v>
      </c>
      <c r="K5" s="3242" t="s">
        <v>3226</v>
      </c>
      <c r="L5" s="3242" t="s">
        <v>3227</v>
      </c>
      <c r="M5" s="3242" t="s">
        <v>3228</v>
      </c>
      <c r="N5" s="3243">
        <v>4</v>
      </c>
      <c r="O5" s="3243">
        <f t="shared" si="0"/>
        <v>80</v>
      </c>
      <c r="P5" s="3244">
        <v>0</v>
      </c>
      <c r="Q5" s="3243"/>
      <c r="R5" s="3243" t="s">
        <v>3229</v>
      </c>
      <c r="S5" s="3243" t="s">
        <v>3230</v>
      </c>
      <c r="T5" s="3247" t="s">
        <v>3231</v>
      </c>
      <c r="U5" s="3245" t="s">
        <v>3214</v>
      </c>
    </row>
    <row r="6" spans="1:22" s="3246" customFormat="1" ht="24" customHeight="1">
      <c r="A6" s="3234" t="s">
        <v>3201</v>
      </c>
      <c r="B6" s="3235">
        <v>4</v>
      </c>
      <c r="C6" s="3236" t="s">
        <v>3202</v>
      </c>
      <c r="D6" s="3237" t="s">
        <v>3232</v>
      </c>
      <c r="E6" s="3238">
        <v>30</v>
      </c>
      <c r="F6" s="3239" t="s">
        <v>3204</v>
      </c>
      <c r="G6" s="3240" t="s">
        <v>3205</v>
      </c>
      <c r="H6" s="3240" t="s">
        <v>3206</v>
      </c>
      <c r="I6" s="3241">
        <v>44034</v>
      </c>
      <c r="J6" s="3242" t="s">
        <v>3233</v>
      </c>
      <c r="K6" s="3242" t="s">
        <v>3234</v>
      </c>
      <c r="L6" s="3242" t="s">
        <v>3209</v>
      </c>
      <c r="M6" s="3242" t="s">
        <v>3235</v>
      </c>
      <c r="N6" s="3243">
        <v>8.16</v>
      </c>
      <c r="O6" s="3243">
        <f t="shared" si="0"/>
        <v>244.8</v>
      </c>
      <c r="P6" s="3244">
        <v>0</v>
      </c>
      <c r="Q6" s="3243">
        <v>2.8</v>
      </c>
      <c r="R6" s="3243" t="s">
        <v>3236</v>
      </c>
      <c r="S6" s="3243" t="s">
        <v>3237</v>
      </c>
      <c r="T6" s="3243" t="s">
        <v>3238</v>
      </c>
      <c r="U6" s="3245" t="s">
        <v>3214</v>
      </c>
    </row>
    <row r="7" spans="1:22" s="3246" customFormat="1" ht="24" customHeight="1">
      <c r="A7" s="3234" t="s">
        <v>3201</v>
      </c>
      <c r="B7" s="3235">
        <v>5</v>
      </c>
      <c r="C7" s="3236" t="s">
        <v>3202</v>
      </c>
      <c r="D7" s="3237" t="s">
        <v>3239</v>
      </c>
      <c r="E7" s="3238">
        <v>16</v>
      </c>
      <c r="F7" s="3239" t="s">
        <v>3216</v>
      </c>
      <c r="G7" s="3240" t="s">
        <v>3216</v>
      </c>
      <c r="H7" s="3240" t="s">
        <v>3206</v>
      </c>
      <c r="I7" s="3241">
        <v>44144</v>
      </c>
      <c r="J7" s="3242" t="s">
        <v>3240</v>
      </c>
      <c r="K7" s="3242" t="s">
        <v>3241</v>
      </c>
      <c r="L7" s="3242" t="s">
        <v>3227</v>
      </c>
      <c r="M7" s="3242" t="s">
        <v>3242</v>
      </c>
      <c r="N7" s="3243">
        <v>4</v>
      </c>
      <c r="O7" s="3243">
        <f t="shared" si="0"/>
        <v>64</v>
      </c>
      <c r="P7" s="3244">
        <v>0</v>
      </c>
      <c r="Q7" s="3243"/>
      <c r="R7" s="3243" t="s">
        <v>3243</v>
      </c>
      <c r="S7" s="3243" t="s">
        <v>3244</v>
      </c>
      <c r="T7" s="3243" t="s">
        <v>3238</v>
      </c>
      <c r="U7" s="3245" t="s">
        <v>3214</v>
      </c>
    </row>
    <row r="8" spans="1:22" s="3246" customFormat="1" ht="24" customHeight="1">
      <c r="A8" s="3234" t="s">
        <v>3201</v>
      </c>
      <c r="B8" s="3235">
        <v>6</v>
      </c>
      <c r="C8" s="3236" t="s">
        <v>3202</v>
      </c>
      <c r="D8" s="3237" t="s">
        <v>3245</v>
      </c>
      <c r="E8" s="3238">
        <v>13723.5</v>
      </c>
      <c r="F8" s="3239" t="s">
        <v>3246</v>
      </c>
      <c r="G8" s="3240" t="s">
        <v>3247</v>
      </c>
      <c r="H8" s="3240" t="s">
        <v>3206</v>
      </c>
      <c r="I8" s="3241">
        <v>44904</v>
      </c>
      <c r="J8" s="3242" t="s">
        <v>3248</v>
      </c>
      <c r="K8" s="3242" t="s">
        <v>3249</v>
      </c>
      <c r="L8" s="3242"/>
      <c r="M8" s="3242"/>
      <c r="N8" s="3243">
        <v>0.16</v>
      </c>
      <c r="O8" s="3243">
        <f t="shared" si="0"/>
        <v>2195.7600000000002</v>
      </c>
      <c r="P8" s="3244">
        <v>0</v>
      </c>
      <c r="Q8" s="3243"/>
      <c r="R8" s="3243" t="s">
        <v>3243</v>
      </c>
      <c r="S8" s="3243" t="s">
        <v>3244</v>
      </c>
      <c r="T8" s="3247" t="s">
        <v>3238</v>
      </c>
      <c r="U8" s="3245" t="s">
        <v>3214</v>
      </c>
    </row>
    <row r="9" spans="1:22" s="3246" customFormat="1" ht="24" customHeight="1">
      <c r="A9" s="3234" t="s">
        <v>3201</v>
      </c>
      <c r="B9" s="3235">
        <v>7</v>
      </c>
      <c r="C9" s="3236" t="s">
        <v>3202</v>
      </c>
      <c r="D9" s="3237" t="s">
        <v>3250</v>
      </c>
      <c r="E9" s="3238">
        <v>36</v>
      </c>
      <c r="F9" s="3239" t="s">
        <v>3216</v>
      </c>
      <c r="G9" s="3240" t="s">
        <v>3216</v>
      </c>
      <c r="H9" s="3240" t="s">
        <v>3206</v>
      </c>
      <c r="I9" s="3241">
        <v>47410</v>
      </c>
      <c r="J9" s="3242" t="s">
        <v>3251</v>
      </c>
      <c r="K9" s="3242" t="s">
        <v>3252</v>
      </c>
      <c r="L9" s="3242" t="s">
        <v>3219</v>
      </c>
      <c r="M9" s="3242" t="s">
        <v>3253</v>
      </c>
      <c r="N9" s="3243">
        <v>4</v>
      </c>
      <c r="O9" s="3243">
        <f t="shared" si="0"/>
        <v>144</v>
      </c>
      <c r="P9" s="3244">
        <v>0</v>
      </c>
      <c r="Q9" s="3243"/>
      <c r="R9" s="3243" t="s">
        <v>3243</v>
      </c>
      <c r="S9" s="3243" t="s">
        <v>3254</v>
      </c>
      <c r="T9" s="3243" t="s">
        <v>3255</v>
      </c>
      <c r="U9" s="3245" t="s">
        <v>3214</v>
      </c>
    </row>
    <row r="10" spans="1:22" s="3246" customFormat="1" ht="24" customHeight="1">
      <c r="A10" s="3234" t="s">
        <v>3201</v>
      </c>
      <c r="B10" s="3235">
        <v>8</v>
      </c>
      <c r="C10" s="3236" t="s">
        <v>3202</v>
      </c>
      <c r="D10" s="3237" t="s">
        <v>3256</v>
      </c>
      <c r="E10" s="3238">
        <v>20</v>
      </c>
      <c r="F10" s="3239" t="s">
        <v>3216</v>
      </c>
      <c r="G10" s="3240" t="s">
        <v>3216</v>
      </c>
      <c r="H10" s="3240" t="s">
        <v>3206</v>
      </c>
      <c r="I10" s="3241">
        <v>47611</v>
      </c>
      <c r="J10" s="3242" t="s">
        <v>3257</v>
      </c>
      <c r="K10" s="3242" t="s">
        <v>3258</v>
      </c>
      <c r="L10" s="3242" t="s">
        <v>3259</v>
      </c>
      <c r="M10" s="3242" t="s">
        <v>3260</v>
      </c>
      <c r="N10" s="3243">
        <v>5</v>
      </c>
      <c r="O10" s="3243">
        <f t="shared" si="0"/>
        <v>100</v>
      </c>
      <c r="P10" s="3244">
        <v>0</v>
      </c>
      <c r="Q10" s="3243"/>
      <c r="R10" s="3243" t="s">
        <v>3261</v>
      </c>
      <c r="S10" s="3243" t="s">
        <v>3254</v>
      </c>
      <c r="T10" s="3247" t="s">
        <v>3238</v>
      </c>
      <c r="U10" s="3245" t="s">
        <v>3214</v>
      </c>
    </row>
    <row r="11" spans="1:22" s="3246" customFormat="1" ht="24" customHeight="1">
      <c r="A11" s="3234" t="s">
        <v>3201</v>
      </c>
      <c r="B11" s="3235">
        <v>9</v>
      </c>
      <c r="C11" s="3236" t="s">
        <v>3202</v>
      </c>
      <c r="D11" s="3237" t="s">
        <v>3262</v>
      </c>
      <c r="E11" s="3238">
        <v>10</v>
      </c>
      <c r="F11" s="3239" t="s">
        <v>3216</v>
      </c>
      <c r="G11" s="3240" t="s">
        <v>3216</v>
      </c>
      <c r="H11" s="3240" t="s">
        <v>3206</v>
      </c>
      <c r="I11" s="3241">
        <v>49659</v>
      </c>
      <c r="J11" s="3242" t="s">
        <v>3263</v>
      </c>
      <c r="K11" s="3242" t="s">
        <v>3264</v>
      </c>
      <c r="L11" s="3242" t="s">
        <v>3219</v>
      </c>
      <c r="M11" s="3242" t="s">
        <v>3265</v>
      </c>
      <c r="N11" s="3243">
        <v>4</v>
      </c>
      <c r="O11" s="3243">
        <f t="shared" si="0"/>
        <v>40</v>
      </c>
      <c r="P11" s="3244">
        <v>0</v>
      </c>
      <c r="Q11" s="3243"/>
      <c r="R11" s="3243" t="s">
        <v>3266</v>
      </c>
      <c r="S11" s="3243" t="s">
        <v>3267</v>
      </c>
      <c r="T11" s="3247" t="s">
        <v>3238</v>
      </c>
      <c r="U11" s="3245" t="s">
        <v>3214</v>
      </c>
    </row>
    <row r="12" spans="1:22" s="3246" customFormat="1" ht="24" customHeight="1">
      <c r="A12" s="3234" t="s">
        <v>3201</v>
      </c>
      <c r="B12" s="3235">
        <v>10</v>
      </c>
      <c r="C12" s="3236" t="s">
        <v>3202</v>
      </c>
      <c r="D12" s="3237" t="s">
        <v>3268</v>
      </c>
      <c r="E12" s="3238">
        <v>16</v>
      </c>
      <c r="F12" s="3239" t="s">
        <v>3216</v>
      </c>
      <c r="G12" s="3240" t="s">
        <v>3216</v>
      </c>
      <c r="H12" s="3240" t="s">
        <v>3206</v>
      </c>
      <c r="I12" s="3241">
        <v>51456</v>
      </c>
      <c r="J12" s="3242" t="s">
        <v>3269</v>
      </c>
      <c r="K12" s="3242" t="s">
        <v>3270</v>
      </c>
      <c r="L12" s="3242" t="s">
        <v>3227</v>
      </c>
      <c r="M12" s="3242" t="s">
        <v>3271</v>
      </c>
      <c r="N12" s="3243">
        <v>4</v>
      </c>
      <c r="O12" s="3243">
        <f t="shared" si="0"/>
        <v>64</v>
      </c>
      <c r="P12" s="3244">
        <v>0</v>
      </c>
      <c r="Q12" s="3243"/>
      <c r="R12" s="3243" t="s">
        <v>3272</v>
      </c>
      <c r="S12" s="3243" t="s">
        <v>3273</v>
      </c>
      <c r="T12" s="3243" t="s">
        <v>3274</v>
      </c>
      <c r="U12" s="3245" t="s">
        <v>3214</v>
      </c>
      <c r="V12" s="3248" t="s">
        <v>3275</v>
      </c>
    </row>
    <row r="13" spans="1:22" s="3246" customFormat="1" ht="24" customHeight="1">
      <c r="A13" s="3234" t="s">
        <v>3201</v>
      </c>
      <c r="B13" s="3235">
        <v>11</v>
      </c>
      <c r="C13" s="3236" t="s">
        <v>3202</v>
      </c>
      <c r="D13" s="3237" t="s">
        <v>3276</v>
      </c>
      <c r="E13" s="3238">
        <v>8</v>
      </c>
      <c r="F13" s="3239" t="s">
        <v>3216</v>
      </c>
      <c r="G13" s="3240" t="s">
        <v>3216</v>
      </c>
      <c r="H13" s="3240" t="s">
        <v>3206</v>
      </c>
      <c r="I13" s="3241">
        <v>71977</v>
      </c>
      <c r="J13" s="3242" t="s">
        <v>3277</v>
      </c>
      <c r="K13" s="3242" t="s">
        <v>3278</v>
      </c>
      <c r="L13" s="3249" t="s">
        <v>3219</v>
      </c>
      <c r="M13" s="3242" t="s">
        <v>3219</v>
      </c>
      <c r="N13" s="3243">
        <v>4</v>
      </c>
      <c r="O13" s="3243">
        <f t="shared" si="0"/>
        <v>32</v>
      </c>
      <c r="P13" s="3244">
        <v>0</v>
      </c>
      <c r="Q13" s="3243"/>
      <c r="R13" s="3243" t="s">
        <v>3279</v>
      </c>
      <c r="S13" s="3243" t="s">
        <v>3280</v>
      </c>
      <c r="T13" s="3243" t="s">
        <v>3281</v>
      </c>
      <c r="U13" s="3245" t="s">
        <v>3214</v>
      </c>
    </row>
    <row r="14" spans="1:22" s="3246" customFormat="1" ht="24" customHeight="1">
      <c r="A14" s="3234" t="s">
        <v>3201</v>
      </c>
      <c r="B14" s="3235">
        <v>12</v>
      </c>
      <c r="C14" s="3236" t="s">
        <v>3282</v>
      </c>
      <c r="D14" s="3237" t="s">
        <v>3283</v>
      </c>
      <c r="E14" s="3238">
        <v>12</v>
      </c>
      <c r="F14" s="3239" t="s">
        <v>3204</v>
      </c>
      <c r="G14" s="3240" t="s">
        <v>3205</v>
      </c>
      <c r="H14" s="3240" t="s">
        <v>3206</v>
      </c>
      <c r="I14" s="3241">
        <v>28876</v>
      </c>
      <c r="J14" s="3242" t="s">
        <v>3284</v>
      </c>
      <c r="K14" s="3242" t="s">
        <v>3285</v>
      </c>
      <c r="L14" s="3242" t="s">
        <v>3209</v>
      </c>
      <c r="M14" s="3242" t="s">
        <v>3286</v>
      </c>
      <c r="N14" s="3243">
        <v>12</v>
      </c>
      <c r="O14" s="3243">
        <f t="shared" si="0"/>
        <v>144</v>
      </c>
      <c r="P14" s="3244">
        <v>0.1</v>
      </c>
      <c r="Q14" s="3243">
        <v>2.8</v>
      </c>
      <c r="R14" s="3243" t="s">
        <v>3287</v>
      </c>
      <c r="S14" s="3243" t="s">
        <v>3288</v>
      </c>
      <c r="T14" s="3243" t="s">
        <v>3289</v>
      </c>
      <c r="U14" s="3245" t="s">
        <v>3214</v>
      </c>
    </row>
    <row r="15" spans="1:22" s="3246" customFormat="1" ht="24" customHeight="1">
      <c r="A15" s="3234" t="s">
        <v>3201</v>
      </c>
      <c r="B15" s="3235">
        <v>13</v>
      </c>
      <c r="C15" s="3236" t="s">
        <v>3282</v>
      </c>
      <c r="D15" s="3237" t="s">
        <v>3290</v>
      </c>
      <c r="E15" s="3238">
        <v>14</v>
      </c>
      <c r="F15" s="3239" t="s">
        <v>3216</v>
      </c>
      <c r="G15" s="3240" t="s">
        <v>3216</v>
      </c>
      <c r="H15" s="3240" t="s">
        <v>3206</v>
      </c>
      <c r="I15" s="3241">
        <v>34314</v>
      </c>
      <c r="J15" s="3242" t="s">
        <v>3291</v>
      </c>
      <c r="K15" s="3242" t="s">
        <v>3292</v>
      </c>
      <c r="L15" s="3242" t="s">
        <v>3209</v>
      </c>
      <c r="M15" s="3242" t="s">
        <v>3293</v>
      </c>
      <c r="N15" s="3243">
        <v>3.3</v>
      </c>
      <c r="O15" s="3243">
        <f t="shared" si="0"/>
        <v>46.199999999999996</v>
      </c>
      <c r="P15" s="3244">
        <v>0</v>
      </c>
      <c r="Q15" s="3243"/>
      <c r="R15" s="3243" t="s">
        <v>3294</v>
      </c>
      <c r="S15" s="3243" t="s">
        <v>3295</v>
      </c>
      <c r="T15" s="3243" t="s">
        <v>3238</v>
      </c>
      <c r="U15" s="3245" t="s">
        <v>3214</v>
      </c>
    </row>
    <row r="16" spans="1:22" s="3246" customFormat="1" ht="24" customHeight="1">
      <c r="A16" s="3234" t="s">
        <v>3201</v>
      </c>
      <c r="B16" s="3235">
        <v>14</v>
      </c>
      <c r="C16" s="3236" t="s">
        <v>3282</v>
      </c>
      <c r="D16" s="3237" t="s">
        <v>3296</v>
      </c>
      <c r="E16" s="3238">
        <v>10</v>
      </c>
      <c r="F16" s="3239" t="s">
        <v>3204</v>
      </c>
      <c r="G16" s="3240" t="s">
        <v>3205</v>
      </c>
      <c r="H16" s="3240" t="s">
        <v>3206</v>
      </c>
      <c r="I16" s="3241">
        <v>34742</v>
      </c>
      <c r="J16" s="3242" t="s">
        <v>3297</v>
      </c>
      <c r="K16" s="3242" t="s">
        <v>3298</v>
      </c>
      <c r="L16" s="3242" t="s">
        <v>3209</v>
      </c>
      <c r="M16" s="3242" t="s">
        <v>3299</v>
      </c>
      <c r="N16" s="3243">
        <v>25.78</v>
      </c>
      <c r="O16" s="3243">
        <f t="shared" si="0"/>
        <v>257.8</v>
      </c>
      <c r="P16" s="3244">
        <v>0</v>
      </c>
      <c r="Q16" s="3243">
        <v>2.8</v>
      </c>
      <c r="R16" s="3243" t="s">
        <v>3300</v>
      </c>
      <c r="S16" s="3243" t="s">
        <v>3301</v>
      </c>
      <c r="T16" s="3243" t="s">
        <v>3302</v>
      </c>
      <c r="U16" s="3245" t="s">
        <v>3214</v>
      </c>
    </row>
    <row r="17" spans="1:22" s="3246" customFormat="1" ht="24" customHeight="1">
      <c r="A17" s="3234" t="s">
        <v>3201</v>
      </c>
      <c r="B17" s="3235">
        <v>15</v>
      </c>
      <c r="C17" s="3236" t="s">
        <v>3282</v>
      </c>
      <c r="D17" s="3237" t="s">
        <v>3303</v>
      </c>
      <c r="E17" s="3238">
        <v>45</v>
      </c>
      <c r="F17" s="3239" t="s">
        <v>3204</v>
      </c>
      <c r="G17" s="3240" t="s">
        <v>3205</v>
      </c>
      <c r="H17" s="3240" t="s">
        <v>3206</v>
      </c>
      <c r="I17" s="3241">
        <v>35585</v>
      </c>
      <c r="J17" s="3242" t="s">
        <v>3304</v>
      </c>
      <c r="K17" s="3242" t="s">
        <v>3305</v>
      </c>
      <c r="L17" s="3242" t="s">
        <v>3219</v>
      </c>
      <c r="M17" s="3242" t="s">
        <v>3306</v>
      </c>
      <c r="N17" s="3243">
        <v>14.07</v>
      </c>
      <c r="O17" s="3243">
        <f t="shared" si="0"/>
        <v>633.15</v>
      </c>
      <c r="P17" s="3244">
        <v>0.12</v>
      </c>
      <c r="Q17" s="3243">
        <v>2.8</v>
      </c>
      <c r="R17" s="3243" t="s">
        <v>3307</v>
      </c>
      <c r="S17" s="3243" t="s">
        <v>3308</v>
      </c>
      <c r="T17" s="3243" t="s">
        <v>3274</v>
      </c>
      <c r="U17" s="3245" t="s">
        <v>3214</v>
      </c>
    </row>
    <row r="18" spans="1:22" s="3246" customFormat="1" ht="24" customHeight="1">
      <c r="A18" s="3234" t="s">
        <v>3201</v>
      </c>
      <c r="B18" s="3235">
        <v>16</v>
      </c>
      <c r="C18" s="3236" t="s">
        <v>3282</v>
      </c>
      <c r="D18" s="3237" t="s">
        <v>3309</v>
      </c>
      <c r="E18" s="3238">
        <v>1</v>
      </c>
      <c r="F18" s="3239" t="s">
        <v>3246</v>
      </c>
      <c r="G18" s="3239" t="s">
        <v>3246</v>
      </c>
      <c r="H18" s="3240" t="s">
        <v>3206</v>
      </c>
      <c r="I18" s="3241">
        <v>36783</v>
      </c>
      <c r="J18" s="3242" t="s">
        <v>3310</v>
      </c>
      <c r="K18" s="3242" t="s">
        <v>3311</v>
      </c>
      <c r="L18" s="3242" t="s">
        <v>3209</v>
      </c>
      <c r="M18" s="3242" t="s">
        <v>3312</v>
      </c>
      <c r="N18" s="3243">
        <v>0</v>
      </c>
      <c r="O18" s="3243">
        <f t="shared" si="0"/>
        <v>0</v>
      </c>
      <c r="P18" s="3244">
        <v>0</v>
      </c>
      <c r="Q18" s="3243"/>
      <c r="R18" s="3243" t="s">
        <v>3313</v>
      </c>
      <c r="S18" s="3243" t="s">
        <v>3314</v>
      </c>
      <c r="T18" s="3243" t="s">
        <v>3315</v>
      </c>
      <c r="U18" s="3245" t="s">
        <v>3214</v>
      </c>
    </row>
    <row r="19" spans="1:22" s="3246" customFormat="1" ht="24" customHeight="1">
      <c r="A19" s="3234" t="s">
        <v>3201</v>
      </c>
      <c r="B19" s="3235">
        <v>17</v>
      </c>
      <c r="C19" s="3236" t="s">
        <v>3282</v>
      </c>
      <c r="D19" s="3237" t="s">
        <v>3316</v>
      </c>
      <c r="E19" s="3238">
        <v>48</v>
      </c>
      <c r="F19" s="3239" t="s">
        <v>3204</v>
      </c>
      <c r="G19" s="3240" t="s">
        <v>3205</v>
      </c>
      <c r="H19" s="3240" t="s">
        <v>3206</v>
      </c>
      <c r="I19" s="3241">
        <v>43302</v>
      </c>
      <c r="J19" s="3242" t="s">
        <v>3317</v>
      </c>
      <c r="K19" s="3242" t="s">
        <v>3318</v>
      </c>
      <c r="L19" s="3242" t="s">
        <v>3219</v>
      </c>
      <c r="M19" s="3242" t="s">
        <v>3265</v>
      </c>
      <c r="N19" s="3243">
        <v>22.58</v>
      </c>
      <c r="O19" s="3243">
        <f t="shared" si="0"/>
        <v>1083.8399999999999</v>
      </c>
      <c r="P19" s="3244">
        <v>0.15</v>
      </c>
      <c r="Q19" s="3243">
        <v>2.8</v>
      </c>
      <c r="R19" s="3243" t="s">
        <v>3319</v>
      </c>
      <c r="S19" s="3243" t="s">
        <v>3320</v>
      </c>
      <c r="T19" s="3243" t="s">
        <v>3255</v>
      </c>
      <c r="U19" s="3245" t="s">
        <v>3214</v>
      </c>
    </row>
    <row r="20" spans="1:22" s="3246" customFormat="1" ht="24" customHeight="1">
      <c r="A20" s="3234" t="s">
        <v>3201</v>
      </c>
      <c r="B20" s="3235">
        <v>18</v>
      </c>
      <c r="C20" s="3236" t="s">
        <v>3282</v>
      </c>
      <c r="D20" s="3237" t="s">
        <v>3321</v>
      </c>
      <c r="E20" s="3238">
        <v>11</v>
      </c>
      <c r="F20" s="3239" t="s">
        <v>3204</v>
      </c>
      <c r="G20" s="3240" t="s">
        <v>3205</v>
      </c>
      <c r="H20" s="3240" t="s">
        <v>3206</v>
      </c>
      <c r="I20" s="3241">
        <v>43461</v>
      </c>
      <c r="J20" s="3242" t="s">
        <v>3322</v>
      </c>
      <c r="K20" s="3242" t="s">
        <v>3323</v>
      </c>
      <c r="L20" s="3242" t="s">
        <v>3259</v>
      </c>
      <c r="M20" s="3242" t="s">
        <v>3324</v>
      </c>
      <c r="N20" s="3243">
        <v>26</v>
      </c>
      <c r="O20" s="3243">
        <f t="shared" si="0"/>
        <v>286</v>
      </c>
      <c r="P20" s="3244">
        <v>0.15</v>
      </c>
      <c r="Q20" s="3243">
        <v>2.8</v>
      </c>
      <c r="R20" s="3243" t="s">
        <v>3325</v>
      </c>
      <c r="S20" s="3243" t="s">
        <v>3326</v>
      </c>
      <c r="T20" s="3243" t="s">
        <v>3289</v>
      </c>
      <c r="U20" s="3245" t="s">
        <v>3214</v>
      </c>
    </row>
    <row r="21" spans="1:22" s="3246" customFormat="1" ht="24" customHeight="1">
      <c r="A21" s="3234" t="s">
        <v>3201</v>
      </c>
      <c r="B21" s="3235">
        <v>19</v>
      </c>
      <c r="C21" s="3236" t="s">
        <v>3282</v>
      </c>
      <c r="D21" s="3237" t="s">
        <v>3327</v>
      </c>
      <c r="E21" s="3238">
        <v>25</v>
      </c>
      <c r="F21" s="3239" t="s">
        <v>3216</v>
      </c>
      <c r="G21" s="3240" t="s">
        <v>3216</v>
      </c>
      <c r="H21" s="3240" t="s">
        <v>3206</v>
      </c>
      <c r="I21" s="3241">
        <v>46856</v>
      </c>
      <c r="J21" s="3242" t="s">
        <v>3328</v>
      </c>
      <c r="K21" s="3242" t="s">
        <v>3329</v>
      </c>
      <c r="L21" s="3242" t="s">
        <v>3227</v>
      </c>
      <c r="M21" s="3242" t="s">
        <v>3330</v>
      </c>
      <c r="N21" s="3243">
        <v>4</v>
      </c>
      <c r="O21" s="3243">
        <f t="shared" si="0"/>
        <v>100</v>
      </c>
      <c r="P21" s="3244">
        <v>0</v>
      </c>
      <c r="Q21" s="3243"/>
      <c r="R21" s="3243" t="s">
        <v>3243</v>
      </c>
      <c r="S21" s="3243" t="s">
        <v>3331</v>
      </c>
      <c r="T21" s="3243" t="s">
        <v>3332</v>
      </c>
      <c r="U21" s="3245" t="s">
        <v>3214</v>
      </c>
    </row>
    <row r="22" spans="1:22" s="3246" customFormat="1" ht="39.950000000000003" customHeight="1">
      <c r="A22" s="3234" t="s">
        <v>3201</v>
      </c>
      <c r="B22" s="3235">
        <v>20</v>
      </c>
      <c r="C22" s="3236" t="s">
        <v>3282</v>
      </c>
      <c r="D22" s="3250" t="s">
        <v>3333</v>
      </c>
      <c r="E22" s="3238">
        <v>6</v>
      </c>
      <c r="F22" s="3239" t="s">
        <v>3204</v>
      </c>
      <c r="G22" s="3240" t="s">
        <v>3205</v>
      </c>
      <c r="H22" s="3240" t="s">
        <v>3206</v>
      </c>
      <c r="I22" s="3241">
        <v>47608</v>
      </c>
      <c r="J22" s="3242" t="s">
        <v>3334</v>
      </c>
      <c r="K22" s="3242" t="s">
        <v>3335</v>
      </c>
      <c r="L22" s="3242" t="s">
        <v>3219</v>
      </c>
      <c r="M22" s="3242" t="s">
        <v>3265</v>
      </c>
      <c r="N22" s="3243">
        <v>49.32</v>
      </c>
      <c r="O22" s="3243">
        <f t="shared" si="0"/>
        <v>295.92</v>
      </c>
      <c r="P22" s="3244">
        <v>0</v>
      </c>
      <c r="Q22" s="3243"/>
      <c r="R22" s="3243" t="s">
        <v>3336</v>
      </c>
      <c r="S22" s="3243" t="s">
        <v>3337</v>
      </c>
      <c r="T22" s="3243" t="s">
        <v>3338</v>
      </c>
      <c r="U22" s="3245" t="s">
        <v>3214</v>
      </c>
    </row>
    <row r="23" spans="1:22" s="3246" customFormat="1" ht="24" customHeight="1">
      <c r="A23" s="3234" t="s">
        <v>3201</v>
      </c>
      <c r="B23" s="3235">
        <v>21</v>
      </c>
      <c r="C23" s="3236" t="s">
        <v>3282</v>
      </c>
      <c r="D23" s="3237" t="s">
        <v>3339</v>
      </c>
      <c r="E23" s="3238">
        <v>5</v>
      </c>
      <c r="F23" s="3239" t="s">
        <v>3216</v>
      </c>
      <c r="G23" s="3240" t="s">
        <v>3216</v>
      </c>
      <c r="H23" s="3240" t="s">
        <v>3206</v>
      </c>
      <c r="I23" s="3241">
        <v>47610</v>
      </c>
      <c r="J23" s="3242" t="s">
        <v>3340</v>
      </c>
      <c r="K23" s="3242" t="s">
        <v>3335</v>
      </c>
      <c r="L23" s="3242" t="s">
        <v>3219</v>
      </c>
      <c r="M23" s="3242" t="s">
        <v>3265</v>
      </c>
      <c r="N23" s="3243">
        <v>4</v>
      </c>
      <c r="O23" s="3243">
        <f t="shared" si="0"/>
        <v>20</v>
      </c>
      <c r="P23" s="3244">
        <v>0</v>
      </c>
      <c r="Q23" s="3243"/>
      <c r="R23" s="3243" t="s">
        <v>3336</v>
      </c>
      <c r="S23" s="3243" t="s">
        <v>3337</v>
      </c>
      <c r="T23" s="3243" t="s">
        <v>3338</v>
      </c>
      <c r="U23" s="3245" t="s">
        <v>3214</v>
      </c>
    </row>
    <row r="24" spans="1:22" s="3246" customFormat="1" ht="24" customHeight="1">
      <c r="A24" s="3234" t="s">
        <v>3201</v>
      </c>
      <c r="B24" s="3235">
        <v>22</v>
      </c>
      <c r="C24" s="3236" t="s">
        <v>3282</v>
      </c>
      <c r="D24" s="3237" t="s">
        <v>3341</v>
      </c>
      <c r="E24" s="3238">
        <v>2</v>
      </c>
      <c r="F24" s="3239" t="s">
        <v>3204</v>
      </c>
      <c r="G24" s="3240" t="s">
        <v>3205</v>
      </c>
      <c r="H24" s="3240" t="s">
        <v>3206</v>
      </c>
      <c r="I24" s="3241" t="s">
        <v>3342</v>
      </c>
      <c r="J24" s="3242" t="s">
        <v>3343</v>
      </c>
      <c r="K24" s="3242" t="s">
        <v>3344</v>
      </c>
      <c r="L24" s="3242" t="s">
        <v>3259</v>
      </c>
      <c r="M24" s="3242" t="s">
        <v>3345</v>
      </c>
      <c r="N24" s="3243">
        <v>49.32</v>
      </c>
      <c r="O24" s="3243">
        <f t="shared" si="0"/>
        <v>98.64</v>
      </c>
      <c r="P24" s="3244">
        <v>0</v>
      </c>
      <c r="Q24" s="3243"/>
      <c r="R24" s="3243" t="s">
        <v>3346</v>
      </c>
      <c r="S24" s="3243" t="s">
        <v>3347</v>
      </c>
      <c r="T24" s="3243" t="s">
        <v>3213</v>
      </c>
      <c r="U24" s="3245" t="s">
        <v>3214</v>
      </c>
    </row>
    <row r="25" spans="1:22" s="3246" customFormat="1" ht="24" customHeight="1">
      <c r="A25" s="3234" t="s">
        <v>3201</v>
      </c>
      <c r="B25" s="3235">
        <v>23</v>
      </c>
      <c r="C25" s="3236" t="s">
        <v>3282</v>
      </c>
      <c r="D25" s="3237" t="s">
        <v>3348</v>
      </c>
      <c r="E25" s="3238">
        <v>4</v>
      </c>
      <c r="F25" s="3239" t="s">
        <v>3216</v>
      </c>
      <c r="G25" s="3240" t="s">
        <v>3216</v>
      </c>
      <c r="H25" s="3240" t="s">
        <v>3206</v>
      </c>
      <c r="I25" s="3241">
        <v>48175</v>
      </c>
      <c r="J25" s="3242" t="s">
        <v>3349</v>
      </c>
      <c r="K25" s="3242" t="s">
        <v>3350</v>
      </c>
      <c r="L25" s="3242" t="s">
        <v>3259</v>
      </c>
      <c r="M25" s="3242" t="s">
        <v>3351</v>
      </c>
      <c r="N25" s="3243">
        <v>4.1100000000000003</v>
      </c>
      <c r="O25" s="3243">
        <f t="shared" si="0"/>
        <v>16.440000000000001</v>
      </c>
      <c r="P25" s="3244">
        <v>0</v>
      </c>
      <c r="Q25" s="3243"/>
      <c r="R25" s="3243" t="s">
        <v>3352</v>
      </c>
      <c r="S25" s="3243" t="s">
        <v>3353</v>
      </c>
      <c r="T25" s="3243" t="s">
        <v>3223</v>
      </c>
      <c r="U25" s="3245" t="s">
        <v>3214</v>
      </c>
      <c r="V25" s="3248" t="s">
        <v>3275</v>
      </c>
    </row>
    <row r="26" spans="1:22" s="3246" customFormat="1" ht="24" customHeight="1">
      <c r="A26" s="3234" t="s">
        <v>3201</v>
      </c>
      <c r="B26" s="3235">
        <v>24</v>
      </c>
      <c r="C26" s="3236" t="s">
        <v>3282</v>
      </c>
      <c r="D26" s="3237" t="s">
        <v>3354</v>
      </c>
      <c r="E26" s="3238">
        <v>25</v>
      </c>
      <c r="F26" s="3239" t="s">
        <v>3204</v>
      </c>
      <c r="G26" s="3240" t="s">
        <v>3205</v>
      </c>
      <c r="H26" s="3240" t="s">
        <v>3206</v>
      </c>
      <c r="I26" s="3241">
        <v>72181</v>
      </c>
      <c r="J26" s="3242" t="s">
        <v>3355</v>
      </c>
      <c r="K26" s="3242" t="s">
        <v>3356</v>
      </c>
      <c r="L26" s="3242" t="s">
        <v>3219</v>
      </c>
      <c r="M26" s="3242" t="s">
        <v>3306</v>
      </c>
      <c r="N26" s="3243">
        <v>16.93</v>
      </c>
      <c r="O26" s="3243">
        <f t="shared" si="0"/>
        <v>423.25</v>
      </c>
      <c r="P26" s="3244">
        <v>0.15</v>
      </c>
      <c r="Q26" s="3243">
        <v>2.8</v>
      </c>
      <c r="R26" s="3243" t="s">
        <v>3279</v>
      </c>
      <c r="S26" s="3243" t="s">
        <v>3357</v>
      </c>
      <c r="T26" s="3243" t="s">
        <v>3358</v>
      </c>
      <c r="U26" s="3245" t="s">
        <v>3214</v>
      </c>
    </row>
    <row r="27" spans="1:22" s="3246" customFormat="1" ht="24" customHeight="1">
      <c r="A27" s="3234" t="s">
        <v>3201</v>
      </c>
      <c r="B27" s="3235">
        <v>25</v>
      </c>
      <c r="C27" s="3236" t="s">
        <v>3282</v>
      </c>
      <c r="D27" s="3237" t="s">
        <v>3359</v>
      </c>
      <c r="E27" s="3238">
        <v>4</v>
      </c>
      <c r="F27" s="3239" t="s">
        <v>3216</v>
      </c>
      <c r="G27" s="3240" t="s">
        <v>3216</v>
      </c>
      <c r="H27" s="3240" t="s">
        <v>3206</v>
      </c>
      <c r="I27" s="3241">
        <v>49236</v>
      </c>
      <c r="J27" s="3242" t="s">
        <v>3360</v>
      </c>
      <c r="K27" s="3242" t="s">
        <v>3361</v>
      </c>
      <c r="L27" s="3242" t="s">
        <v>3259</v>
      </c>
      <c r="M27" s="3242" t="s">
        <v>3362</v>
      </c>
      <c r="N27" s="3243">
        <v>5</v>
      </c>
      <c r="O27" s="3243">
        <f t="shared" si="0"/>
        <v>20</v>
      </c>
      <c r="P27" s="3244">
        <v>0</v>
      </c>
      <c r="Q27" s="3243"/>
      <c r="R27" s="3243" t="s">
        <v>3363</v>
      </c>
      <c r="S27" s="3243" t="s">
        <v>3364</v>
      </c>
      <c r="T27" s="3243" t="s">
        <v>3231</v>
      </c>
      <c r="U27" s="3245" t="s">
        <v>3214</v>
      </c>
    </row>
    <row r="28" spans="1:22" s="3246" customFormat="1" ht="24" customHeight="1">
      <c r="A28" s="3234" t="s">
        <v>3201</v>
      </c>
      <c r="B28" s="3235">
        <v>26</v>
      </c>
      <c r="C28" s="3236" t="s">
        <v>3282</v>
      </c>
      <c r="D28" s="3237" t="s">
        <v>3365</v>
      </c>
      <c r="E28" s="3238">
        <v>5945.6</v>
      </c>
      <c r="F28" s="3239" t="s">
        <v>3204</v>
      </c>
      <c r="G28" s="3240" t="s">
        <v>3205</v>
      </c>
      <c r="H28" s="3240" t="s">
        <v>3206</v>
      </c>
      <c r="I28" s="3241">
        <v>50265</v>
      </c>
      <c r="J28" s="3242" t="s">
        <v>3366</v>
      </c>
      <c r="K28" s="3242" t="s">
        <v>3367</v>
      </c>
      <c r="L28" s="3242" t="s">
        <v>3368</v>
      </c>
      <c r="M28" s="3242" t="s">
        <v>3366</v>
      </c>
      <c r="N28" s="3243">
        <v>2.76</v>
      </c>
      <c r="O28" s="3243">
        <f t="shared" si="0"/>
        <v>16409.856</v>
      </c>
      <c r="P28" s="3244">
        <v>0</v>
      </c>
      <c r="Q28" s="3243">
        <v>0.5</v>
      </c>
      <c r="R28" s="3243" t="s">
        <v>3369</v>
      </c>
      <c r="S28" s="3243" t="s">
        <v>3370</v>
      </c>
      <c r="T28" s="3243" t="s">
        <v>3371</v>
      </c>
      <c r="U28" s="3245" t="s">
        <v>3214</v>
      </c>
    </row>
    <row r="29" spans="1:22" s="3246" customFormat="1" ht="24" customHeight="1">
      <c r="A29" s="3234" t="s">
        <v>3201</v>
      </c>
      <c r="B29" s="3235">
        <v>27</v>
      </c>
      <c r="C29" s="3236" t="s">
        <v>3282</v>
      </c>
      <c r="D29" s="3237" t="s">
        <v>3372</v>
      </c>
      <c r="E29" s="3238">
        <v>1302</v>
      </c>
      <c r="F29" s="3239" t="s">
        <v>3216</v>
      </c>
      <c r="G29" s="3240" t="s">
        <v>3216</v>
      </c>
      <c r="H29" s="3240" t="s">
        <v>3206</v>
      </c>
      <c r="I29" s="3241">
        <v>50266</v>
      </c>
      <c r="J29" s="3242" t="s">
        <v>3373</v>
      </c>
      <c r="K29" s="3242" t="s">
        <v>3367</v>
      </c>
      <c r="L29" s="3242" t="s">
        <v>3368</v>
      </c>
      <c r="M29" s="3242" t="s">
        <v>3366</v>
      </c>
      <c r="N29" s="3243">
        <v>1.38</v>
      </c>
      <c r="O29" s="3243">
        <f t="shared" si="0"/>
        <v>1796.7599999999998</v>
      </c>
      <c r="P29" s="3244">
        <v>0</v>
      </c>
      <c r="Q29" s="3243"/>
      <c r="R29" s="3243" t="s">
        <v>3369</v>
      </c>
      <c r="S29" s="3243" t="s">
        <v>3370</v>
      </c>
      <c r="T29" s="3243" t="s">
        <v>3371</v>
      </c>
      <c r="U29" s="3245" t="s">
        <v>3214</v>
      </c>
    </row>
    <row r="30" spans="1:22" s="3246" customFormat="1" ht="24" customHeight="1">
      <c r="A30" s="3234" t="s">
        <v>3201</v>
      </c>
      <c r="B30" s="3235">
        <v>28</v>
      </c>
      <c r="C30" s="3236" t="s">
        <v>3282</v>
      </c>
      <c r="D30" s="3237" t="s">
        <v>3374</v>
      </c>
      <c r="E30" s="3238">
        <v>4</v>
      </c>
      <c r="F30" s="3239" t="s">
        <v>3204</v>
      </c>
      <c r="G30" s="3240" t="s">
        <v>3375</v>
      </c>
      <c r="H30" s="3240" t="s">
        <v>3206</v>
      </c>
      <c r="I30" s="3241">
        <v>50298</v>
      </c>
      <c r="J30" s="3242" t="s">
        <v>3376</v>
      </c>
      <c r="K30" s="3242" t="s">
        <v>3377</v>
      </c>
      <c r="L30" s="3242" t="s">
        <v>3219</v>
      </c>
      <c r="M30" s="3242" t="s">
        <v>3306</v>
      </c>
      <c r="N30" s="3243">
        <v>33.46</v>
      </c>
      <c r="O30" s="3243">
        <f t="shared" si="0"/>
        <v>133.84</v>
      </c>
      <c r="P30" s="3244">
        <v>0</v>
      </c>
      <c r="Q30" s="3243">
        <v>2.8</v>
      </c>
      <c r="R30" s="3243" t="s">
        <v>3378</v>
      </c>
      <c r="S30" s="3243" t="s">
        <v>3379</v>
      </c>
      <c r="T30" s="3243" t="s">
        <v>3380</v>
      </c>
      <c r="U30" s="3245" t="s">
        <v>3214</v>
      </c>
    </row>
    <row r="31" spans="1:22" s="3246" customFormat="1" ht="24" customHeight="1">
      <c r="A31" s="3234" t="s">
        <v>3201</v>
      </c>
      <c r="B31" s="3235">
        <v>29</v>
      </c>
      <c r="C31" s="3236" t="s">
        <v>3282</v>
      </c>
      <c r="D31" s="3237" t="s">
        <v>3381</v>
      </c>
      <c r="E31" s="3238">
        <v>30</v>
      </c>
      <c r="F31" s="3239" t="s">
        <v>3204</v>
      </c>
      <c r="G31" s="3240" t="s">
        <v>3205</v>
      </c>
      <c r="H31" s="3240" t="s">
        <v>3206</v>
      </c>
      <c r="I31" s="3241">
        <v>50680</v>
      </c>
      <c r="J31" s="3242" t="s">
        <v>3382</v>
      </c>
      <c r="K31" s="3242" t="s">
        <v>3383</v>
      </c>
      <c r="L31" s="3242" t="s">
        <v>3209</v>
      </c>
      <c r="M31" s="3242" t="s">
        <v>3384</v>
      </c>
      <c r="N31" s="3243">
        <v>17.899999999999999</v>
      </c>
      <c r="O31" s="3243">
        <f t="shared" si="0"/>
        <v>537</v>
      </c>
      <c r="P31" s="3244">
        <v>0.2</v>
      </c>
      <c r="Q31" s="3243">
        <v>2.8</v>
      </c>
      <c r="R31" s="3243" t="s">
        <v>3385</v>
      </c>
      <c r="S31" s="3243" t="s">
        <v>3386</v>
      </c>
      <c r="T31" s="3243" t="s">
        <v>3289</v>
      </c>
      <c r="U31" s="3245" t="s">
        <v>3214</v>
      </c>
    </row>
    <row r="32" spans="1:22" s="3246" customFormat="1" ht="24" customHeight="1">
      <c r="A32" s="3234" t="s">
        <v>3201</v>
      </c>
      <c r="B32" s="3235">
        <v>30</v>
      </c>
      <c r="C32" s="3236" t="s">
        <v>3282</v>
      </c>
      <c r="D32" s="3237" t="s">
        <v>3387</v>
      </c>
      <c r="E32" s="3238">
        <v>2</v>
      </c>
      <c r="F32" s="3239" t="s">
        <v>3204</v>
      </c>
      <c r="G32" s="3240" t="s">
        <v>3205</v>
      </c>
      <c r="H32" s="3240" t="s">
        <v>3206</v>
      </c>
      <c r="I32" s="3241">
        <v>70784</v>
      </c>
      <c r="J32" s="3242" t="s">
        <v>3388</v>
      </c>
      <c r="K32" s="3242" t="s">
        <v>3389</v>
      </c>
      <c r="L32" s="3242" t="s">
        <v>3209</v>
      </c>
      <c r="M32" s="3242" t="s">
        <v>3390</v>
      </c>
      <c r="N32" s="3243">
        <v>28.77</v>
      </c>
      <c r="O32" s="3243">
        <f t="shared" si="0"/>
        <v>57.54</v>
      </c>
      <c r="P32" s="3244">
        <v>0</v>
      </c>
      <c r="Q32" s="3243"/>
      <c r="R32" s="3243" t="s">
        <v>3279</v>
      </c>
      <c r="S32" s="3243" t="s">
        <v>3391</v>
      </c>
      <c r="T32" s="3243" t="s">
        <v>3238</v>
      </c>
      <c r="U32" s="3245" t="s">
        <v>3214</v>
      </c>
    </row>
    <row r="33" spans="1:21" s="3246" customFormat="1" ht="24" hidden="1" customHeight="1">
      <c r="A33" s="3234" t="s">
        <v>3201</v>
      </c>
      <c r="B33" s="3235">
        <v>31</v>
      </c>
      <c r="C33" s="3236" t="s">
        <v>3282</v>
      </c>
      <c r="D33" s="3237" t="s">
        <v>3392</v>
      </c>
      <c r="E33" s="3238">
        <v>17</v>
      </c>
      <c r="F33" s="3239" t="s">
        <v>3216</v>
      </c>
      <c r="G33" s="3240" t="s">
        <v>3216</v>
      </c>
      <c r="H33" s="3240" t="s">
        <v>3393</v>
      </c>
      <c r="I33" s="3241"/>
      <c r="J33" s="3242" t="s">
        <v>3394</v>
      </c>
      <c r="K33" s="3242"/>
      <c r="L33" s="3242"/>
      <c r="M33" s="3242"/>
      <c r="N33" s="3243"/>
      <c r="O33" s="3243">
        <f t="shared" si="0"/>
        <v>0</v>
      </c>
      <c r="P33" s="3244"/>
      <c r="Q33" s="3243"/>
      <c r="R33" s="3243"/>
      <c r="S33" s="3243"/>
      <c r="T33" s="3243"/>
      <c r="U33" s="3245"/>
    </row>
    <row r="34" spans="1:21" s="3246" customFormat="1" ht="24" customHeight="1">
      <c r="A34" s="3234" t="s">
        <v>3201</v>
      </c>
      <c r="B34" s="3235">
        <v>32</v>
      </c>
      <c r="C34" s="3236" t="s">
        <v>3395</v>
      </c>
      <c r="D34" s="3237" t="s">
        <v>3396</v>
      </c>
      <c r="E34" s="3238">
        <v>1</v>
      </c>
      <c r="F34" s="3239" t="s">
        <v>3246</v>
      </c>
      <c r="G34" s="3239" t="s">
        <v>3246</v>
      </c>
      <c r="H34" s="3240" t="s">
        <v>3206</v>
      </c>
      <c r="I34" s="3241">
        <v>23087</v>
      </c>
      <c r="J34" s="3242" t="s">
        <v>3397</v>
      </c>
      <c r="K34" s="3242" t="s">
        <v>3397</v>
      </c>
      <c r="L34" s="3242"/>
      <c r="M34" s="3242"/>
      <c r="N34" s="3243"/>
      <c r="O34" s="3243">
        <f t="shared" si="0"/>
        <v>0</v>
      </c>
      <c r="P34" s="3244"/>
      <c r="Q34" s="3243"/>
      <c r="R34" s="3243" t="s">
        <v>3313</v>
      </c>
      <c r="S34" s="3243" t="s">
        <v>3398</v>
      </c>
      <c r="T34" s="3243" t="s">
        <v>3399</v>
      </c>
      <c r="U34" s="3245" t="s">
        <v>3214</v>
      </c>
    </row>
    <row r="35" spans="1:21" s="3246" customFormat="1" ht="24" customHeight="1">
      <c r="A35" s="3234" t="s">
        <v>3201</v>
      </c>
      <c r="B35" s="3235">
        <v>33</v>
      </c>
      <c r="C35" s="3236" t="s">
        <v>3395</v>
      </c>
      <c r="D35" s="3237" t="s">
        <v>3400</v>
      </c>
      <c r="E35" s="3238">
        <v>107.5</v>
      </c>
      <c r="F35" s="3239" t="s">
        <v>3204</v>
      </c>
      <c r="G35" s="3240" t="s">
        <v>3205</v>
      </c>
      <c r="H35" s="3240" t="s">
        <v>3206</v>
      </c>
      <c r="I35" s="3241">
        <v>48353</v>
      </c>
      <c r="J35" s="3242" t="s">
        <v>3401</v>
      </c>
      <c r="K35" s="3242" t="s">
        <v>3361</v>
      </c>
      <c r="L35" s="3242" t="s">
        <v>3259</v>
      </c>
      <c r="M35" s="3242" t="s">
        <v>3362</v>
      </c>
      <c r="N35" s="3243">
        <v>16</v>
      </c>
      <c r="O35" s="3243">
        <f t="shared" si="0"/>
        <v>1720</v>
      </c>
      <c r="P35" s="3244">
        <v>0.04</v>
      </c>
      <c r="Q35" s="3243">
        <v>2.8</v>
      </c>
      <c r="R35" s="3243" t="s">
        <v>3336</v>
      </c>
      <c r="S35" s="3243" t="s">
        <v>3402</v>
      </c>
      <c r="T35" s="3243" t="s">
        <v>3223</v>
      </c>
      <c r="U35" s="3245" t="s">
        <v>3214</v>
      </c>
    </row>
    <row r="36" spans="1:21" s="3246" customFormat="1" ht="24" customHeight="1">
      <c r="A36" s="3234" t="s">
        <v>3201</v>
      </c>
      <c r="B36" s="3235">
        <v>34</v>
      </c>
      <c r="C36" s="3236" t="s">
        <v>3395</v>
      </c>
      <c r="D36" s="3237" t="s">
        <v>3403</v>
      </c>
      <c r="E36" s="3238">
        <v>343</v>
      </c>
      <c r="F36" s="3239" t="s">
        <v>3204</v>
      </c>
      <c r="G36" s="3240" t="s">
        <v>3205</v>
      </c>
      <c r="H36" s="3240" t="s">
        <v>3206</v>
      </c>
      <c r="I36" s="3241">
        <v>23192</v>
      </c>
      <c r="J36" s="3242" t="s">
        <v>3404</v>
      </c>
      <c r="K36" s="3242" t="s">
        <v>3405</v>
      </c>
      <c r="L36" s="3242" t="s">
        <v>3219</v>
      </c>
      <c r="M36" s="3242" t="s">
        <v>3406</v>
      </c>
      <c r="N36" s="3243"/>
      <c r="O36" s="3243">
        <f t="shared" si="0"/>
        <v>0</v>
      </c>
      <c r="P36" s="3244">
        <v>0.1</v>
      </c>
      <c r="Q36" s="3243">
        <v>0.5</v>
      </c>
      <c r="R36" s="3243" t="s">
        <v>3407</v>
      </c>
      <c r="S36" s="3243" t="s">
        <v>3408</v>
      </c>
      <c r="T36" s="3243" t="s">
        <v>3409</v>
      </c>
      <c r="U36" s="3245" t="s">
        <v>3214</v>
      </c>
    </row>
    <row r="37" spans="1:21" s="3246" customFormat="1" ht="24" customHeight="1">
      <c r="A37" s="3234" t="s">
        <v>3201</v>
      </c>
      <c r="B37" s="3235">
        <v>35</v>
      </c>
      <c r="C37" s="3236" t="s">
        <v>3395</v>
      </c>
      <c r="D37" s="3237" t="s">
        <v>3410</v>
      </c>
      <c r="E37" s="3238">
        <v>71</v>
      </c>
      <c r="F37" s="3239" t="s">
        <v>3204</v>
      </c>
      <c r="G37" s="3240" t="s">
        <v>3205</v>
      </c>
      <c r="H37" s="3240" t="s">
        <v>3206</v>
      </c>
      <c r="I37" s="3241">
        <v>46840</v>
      </c>
      <c r="J37" s="3242" t="s">
        <v>3411</v>
      </c>
      <c r="K37" s="3242" t="s">
        <v>3412</v>
      </c>
      <c r="L37" s="3242" t="s">
        <v>3259</v>
      </c>
      <c r="M37" s="3242" t="s">
        <v>3413</v>
      </c>
      <c r="N37" s="3243">
        <v>19.84</v>
      </c>
      <c r="O37" s="3243">
        <f t="shared" si="0"/>
        <v>1408.64</v>
      </c>
      <c r="P37" s="3244">
        <v>0.18</v>
      </c>
      <c r="Q37" s="3243">
        <v>2.8</v>
      </c>
      <c r="R37" s="3243" t="s">
        <v>3414</v>
      </c>
      <c r="S37" s="3243" t="s">
        <v>3415</v>
      </c>
      <c r="T37" s="3243" t="s">
        <v>3332</v>
      </c>
      <c r="U37" s="3245" t="s">
        <v>3214</v>
      </c>
    </row>
    <row r="38" spans="1:21" s="3246" customFormat="1" ht="24" customHeight="1">
      <c r="A38" s="3234" t="s">
        <v>3201</v>
      </c>
      <c r="B38" s="3235">
        <v>36</v>
      </c>
      <c r="C38" s="3236" t="s">
        <v>3395</v>
      </c>
      <c r="D38" s="3237" t="s">
        <v>3416</v>
      </c>
      <c r="E38" s="3238">
        <v>29</v>
      </c>
      <c r="F38" s="3239" t="s">
        <v>3204</v>
      </c>
      <c r="G38" s="3240" t="s">
        <v>3205</v>
      </c>
      <c r="H38" s="3240" t="s">
        <v>3206</v>
      </c>
      <c r="I38" s="3241">
        <v>44864</v>
      </c>
      <c r="J38" s="3242" t="s">
        <v>3417</v>
      </c>
      <c r="K38" s="3242" t="s">
        <v>3418</v>
      </c>
      <c r="L38" s="3242" t="s">
        <v>3259</v>
      </c>
      <c r="M38" s="3242" t="s">
        <v>3413</v>
      </c>
      <c r="N38" s="3243">
        <v>23</v>
      </c>
      <c r="O38" s="3243">
        <f t="shared" si="0"/>
        <v>667</v>
      </c>
      <c r="P38" s="3244">
        <v>0.18</v>
      </c>
      <c r="Q38" s="3243">
        <v>2.8</v>
      </c>
      <c r="R38" s="3243" t="s">
        <v>3419</v>
      </c>
      <c r="S38" s="3243" t="s">
        <v>3420</v>
      </c>
      <c r="T38" s="3243" t="s">
        <v>3255</v>
      </c>
      <c r="U38" s="3245" t="s">
        <v>3214</v>
      </c>
    </row>
    <row r="39" spans="1:21" s="3246" customFormat="1" ht="24" customHeight="1">
      <c r="A39" s="3234" t="s">
        <v>3201</v>
      </c>
      <c r="B39" s="3235">
        <v>37</v>
      </c>
      <c r="C39" s="3236" t="s">
        <v>3395</v>
      </c>
      <c r="D39" s="3237" t="s">
        <v>3421</v>
      </c>
      <c r="E39" s="3238">
        <v>87</v>
      </c>
      <c r="F39" s="3239" t="s">
        <v>3204</v>
      </c>
      <c r="G39" s="3240" t="s">
        <v>3205</v>
      </c>
      <c r="H39" s="3240" t="s">
        <v>3206</v>
      </c>
      <c r="I39" s="3241">
        <v>40969</v>
      </c>
      <c r="J39" s="3242" t="s">
        <v>3422</v>
      </c>
      <c r="K39" s="3242" t="s">
        <v>3423</v>
      </c>
      <c r="L39" s="3242" t="s">
        <v>3259</v>
      </c>
      <c r="M39" s="3242" t="s">
        <v>3424</v>
      </c>
      <c r="N39" s="3243">
        <v>7.4</v>
      </c>
      <c r="O39" s="3243">
        <f t="shared" si="0"/>
        <v>643.80000000000007</v>
      </c>
      <c r="P39" s="3244">
        <v>0.16</v>
      </c>
      <c r="Q39" s="3243">
        <v>2.8</v>
      </c>
      <c r="R39" s="3243" t="s">
        <v>3425</v>
      </c>
      <c r="S39" s="3243" t="s">
        <v>3426</v>
      </c>
      <c r="T39" s="3247" t="s">
        <v>3238</v>
      </c>
      <c r="U39" s="3245" t="s">
        <v>3214</v>
      </c>
    </row>
    <row r="40" spans="1:21" s="3246" customFormat="1" ht="24" customHeight="1">
      <c r="A40" s="3234" t="s">
        <v>3201</v>
      </c>
      <c r="B40" s="3235">
        <v>38</v>
      </c>
      <c r="C40" s="3236" t="s">
        <v>3395</v>
      </c>
      <c r="D40" s="3237" t="s">
        <v>3427</v>
      </c>
      <c r="E40" s="3238">
        <v>87</v>
      </c>
      <c r="F40" s="3239" t="s">
        <v>3204</v>
      </c>
      <c r="G40" s="3240" t="s">
        <v>3205</v>
      </c>
      <c r="H40" s="3240" t="s">
        <v>3206</v>
      </c>
      <c r="I40" s="3241">
        <v>41712</v>
      </c>
      <c r="J40" s="3242" t="s">
        <v>3428</v>
      </c>
      <c r="K40" s="3242" t="s">
        <v>3429</v>
      </c>
      <c r="L40" s="3242" t="s">
        <v>3259</v>
      </c>
      <c r="M40" s="3242" t="s">
        <v>3424</v>
      </c>
      <c r="N40" s="3243">
        <v>12</v>
      </c>
      <c r="O40" s="3243">
        <f t="shared" si="0"/>
        <v>1044</v>
      </c>
      <c r="P40" s="3244">
        <v>0.18</v>
      </c>
      <c r="Q40" s="3243">
        <v>2.2000000000000002</v>
      </c>
      <c r="R40" s="3243" t="s">
        <v>3430</v>
      </c>
      <c r="S40" s="3243" t="s">
        <v>3431</v>
      </c>
      <c r="T40" s="3243" t="s">
        <v>3380</v>
      </c>
      <c r="U40" s="3245" t="s">
        <v>3214</v>
      </c>
    </row>
    <row r="41" spans="1:21" s="3246" customFormat="1" ht="24" customHeight="1">
      <c r="A41" s="3234" t="s">
        <v>3201</v>
      </c>
      <c r="B41" s="3235">
        <v>39</v>
      </c>
      <c r="C41" s="3236" t="s">
        <v>3395</v>
      </c>
      <c r="D41" s="3237" t="s">
        <v>3432</v>
      </c>
      <c r="E41" s="3238">
        <v>85</v>
      </c>
      <c r="F41" s="3239" t="s">
        <v>3204</v>
      </c>
      <c r="G41" s="3240" t="s">
        <v>3205</v>
      </c>
      <c r="H41" s="3240" t="s">
        <v>3206</v>
      </c>
      <c r="I41" s="3241">
        <v>46935</v>
      </c>
      <c r="J41" s="3242" t="s">
        <v>3433</v>
      </c>
      <c r="K41" s="3242" t="s">
        <v>3434</v>
      </c>
      <c r="L41" s="3242" t="s">
        <v>3259</v>
      </c>
      <c r="M41" s="3242" t="s">
        <v>3260</v>
      </c>
      <c r="N41" s="3243">
        <v>9.5</v>
      </c>
      <c r="O41" s="3243">
        <f t="shared" si="0"/>
        <v>807.5</v>
      </c>
      <c r="P41" s="3244">
        <v>0.16</v>
      </c>
      <c r="Q41" s="3243">
        <v>2.8</v>
      </c>
      <c r="R41" s="3243" t="s">
        <v>3435</v>
      </c>
      <c r="S41" s="3243" t="s">
        <v>3436</v>
      </c>
      <c r="T41" s="3243" t="s">
        <v>3255</v>
      </c>
      <c r="U41" s="3245" t="s">
        <v>3214</v>
      </c>
    </row>
    <row r="42" spans="1:21" s="3246" customFormat="1" ht="24" customHeight="1">
      <c r="A42" s="3234" t="s">
        <v>3201</v>
      </c>
      <c r="B42" s="3235">
        <v>40</v>
      </c>
      <c r="C42" s="3236" t="s">
        <v>3395</v>
      </c>
      <c r="D42" s="3237" t="s">
        <v>3437</v>
      </c>
      <c r="E42" s="3238">
        <v>951</v>
      </c>
      <c r="F42" s="3239" t="s">
        <v>3204</v>
      </c>
      <c r="G42" s="3240" t="s">
        <v>3205</v>
      </c>
      <c r="H42" s="3240" t="s">
        <v>3206</v>
      </c>
      <c r="I42" s="3241">
        <v>31552</v>
      </c>
      <c r="J42" s="3242" t="s">
        <v>3438</v>
      </c>
      <c r="K42" s="3242" t="s">
        <v>3439</v>
      </c>
      <c r="L42" s="3242" t="s">
        <v>3259</v>
      </c>
      <c r="M42" s="3242" t="s">
        <v>3440</v>
      </c>
      <c r="N42" s="3243"/>
      <c r="O42" s="3243">
        <f t="shared" si="0"/>
        <v>0</v>
      </c>
      <c r="P42" s="3244">
        <v>0.06</v>
      </c>
      <c r="Q42" s="3243">
        <v>0.33</v>
      </c>
      <c r="R42" s="3243" t="s">
        <v>3441</v>
      </c>
      <c r="S42" s="3243" t="s">
        <v>3442</v>
      </c>
      <c r="T42" s="3243" t="s">
        <v>3443</v>
      </c>
      <c r="U42" s="3245" t="s">
        <v>3214</v>
      </c>
    </row>
    <row r="43" spans="1:21" s="3246" customFormat="1" ht="24" customHeight="1">
      <c r="A43" s="3234" t="s">
        <v>3201</v>
      </c>
      <c r="B43" s="3235">
        <v>41</v>
      </c>
      <c r="C43" s="3236" t="s">
        <v>3395</v>
      </c>
      <c r="D43" s="3237" t="s">
        <v>3444</v>
      </c>
      <c r="E43" s="3238">
        <v>200</v>
      </c>
      <c r="F43" s="3239" t="s">
        <v>3204</v>
      </c>
      <c r="G43" s="3240" t="s">
        <v>3205</v>
      </c>
      <c r="H43" s="3240" t="s">
        <v>3206</v>
      </c>
      <c r="I43" s="3241"/>
      <c r="J43" s="3242" t="s">
        <v>3445</v>
      </c>
      <c r="K43" s="3242" t="s">
        <v>3446</v>
      </c>
      <c r="L43" s="3242" t="s">
        <v>3219</v>
      </c>
      <c r="M43" s="3242" t="s">
        <v>3406</v>
      </c>
      <c r="N43" s="3243"/>
      <c r="O43" s="3243">
        <f t="shared" si="0"/>
        <v>0</v>
      </c>
      <c r="P43" s="3244"/>
      <c r="Q43" s="3243"/>
      <c r="R43" s="3243"/>
      <c r="S43" s="3243"/>
      <c r="T43" s="3247"/>
      <c r="U43" s="3245"/>
    </row>
    <row r="44" spans="1:21" s="3246" customFormat="1" ht="24" customHeight="1">
      <c r="A44" s="3234" t="s">
        <v>3201</v>
      </c>
      <c r="B44" s="3235">
        <v>42</v>
      </c>
      <c r="C44" s="3236" t="s">
        <v>3395</v>
      </c>
      <c r="D44" s="3237" t="s">
        <v>3447</v>
      </c>
      <c r="E44" s="3238">
        <v>92</v>
      </c>
      <c r="F44" s="3239" t="s">
        <v>3204</v>
      </c>
      <c r="G44" s="3240" t="s">
        <v>3205</v>
      </c>
      <c r="H44" s="3240" t="s">
        <v>3206</v>
      </c>
      <c r="I44" s="3241">
        <v>49433</v>
      </c>
      <c r="J44" s="3242" t="s">
        <v>3448</v>
      </c>
      <c r="K44" s="3242" t="s">
        <v>3449</v>
      </c>
      <c r="L44" s="3242" t="s">
        <v>3259</v>
      </c>
      <c r="M44" s="3242" t="s">
        <v>3450</v>
      </c>
      <c r="N44" s="3243">
        <v>14.2</v>
      </c>
      <c r="O44" s="3243">
        <f t="shared" si="0"/>
        <v>1306.3999999999999</v>
      </c>
      <c r="P44" s="3244">
        <v>0.03</v>
      </c>
      <c r="Q44" s="3243">
        <v>2.8</v>
      </c>
      <c r="R44" s="3243" t="s">
        <v>3451</v>
      </c>
      <c r="S44" s="3243" t="s">
        <v>3452</v>
      </c>
      <c r="T44" s="3243" t="s">
        <v>3453</v>
      </c>
      <c r="U44" s="3245" t="s">
        <v>3214</v>
      </c>
    </row>
    <row r="45" spans="1:21" s="3246" customFormat="1" ht="24" customHeight="1">
      <c r="A45" s="3234" t="s">
        <v>3201</v>
      </c>
      <c r="B45" s="3235">
        <v>43</v>
      </c>
      <c r="C45" s="3236" t="s">
        <v>3395</v>
      </c>
      <c r="D45" s="3237" t="s">
        <v>3454</v>
      </c>
      <c r="E45" s="3238">
        <v>40</v>
      </c>
      <c r="F45" s="3239" t="s">
        <v>3204</v>
      </c>
      <c r="G45" s="3240" t="s">
        <v>3205</v>
      </c>
      <c r="H45" s="3240" t="s">
        <v>3206</v>
      </c>
      <c r="I45" s="3241">
        <v>43167</v>
      </c>
      <c r="J45" s="3242" t="s">
        <v>3455</v>
      </c>
      <c r="K45" s="3242" t="s">
        <v>3456</v>
      </c>
      <c r="L45" s="3242" t="s">
        <v>3259</v>
      </c>
      <c r="M45" s="3242" t="s">
        <v>3450</v>
      </c>
      <c r="N45" s="3243">
        <v>22.68</v>
      </c>
      <c r="O45" s="3243">
        <f t="shared" si="0"/>
        <v>907.2</v>
      </c>
      <c r="P45" s="3244">
        <v>0.08</v>
      </c>
      <c r="Q45" s="3243">
        <v>2.8</v>
      </c>
      <c r="R45" s="3243" t="s">
        <v>3457</v>
      </c>
      <c r="S45" s="3243" t="s">
        <v>3326</v>
      </c>
      <c r="T45" s="3243" t="s">
        <v>3302</v>
      </c>
      <c r="U45" s="3245" t="s">
        <v>3214</v>
      </c>
    </row>
    <row r="46" spans="1:21" s="3246" customFormat="1" ht="24" customHeight="1">
      <c r="A46" s="3234" t="s">
        <v>3201</v>
      </c>
      <c r="B46" s="3235">
        <v>44</v>
      </c>
      <c r="C46" s="3236" t="s">
        <v>3395</v>
      </c>
      <c r="D46" s="3237" t="s">
        <v>3458</v>
      </c>
      <c r="E46" s="3238">
        <v>41</v>
      </c>
      <c r="F46" s="3239" t="s">
        <v>3204</v>
      </c>
      <c r="G46" s="3240" t="s">
        <v>3205</v>
      </c>
      <c r="H46" s="3240" t="s">
        <v>3206</v>
      </c>
      <c r="I46" s="3241">
        <v>71666</v>
      </c>
      <c r="J46" s="3242" t="s">
        <v>3459</v>
      </c>
      <c r="K46" s="3242" t="s">
        <v>3460</v>
      </c>
      <c r="L46" s="3242" t="s">
        <v>3259</v>
      </c>
      <c r="M46" s="3242" t="s">
        <v>3450</v>
      </c>
      <c r="N46" s="3243">
        <v>22</v>
      </c>
      <c r="O46" s="3243">
        <f t="shared" si="0"/>
        <v>902</v>
      </c>
      <c r="P46" s="3244">
        <v>0.06</v>
      </c>
      <c r="Q46" s="3243">
        <v>2.8</v>
      </c>
      <c r="R46" s="3243" t="s">
        <v>3461</v>
      </c>
      <c r="S46" s="3247" t="s">
        <v>3462</v>
      </c>
      <c r="T46" s="3247" t="s">
        <v>3463</v>
      </c>
      <c r="U46" s="3245" t="s">
        <v>3214</v>
      </c>
    </row>
    <row r="47" spans="1:21" s="3246" customFormat="1" ht="24" customHeight="1">
      <c r="A47" s="3234" t="s">
        <v>3201</v>
      </c>
      <c r="B47" s="3235">
        <v>45</v>
      </c>
      <c r="C47" s="3236" t="s">
        <v>3395</v>
      </c>
      <c r="D47" s="3237" t="s">
        <v>3464</v>
      </c>
      <c r="E47" s="3238">
        <v>81</v>
      </c>
      <c r="F47" s="3239" t="s">
        <v>3204</v>
      </c>
      <c r="G47" s="3240" t="s">
        <v>3205</v>
      </c>
      <c r="H47" s="3240" t="s">
        <v>3206</v>
      </c>
      <c r="I47" s="3241">
        <v>41748</v>
      </c>
      <c r="J47" s="3242" t="s">
        <v>3465</v>
      </c>
      <c r="K47" s="3242" t="s">
        <v>3466</v>
      </c>
      <c r="L47" s="3242" t="s">
        <v>3259</v>
      </c>
      <c r="M47" s="3242" t="s">
        <v>3450</v>
      </c>
      <c r="N47" s="3243">
        <v>18</v>
      </c>
      <c r="O47" s="3243">
        <f t="shared" si="0"/>
        <v>1458</v>
      </c>
      <c r="P47" s="3244">
        <v>0.03</v>
      </c>
      <c r="Q47" s="3243">
        <v>2.2000000000000002</v>
      </c>
      <c r="R47" s="3243" t="s">
        <v>3467</v>
      </c>
      <c r="S47" s="3243" t="s">
        <v>3468</v>
      </c>
      <c r="T47" s="3243" t="s">
        <v>3380</v>
      </c>
      <c r="U47" s="3245" t="s">
        <v>3214</v>
      </c>
    </row>
    <row r="48" spans="1:21" s="3246" customFormat="1" ht="24" customHeight="1">
      <c r="A48" s="3234" t="s">
        <v>3201</v>
      </c>
      <c r="B48" s="3235">
        <v>46</v>
      </c>
      <c r="C48" s="3236" t="s">
        <v>3395</v>
      </c>
      <c r="D48" s="3237" t="s">
        <v>3469</v>
      </c>
      <c r="E48" s="3238">
        <v>106</v>
      </c>
      <c r="F48" s="3239" t="s">
        <v>3204</v>
      </c>
      <c r="G48" s="3240" t="s">
        <v>3205</v>
      </c>
      <c r="H48" s="3240" t="s">
        <v>3206</v>
      </c>
      <c r="I48" s="3241">
        <v>22222</v>
      </c>
      <c r="J48" s="3242" t="s">
        <v>3470</v>
      </c>
      <c r="K48" s="3242" t="s">
        <v>3471</v>
      </c>
      <c r="L48" s="3242" t="s">
        <v>3219</v>
      </c>
      <c r="M48" s="3242" t="s">
        <v>3472</v>
      </c>
      <c r="N48" s="3243">
        <v>29</v>
      </c>
      <c r="O48" s="3243">
        <f t="shared" si="0"/>
        <v>3074</v>
      </c>
      <c r="P48" s="3244">
        <v>0.16</v>
      </c>
      <c r="Q48" s="3243">
        <v>2.2000000000000002</v>
      </c>
      <c r="R48" s="3243" t="s">
        <v>3473</v>
      </c>
      <c r="S48" s="3243" t="s">
        <v>3474</v>
      </c>
      <c r="T48" s="3243" t="s">
        <v>3274</v>
      </c>
      <c r="U48" s="3245" t="s">
        <v>3214</v>
      </c>
    </row>
    <row r="49" spans="1:22" s="3246" customFormat="1" ht="24" customHeight="1">
      <c r="A49" s="3234" t="s">
        <v>3201</v>
      </c>
      <c r="B49" s="3235">
        <v>47</v>
      </c>
      <c r="C49" s="3236" t="s">
        <v>3395</v>
      </c>
      <c r="D49" s="3237" t="s">
        <v>3475</v>
      </c>
      <c r="E49" s="3238">
        <v>138</v>
      </c>
      <c r="F49" s="3239" t="s">
        <v>3204</v>
      </c>
      <c r="G49" s="3240" t="s">
        <v>3205</v>
      </c>
      <c r="H49" s="3240" t="s">
        <v>3206</v>
      </c>
      <c r="I49" s="3241">
        <v>22906</v>
      </c>
      <c r="J49" s="3242" t="s">
        <v>3476</v>
      </c>
      <c r="K49" s="3242" t="s">
        <v>3477</v>
      </c>
      <c r="L49" s="3242" t="s">
        <v>3219</v>
      </c>
      <c r="M49" s="3242" t="s">
        <v>3478</v>
      </c>
      <c r="N49" s="3243">
        <v>13.2</v>
      </c>
      <c r="O49" s="3243">
        <f t="shared" si="0"/>
        <v>1821.6</v>
      </c>
      <c r="P49" s="3244">
        <v>0.15</v>
      </c>
      <c r="Q49" s="3243">
        <v>2.2000000000000002</v>
      </c>
      <c r="R49" s="3243" t="s">
        <v>3479</v>
      </c>
      <c r="S49" s="3243" t="s">
        <v>3474</v>
      </c>
      <c r="T49" s="3243" t="s">
        <v>3480</v>
      </c>
      <c r="U49" s="3245" t="s">
        <v>3214</v>
      </c>
    </row>
    <row r="50" spans="1:22" s="3246" customFormat="1" ht="24" customHeight="1">
      <c r="A50" s="3234" t="s">
        <v>3201</v>
      </c>
      <c r="B50" s="3235">
        <v>48</v>
      </c>
      <c r="C50" s="3236" t="s">
        <v>3395</v>
      </c>
      <c r="D50" s="3237" t="s">
        <v>3481</v>
      </c>
      <c r="E50" s="3238">
        <v>92</v>
      </c>
      <c r="F50" s="3239" t="s">
        <v>3204</v>
      </c>
      <c r="G50" s="3240" t="s">
        <v>3205</v>
      </c>
      <c r="H50" s="3240" t="s">
        <v>3206</v>
      </c>
      <c r="I50" s="3241">
        <v>50387</v>
      </c>
      <c r="J50" s="3242" t="s">
        <v>3482</v>
      </c>
      <c r="K50" s="3242" t="s">
        <v>3483</v>
      </c>
      <c r="L50" s="3242" t="s">
        <v>3259</v>
      </c>
      <c r="M50" s="3242" t="s">
        <v>3450</v>
      </c>
      <c r="N50" s="3243">
        <v>15</v>
      </c>
      <c r="O50" s="3243">
        <f t="shared" si="0"/>
        <v>1380</v>
      </c>
      <c r="P50" s="3244">
        <v>0.06</v>
      </c>
      <c r="Q50" s="3243">
        <v>2.8</v>
      </c>
      <c r="R50" s="3243" t="s">
        <v>3484</v>
      </c>
      <c r="S50" s="3243" t="s">
        <v>3485</v>
      </c>
      <c r="T50" s="3243" t="s">
        <v>3486</v>
      </c>
      <c r="U50" s="3245" t="s">
        <v>3214</v>
      </c>
    </row>
    <row r="51" spans="1:22" s="3246" customFormat="1" ht="24" customHeight="1">
      <c r="A51" s="3234" t="s">
        <v>3201</v>
      </c>
      <c r="B51" s="3235">
        <v>49</v>
      </c>
      <c r="C51" s="3236" t="s">
        <v>3395</v>
      </c>
      <c r="D51" s="3237" t="s">
        <v>3487</v>
      </c>
      <c r="E51" s="3238">
        <v>92</v>
      </c>
      <c r="F51" s="3239" t="s">
        <v>3204</v>
      </c>
      <c r="G51" s="3240" t="s">
        <v>3205</v>
      </c>
      <c r="H51" s="3240" t="s">
        <v>3206</v>
      </c>
      <c r="I51" s="3241">
        <v>44500</v>
      </c>
      <c r="J51" s="3242" t="s">
        <v>3488</v>
      </c>
      <c r="K51" s="3242" t="s">
        <v>3489</v>
      </c>
      <c r="L51" s="3242" t="s">
        <v>3259</v>
      </c>
      <c r="M51" s="3242" t="s">
        <v>3424</v>
      </c>
      <c r="N51" s="3243">
        <v>13</v>
      </c>
      <c r="O51" s="3243">
        <f t="shared" si="0"/>
        <v>1196</v>
      </c>
      <c r="P51" s="3244">
        <v>0.14000000000000001</v>
      </c>
      <c r="Q51" s="3243">
        <v>2.8</v>
      </c>
      <c r="R51" s="3243" t="s">
        <v>3457</v>
      </c>
      <c r="S51" s="3243" t="s">
        <v>3490</v>
      </c>
      <c r="T51" s="3247" t="s">
        <v>3231</v>
      </c>
      <c r="U51" s="3245" t="s">
        <v>3214</v>
      </c>
    </row>
    <row r="52" spans="1:22" s="3246" customFormat="1" ht="24" customHeight="1">
      <c r="A52" s="3234" t="s">
        <v>3201</v>
      </c>
      <c r="B52" s="3235">
        <v>50</v>
      </c>
      <c r="C52" s="3236" t="s">
        <v>3395</v>
      </c>
      <c r="D52" s="3237" t="s">
        <v>3491</v>
      </c>
      <c r="E52" s="3238">
        <v>744</v>
      </c>
      <c r="F52" s="3239" t="s">
        <v>3204</v>
      </c>
      <c r="G52" s="3240" t="s">
        <v>3205</v>
      </c>
      <c r="H52" s="3240" t="s">
        <v>3206</v>
      </c>
      <c r="I52" s="3241">
        <v>22637</v>
      </c>
      <c r="J52" s="3242" t="s">
        <v>3492</v>
      </c>
      <c r="K52" s="3242" t="s">
        <v>3493</v>
      </c>
      <c r="L52" s="3242" t="s">
        <v>3259</v>
      </c>
      <c r="M52" s="3242" t="s">
        <v>3260</v>
      </c>
      <c r="N52" s="3243">
        <v>5.75</v>
      </c>
      <c r="O52" s="3243">
        <f t="shared" si="0"/>
        <v>4278</v>
      </c>
      <c r="P52" s="3244">
        <v>0.1</v>
      </c>
      <c r="Q52" s="3243">
        <v>2</v>
      </c>
      <c r="R52" s="3243" t="s">
        <v>3494</v>
      </c>
      <c r="S52" s="3243" t="s">
        <v>3495</v>
      </c>
      <c r="T52" s="3243" t="s">
        <v>3289</v>
      </c>
      <c r="U52" s="3245" t="s">
        <v>3214</v>
      </c>
    </row>
    <row r="53" spans="1:22" s="3246" customFormat="1" ht="24" customHeight="1">
      <c r="A53" s="3234" t="s">
        <v>3201</v>
      </c>
      <c r="B53" s="3235">
        <v>51</v>
      </c>
      <c r="C53" s="3236" t="s">
        <v>3395</v>
      </c>
      <c r="D53" s="3237" t="s">
        <v>3496</v>
      </c>
      <c r="E53" s="3238">
        <v>111</v>
      </c>
      <c r="F53" s="3239" t="s">
        <v>3204</v>
      </c>
      <c r="G53" s="3240" t="s">
        <v>3205</v>
      </c>
      <c r="H53" s="3240" t="s">
        <v>3206</v>
      </c>
      <c r="I53" s="3241" t="s">
        <v>3497</v>
      </c>
      <c r="J53" s="3242" t="s">
        <v>3498</v>
      </c>
      <c r="K53" s="3242" t="s">
        <v>3499</v>
      </c>
      <c r="L53" s="3242" t="s">
        <v>3259</v>
      </c>
      <c r="M53" s="3242" t="s">
        <v>3362</v>
      </c>
      <c r="N53" s="3243">
        <v>7.9</v>
      </c>
      <c r="O53" s="3243">
        <f t="shared" si="0"/>
        <v>876.90000000000009</v>
      </c>
      <c r="P53" s="3244">
        <v>2.5000000000000001E-2</v>
      </c>
      <c r="Q53" s="3243">
        <v>2.8</v>
      </c>
      <c r="R53" s="3243" t="s">
        <v>3500</v>
      </c>
      <c r="S53" s="3243" t="s">
        <v>3501</v>
      </c>
      <c r="T53" s="3243" t="s">
        <v>3502</v>
      </c>
      <c r="U53" s="3245" t="s">
        <v>3214</v>
      </c>
    </row>
    <row r="54" spans="1:22" s="3246" customFormat="1" ht="24" customHeight="1">
      <c r="A54" s="3234" t="s">
        <v>3201</v>
      </c>
      <c r="B54" s="3235">
        <v>52</v>
      </c>
      <c r="C54" s="3236" t="s">
        <v>3395</v>
      </c>
      <c r="D54" s="3237" t="s">
        <v>3503</v>
      </c>
      <c r="E54" s="3238">
        <v>38</v>
      </c>
      <c r="F54" s="3239" t="s">
        <v>3204</v>
      </c>
      <c r="G54" s="3240" t="s">
        <v>3205</v>
      </c>
      <c r="H54" s="3240" t="s">
        <v>3206</v>
      </c>
      <c r="I54" s="3241">
        <v>70970</v>
      </c>
      <c r="J54" s="3242" t="s">
        <v>3504</v>
      </c>
      <c r="K54" s="3242" t="s">
        <v>3505</v>
      </c>
      <c r="L54" s="3242" t="s">
        <v>3259</v>
      </c>
      <c r="M54" s="3242" t="s">
        <v>3362</v>
      </c>
      <c r="N54" s="3243">
        <v>18</v>
      </c>
      <c r="O54" s="3243">
        <f t="shared" si="0"/>
        <v>684</v>
      </c>
      <c r="P54" s="3244">
        <v>0.05</v>
      </c>
      <c r="Q54" s="3243">
        <v>2.8</v>
      </c>
      <c r="R54" s="3243" t="s">
        <v>3506</v>
      </c>
      <c r="S54" s="3243" t="s">
        <v>3507</v>
      </c>
      <c r="T54" s="3243" t="s">
        <v>3508</v>
      </c>
      <c r="U54" s="3245" t="s">
        <v>3214</v>
      </c>
    </row>
    <row r="55" spans="1:22" s="3246" customFormat="1" ht="24" hidden="1" customHeight="1">
      <c r="A55" s="3234" t="s">
        <v>3201</v>
      </c>
      <c r="B55" s="3235">
        <v>53</v>
      </c>
      <c r="C55" s="3236" t="s">
        <v>3395</v>
      </c>
      <c r="D55" s="3237" t="s">
        <v>3509</v>
      </c>
      <c r="E55" s="3238">
        <v>87</v>
      </c>
      <c r="F55" s="3239" t="s">
        <v>3204</v>
      </c>
      <c r="G55" s="3240" t="s">
        <v>3205</v>
      </c>
      <c r="H55" s="3240" t="s">
        <v>3393</v>
      </c>
      <c r="I55" s="3241"/>
      <c r="J55" s="3242"/>
      <c r="K55" s="3242"/>
      <c r="L55" s="3242"/>
      <c r="M55" s="3242"/>
      <c r="N55" s="3243"/>
      <c r="O55" s="3243">
        <f t="shared" si="0"/>
        <v>0</v>
      </c>
      <c r="P55" s="3244"/>
      <c r="Q55" s="3243"/>
      <c r="R55" s="3243"/>
      <c r="S55" s="3243"/>
      <c r="T55" s="3243"/>
      <c r="U55" s="3245"/>
    </row>
    <row r="56" spans="1:22" s="3246" customFormat="1" ht="24" customHeight="1">
      <c r="A56" s="3234" t="s">
        <v>3201</v>
      </c>
      <c r="B56" s="3235">
        <v>54</v>
      </c>
      <c r="C56" s="3236" t="s">
        <v>3395</v>
      </c>
      <c r="D56" s="3237" t="s">
        <v>3510</v>
      </c>
      <c r="E56" s="3238">
        <v>42</v>
      </c>
      <c r="F56" s="3239" t="s">
        <v>3204</v>
      </c>
      <c r="G56" s="3240" t="s">
        <v>3205</v>
      </c>
      <c r="H56" s="3240" t="s">
        <v>3206</v>
      </c>
      <c r="I56" s="3241">
        <v>49876</v>
      </c>
      <c r="J56" s="3242" t="s">
        <v>3511</v>
      </c>
      <c r="K56" s="3242" t="s">
        <v>3512</v>
      </c>
      <c r="L56" s="3242" t="s">
        <v>3259</v>
      </c>
      <c r="M56" s="3242" t="s">
        <v>3413</v>
      </c>
      <c r="N56" s="3243">
        <v>17.34</v>
      </c>
      <c r="O56" s="3243">
        <f t="shared" si="0"/>
        <v>728.28</v>
      </c>
      <c r="P56" s="3244">
        <v>0.16</v>
      </c>
      <c r="Q56" s="3243">
        <v>2.8</v>
      </c>
      <c r="R56" s="3243" t="s">
        <v>3513</v>
      </c>
      <c r="S56" s="3243" t="s">
        <v>3514</v>
      </c>
      <c r="T56" s="3243" t="s">
        <v>3380</v>
      </c>
      <c r="U56" s="3245" t="s">
        <v>3214</v>
      </c>
    </row>
    <row r="57" spans="1:22" s="3246" customFormat="1" ht="24" customHeight="1">
      <c r="A57" s="3234" t="s">
        <v>3201</v>
      </c>
      <c r="B57" s="3235">
        <v>55</v>
      </c>
      <c r="C57" s="3236" t="s">
        <v>3395</v>
      </c>
      <c r="D57" s="3237" t="s">
        <v>3515</v>
      </c>
      <c r="E57" s="3238">
        <v>44</v>
      </c>
      <c r="F57" s="3239" t="s">
        <v>3204</v>
      </c>
      <c r="G57" s="3240" t="s">
        <v>3205</v>
      </c>
      <c r="H57" s="3240" t="s">
        <v>3206</v>
      </c>
      <c r="I57" s="3241">
        <v>73433</v>
      </c>
      <c r="J57" s="3242" t="s">
        <v>3516</v>
      </c>
      <c r="K57" s="3242" t="s">
        <v>3517</v>
      </c>
      <c r="L57" s="3242" t="s">
        <v>3259</v>
      </c>
      <c r="M57" s="3242" t="s">
        <v>3362</v>
      </c>
      <c r="N57" s="3243">
        <v>18</v>
      </c>
      <c r="O57" s="3243">
        <f t="shared" si="0"/>
        <v>792</v>
      </c>
      <c r="P57" s="3244">
        <v>0.04</v>
      </c>
      <c r="Q57" s="3243">
        <v>2.8</v>
      </c>
      <c r="R57" s="3243" t="s">
        <v>3378</v>
      </c>
      <c r="S57" s="3243" t="s">
        <v>3518</v>
      </c>
      <c r="T57" s="3243" t="s">
        <v>3519</v>
      </c>
      <c r="U57" s="3245" t="s">
        <v>3214</v>
      </c>
      <c r="V57" s="3248" t="s">
        <v>3275</v>
      </c>
    </row>
    <row r="58" spans="1:22" s="3246" customFormat="1" ht="24" hidden="1" customHeight="1">
      <c r="A58" s="3234" t="s">
        <v>3201</v>
      </c>
      <c r="B58" s="3235">
        <v>56</v>
      </c>
      <c r="C58" s="3236" t="s">
        <v>3395</v>
      </c>
      <c r="D58" s="3237" t="s">
        <v>3520</v>
      </c>
      <c r="E58" s="3238">
        <v>90</v>
      </c>
      <c r="F58" s="3239" t="s">
        <v>3204</v>
      </c>
      <c r="G58" s="3240" t="s">
        <v>3205</v>
      </c>
      <c r="H58" s="3240" t="s">
        <v>3393</v>
      </c>
      <c r="I58" s="3241"/>
      <c r="J58" s="3242"/>
      <c r="K58" s="3242"/>
      <c r="L58" s="3242"/>
      <c r="M58" s="3242"/>
      <c r="N58" s="3243"/>
      <c r="O58" s="3243">
        <f t="shared" si="0"/>
        <v>0</v>
      </c>
      <c r="P58" s="3244"/>
      <c r="Q58" s="3243"/>
      <c r="R58" s="3243"/>
      <c r="S58" s="3243"/>
      <c r="T58" s="3247"/>
      <c r="U58" s="3245"/>
    </row>
    <row r="59" spans="1:22" s="3246" customFormat="1" ht="24" customHeight="1">
      <c r="A59" s="3234" t="s">
        <v>3201</v>
      </c>
      <c r="B59" s="3235">
        <v>57</v>
      </c>
      <c r="C59" s="3236" t="s">
        <v>3395</v>
      </c>
      <c r="D59" s="3237" t="s">
        <v>3521</v>
      </c>
      <c r="E59" s="3238">
        <v>90</v>
      </c>
      <c r="F59" s="3239" t="s">
        <v>3204</v>
      </c>
      <c r="G59" s="3240" t="s">
        <v>3205</v>
      </c>
      <c r="H59" s="3240" t="s">
        <v>3206</v>
      </c>
      <c r="I59" s="3241">
        <v>49482</v>
      </c>
      <c r="J59" s="3242" t="s">
        <v>3522</v>
      </c>
      <c r="K59" s="3242" t="s">
        <v>3523</v>
      </c>
      <c r="L59" s="3242" t="s">
        <v>3259</v>
      </c>
      <c r="M59" s="3242" t="s">
        <v>3413</v>
      </c>
      <c r="N59" s="3243">
        <v>15.75</v>
      </c>
      <c r="O59" s="3243">
        <f t="shared" si="0"/>
        <v>1417.5</v>
      </c>
      <c r="P59" s="3244">
        <v>0.2</v>
      </c>
      <c r="Q59" s="3243">
        <v>2.8</v>
      </c>
      <c r="R59" s="3243" t="s">
        <v>3524</v>
      </c>
      <c r="S59" s="3243" t="s">
        <v>3525</v>
      </c>
      <c r="T59" s="3243" t="s">
        <v>3332</v>
      </c>
      <c r="U59" s="3245" t="s">
        <v>3214</v>
      </c>
    </row>
    <row r="60" spans="1:22" s="3246" customFormat="1" ht="24" customHeight="1">
      <c r="A60" s="3234" t="s">
        <v>3201</v>
      </c>
      <c r="B60" s="3235">
        <v>58</v>
      </c>
      <c r="C60" s="3236" t="s">
        <v>3395</v>
      </c>
      <c r="D60" s="3237" t="s">
        <v>3526</v>
      </c>
      <c r="E60" s="3238">
        <v>81</v>
      </c>
      <c r="F60" s="3239" t="s">
        <v>3204</v>
      </c>
      <c r="G60" s="3240" t="s">
        <v>3205</v>
      </c>
      <c r="H60" s="3240" t="s">
        <v>3206</v>
      </c>
      <c r="I60" s="3241">
        <v>31795</v>
      </c>
      <c r="J60" s="3242" t="s">
        <v>3527</v>
      </c>
      <c r="K60" s="3242" t="s">
        <v>3528</v>
      </c>
      <c r="L60" s="3242" t="s">
        <v>3259</v>
      </c>
      <c r="M60" s="3242" t="s">
        <v>3424</v>
      </c>
      <c r="N60" s="3243">
        <v>10</v>
      </c>
      <c r="O60" s="3243">
        <f t="shared" si="0"/>
        <v>810</v>
      </c>
      <c r="P60" s="3244">
        <v>0.18</v>
      </c>
      <c r="Q60" s="3243">
        <v>2.8</v>
      </c>
      <c r="R60" s="3243" t="s">
        <v>3529</v>
      </c>
      <c r="S60" s="3243" t="s">
        <v>3530</v>
      </c>
      <c r="T60" s="3243" t="s">
        <v>3338</v>
      </c>
      <c r="U60" s="3245" t="s">
        <v>3214</v>
      </c>
      <c r="V60" s="3248" t="s">
        <v>3275</v>
      </c>
    </row>
    <row r="61" spans="1:22" s="3246" customFormat="1" ht="24" customHeight="1">
      <c r="A61" s="3234" t="s">
        <v>3201</v>
      </c>
      <c r="B61" s="3235">
        <v>59</v>
      </c>
      <c r="C61" s="3236" t="s">
        <v>3395</v>
      </c>
      <c r="D61" s="3237" t="s">
        <v>3531</v>
      </c>
      <c r="E61" s="3238">
        <v>76</v>
      </c>
      <c r="F61" s="3239" t="s">
        <v>3204</v>
      </c>
      <c r="G61" s="3240" t="s">
        <v>3205</v>
      </c>
      <c r="H61" s="3240" t="s">
        <v>3206</v>
      </c>
      <c r="I61" s="3241">
        <v>31798</v>
      </c>
      <c r="J61" s="3242" t="s">
        <v>3532</v>
      </c>
      <c r="K61" s="3242" t="s">
        <v>3489</v>
      </c>
      <c r="L61" s="3242" t="s">
        <v>3259</v>
      </c>
      <c r="M61" s="3242" t="s">
        <v>3424</v>
      </c>
      <c r="N61" s="3243">
        <v>10</v>
      </c>
      <c r="O61" s="3243">
        <f t="shared" si="0"/>
        <v>760</v>
      </c>
      <c r="P61" s="3244">
        <v>0.18</v>
      </c>
      <c r="Q61" s="3243">
        <v>2.8</v>
      </c>
      <c r="R61" s="3243" t="s">
        <v>3529</v>
      </c>
      <c r="S61" s="3243" t="s">
        <v>3530</v>
      </c>
      <c r="T61" s="3243" t="s">
        <v>3338</v>
      </c>
      <c r="U61" s="3245" t="s">
        <v>3214</v>
      </c>
      <c r="V61" s="3248" t="s">
        <v>3275</v>
      </c>
    </row>
    <row r="62" spans="1:22" s="3246" customFormat="1" ht="24" customHeight="1">
      <c r="A62" s="3234" t="s">
        <v>3201</v>
      </c>
      <c r="B62" s="3235">
        <v>60</v>
      </c>
      <c r="C62" s="3236" t="s">
        <v>3395</v>
      </c>
      <c r="D62" s="3237" t="s">
        <v>3533</v>
      </c>
      <c r="E62" s="3238">
        <v>87</v>
      </c>
      <c r="F62" s="3239" t="s">
        <v>3204</v>
      </c>
      <c r="G62" s="3240" t="s">
        <v>3205</v>
      </c>
      <c r="H62" s="3240" t="s">
        <v>3206</v>
      </c>
      <c r="I62" s="3241" t="s">
        <v>3534</v>
      </c>
      <c r="J62" s="3242" t="s">
        <v>3535</v>
      </c>
      <c r="K62" s="3242" t="s">
        <v>3536</v>
      </c>
      <c r="L62" s="3242"/>
      <c r="M62" s="3242"/>
      <c r="N62" s="3243"/>
      <c r="O62" s="3243">
        <f t="shared" si="0"/>
        <v>0</v>
      </c>
      <c r="P62" s="3244"/>
      <c r="Q62" s="3243"/>
      <c r="R62" s="3243"/>
      <c r="S62" s="3243"/>
      <c r="T62" s="3243"/>
      <c r="U62" s="3245"/>
      <c r="V62" s="3248"/>
    </row>
    <row r="63" spans="1:22" s="3246" customFormat="1" ht="24" hidden="1" customHeight="1">
      <c r="A63" s="3234" t="s">
        <v>3201</v>
      </c>
      <c r="B63" s="3235">
        <v>61</v>
      </c>
      <c r="C63" s="3236" t="s">
        <v>3395</v>
      </c>
      <c r="D63" s="3237" t="s">
        <v>3537</v>
      </c>
      <c r="E63" s="3238">
        <v>31</v>
      </c>
      <c r="F63" s="3239" t="s">
        <v>3204</v>
      </c>
      <c r="G63" s="3240" t="s">
        <v>3205</v>
      </c>
      <c r="H63" s="3240" t="s">
        <v>3393</v>
      </c>
      <c r="I63" s="3241"/>
      <c r="J63" s="3242"/>
      <c r="K63" s="3242"/>
      <c r="L63" s="3242"/>
      <c r="M63" s="3242"/>
      <c r="N63" s="3243"/>
      <c r="O63" s="3243">
        <f t="shared" si="0"/>
        <v>0</v>
      </c>
      <c r="P63" s="3244"/>
      <c r="Q63" s="3243"/>
      <c r="R63" s="3243"/>
      <c r="S63" s="3243"/>
      <c r="T63" s="3243"/>
      <c r="U63" s="3245"/>
      <c r="V63" s="3248"/>
    </row>
    <row r="64" spans="1:22" s="3246" customFormat="1" ht="24" hidden="1" customHeight="1">
      <c r="A64" s="3234" t="s">
        <v>3201</v>
      </c>
      <c r="B64" s="3235">
        <v>62</v>
      </c>
      <c r="C64" s="3236" t="s">
        <v>3395</v>
      </c>
      <c r="D64" s="3237" t="s">
        <v>3538</v>
      </c>
      <c r="E64" s="3238">
        <v>186</v>
      </c>
      <c r="F64" s="3239" t="s">
        <v>3204</v>
      </c>
      <c r="G64" s="3240" t="s">
        <v>3205</v>
      </c>
      <c r="H64" s="3240" t="s">
        <v>3393</v>
      </c>
      <c r="I64" s="3241"/>
      <c r="J64" s="3242"/>
      <c r="K64" s="3242"/>
      <c r="L64" s="3242"/>
      <c r="M64" s="3242"/>
      <c r="N64" s="3243"/>
      <c r="O64" s="3243">
        <f t="shared" si="0"/>
        <v>0</v>
      </c>
      <c r="P64" s="3244"/>
      <c r="Q64" s="3243"/>
      <c r="R64" s="3243"/>
      <c r="S64" s="3247"/>
      <c r="T64" s="3247"/>
      <c r="U64" s="3245"/>
    </row>
    <row r="65" spans="1:22" s="3246" customFormat="1" ht="24" customHeight="1">
      <c r="A65" s="3234" t="s">
        <v>3201</v>
      </c>
      <c r="B65" s="3235">
        <v>63</v>
      </c>
      <c r="C65" s="3236" t="s">
        <v>3395</v>
      </c>
      <c r="D65" s="3237" t="s">
        <v>3539</v>
      </c>
      <c r="E65" s="3238">
        <v>123</v>
      </c>
      <c r="F65" s="3239" t="s">
        <v>3204</v>
      </c>
      <c r="G65" s="3240" t="s">
        <v>3205</v>
      </c>
      <c r="H65" s="3240" t="s">
        <v>3206</v>
      </c>
      <c r="I65" s="3241">
        <v>72215</v>
      </c>
      <c r="J65" s="3242" t="s">
        <v>3540</v>
      </c>
      <c r="K65" s="3242" t="s">
        <v>3541</v>
      </c>
      <c r="L65" s="3242" t="s">
        <v>3259</v>
      </c>
      <c r="M65" s="3242" t="s">
        <v>3424</v>
      </c>
      <c r="N65" s="3243">
        <v>9.36</v>
      </c>
      <c r="O65" s="3243">
        <f t="shared" si="0"/>
        <v>1151.28</v>
      </c>
      <c r="P65" s="3244"/>
      <c r="Q65" s="3243"/>
      <c r="R65" s="3243" t="s">
        <v>3542</v>
      </c>
      <c r="S65" s="3247" t="s">
        <v>3462</v>
      </c>
      <c r="T65" s="3247" t="s">
        <v>3238</v>
      </c>
      <c r="U65" s="3245" t="s">
        <v>3214</v>
      </c>
    </row>
    <row r="66" spans="1:22" s="3246" customFormat="1" ht="24" customHeight="1">
      <c r="A66" s="3234" t="s">
        <v>3201</v>
      </c>
      <c r="B66" s="3235">
        <v>64</v>
      </c>
      <c r="C66" s="3236" t="s">
        <v>3395</v>
      </c>
      <c r="D66" s="3237" t="s">
        <v>3543</v>
      </c>
      <c r="E66" s="3238">
        <v>87</v>
      </c>
      <c r="F66" s="3239" t="s">
        <v>3204</v>
      </c>
      <c r="G66" s="3240" t="s">
        <v>3205</v>
      </c>
      <c r="H66" s="3240" t="s">
        <v>3206</v>
      </c>
      <c r="I66" s="3241">
        <v>71929</v>
      </c>
      <c r="J66" s="3242" t="s">
        <v>3544</v>
      </c>
      <c r="K66" s="3242" t="s">
        <v>3545</v>
      </c>
      <c r="L66" s="3242" t="s">
        <v>3259</v>
      </c>
      <c r="M66" s="3242" t="s">
        <v>3424</v>
      </c>
      <c r="N66" s="3243">
        <v>11.2</v>
      </c>
      <c r="O66" s="3243">
        <f t="shared" si="0"/>
        <v>974.4</v>
      </c>
      <c r="P66" s="3244">
        <v>0.14000000000000001</v>
      </c>
      <c r="Q66" s="3243">
        <v>2.8</v>
      </c>
      <c r="R66" s="3243" t="s">
        <v>3461</v>
      </c>
      <c r="S66" s="3247" t="s">
        <v>3546</v>
      </c>
      <c r="T66" s="3247" t="s">
        <v>3547</v>
      </c>
      <c r="U66" s="3245" t="s">
        <v>3214</v>
      </c>
    </row>
    <row r="67" spans="1:22" s="3246" customFormat="1" ht="24" customHeight="1">
      <c r="A67" s="3234" t="s">
        <v>3201</v>
      </c>
      <c r="B67" s="3235">
        <v>65</v>
      </c>
      <c r="C67" s="3236" t="s">
        <v>3395</v>
      </c>
      <c r="D67" s="3237" t="s">
        <v>3548</v>
      </c>
      <c r="E67" s="3238">
        <v>329</v>
      </c>
      <c r="F67" s="3239" t="s">
        <v>3204</v>
      </c>
      <c r="G67" s="3240" t="s">
        <v>3205</v>
      </c>
      <c r="H67" s="3240" t="s">
        <v>3206</v>
      </c>
      <c r="I67" s="3241" t="s">
        <v>3549</v>
      </c>
      <c r="J67" s="3242" t="s">
        <v>3550</v>
      </c>
      <c r="K67" s="3242" t="s">
        <v>3551</v>
      </c>
      <c r="L67" s="3242" t="s">
        <v>3259</v>
      </c>
      <c r="M67" s="3242" t="s">
        <v>3552</v>
      </c>
      <c r="N67" s="3243">
        <v>5</v>
      </c>
      <c r="O67" s="3243">
        <f t="shared" si="0"/>
        <v>1645</v>
      </c>
      <c r="P67" s="3244">
        <v>0.13</v>
      </c>
      <c r="Q67" s="3243">
        <v>2.8</v>
      </c>
      <c r="R67" s="3243" t="s">
        <v>3553</v>
      </c>
      <c r="S67" s="3243" t="s">
        <v>3554</v>
      </c>
      <c r="T67" s="3243" t="s">
        <v>3480</v>
      </c>
      <c r="U67" s="3245" t="s">
        <v>3214</v>
      </c>
    </row>
    <row r="68" spans="1:22" s="3246" customFormat="1" ht="24" hidden="1" customHeight="1">
      <c r="A68" s="3234" t="s">
        <v>3201</v>
      </c>
      <c r="B68" s="3235">
        <v>66</v>
      </c>
      <c r="C68" s="3236" t="s">
        <v>3395</v>
      </c>
      <c r="D68" s="3237" t="s">
        <v>3555</v>
      </c>
      <c r="E68" s="3238">
        <v>93</v>
      </c>
      <c r="F68" s="3239" t="s">
        <v>3204</v>
      </c>
      <c r="G68" s="3240" t="s">
        <v>3205</v>
      </c>
      <c r="H68" s="3240" t="s">
        <v>3393</v>
      </c>
      <c r="I68" s="3241"/>
      <c r="J68" s="3242"/>
      <c r="K68" s="3242"/>
      <c r="L68" s="3242"/>
      <c r="M68" s="3242"/>
      <c r="N68" s="3243"/>
      <c r="O68" s="3243">
        <f t="shared" ref="O68:O131" si="1">N68*E68</f>
        <v>0</v>
      </c>
      <c r="P68" s="3244"/>
      <c r="Q68" s="3243"/>
      <c r="R68" s="3243"/>
      <c r="S68" s="3243"/>
      <c r="T68" s="3243"/>
      <c r="U68" s="3245"/>
    </row>
    <row r="69" spans="1:22" s="3246" customFormat="1" ht="24" hidden="1" customHeight="1">
      <c r="A69" s="3234" t="s">
        <v>3201</v>
      </c>
      <c r="B69" s="3235">
        <v>67</v>
      </c>
      <c r="C69" s="3236" t="s">
        <v>3395</v>
      </c>
      <c r="D69" s="3237" t="s">
        <v>3556</v>
      </c>
      <c r="E69" s="3238">
        <v>85</v>
      </c>
      <c r="F69" s="3239" t="s">
        <v>3204</v>
      </c>
      <c r="G69" s="3240" t="s">
        <v>3205</v>
      </c>
      <c r="H69" s="3240" t="s">
        <v>3393</v>
      </c>
      <c r="I69" s="3241"/>
      <c r="J69" s="3242"/>
      <c r="K69" s="3242"/>
      <c r="L69" s="3242"/>
      <c r="M69" s="3242"/>
      <c r="N69" s="3243"/>
      <c r="O69" s="3243">
        <f t="shared" si="1"/>
        <v>0</v>
      </c>
      <c r="P69" s="3244"/>
      <c r="Q69" s="3243"/>
      <c r="R69" s="3243"/>
      <c r="S69" s="3243"/>
      <c r="T69" s="3243"/>
      <c r="U69" s="3245"/>
    </row>
    <row r="70" spans="1:22" s="3246" customFormat="1" ht="33.950000000000003" customHeight="1">
      <c r="A70" s="3234" t="s">
        <v>3201</v>
      </c>
      <c r="B70" s="3235">
        <v>68</v>
      </c>
      <c r="C70" s="3236" t="s">
        <v>3395</v>
      </c>
      <c r="D70" s="3237" t="s">
        <v>3557</v>
      </c>
      <c r="E70" s="3238">
        <v>247</v>
      </c>
      <c r="F70" s="3239" t="s">
        <v>3204</v>
      </c>
      <c r="G70" s="3240" t="s">
        <v>3205</v>
      </c>
      <c r="H70" s="3240" t="s">
        <v>3206</v>
      </c>
      <c r="I70" s="3241">
        <v>71278</v>
      </c>
      <c r="J70" s="3242" t="s">
        <v>3558</v>
      </c>
      <c r="K70" s="3242" t="s">
        <v>3559</v>
      </c>
      <c r="L70" s="3242" t="s">
        <v>3259</v>
      </c>
      <c r="M70" s="3242" t="s">
        <v>3260</v>
      </c>
      <c r="N70" s="3243"/>
      <c r="O70" s="3243">
        <f t="shared" si="1"/>
        <v>0</v>
      </c>
      <c r="P70" s="3244">
        <v>0.08</v>
      </c>
      <c r="Q70" s="3243"/>
      <c r="R70" s="3243" t="s">
        <v>3560</v>
      </c>
      <c r="S70" s="3243" t="s">
        <v>3561</v>
      </c>
      <c r="T70" s="3247" t="s">
        <v>3562</v>
      </c>
      <c r="U70" s="3245" t="s">
        <v>3214</v>
      </c>
    </row>
    <row r="71" spans="1:22" s="3246" customFormat="1" ht="24" customHeight="1">
      <c r="A71" s="3234" t="s">
        <v>3201</v>
      </c>
      <c r="B71" s="3235">
        <v>69</v>
      </c>
      <c r="C71" s="3236" t="s">
        <v>3395</v>
      </c>
      <c r="D71" s="3251" t="s">
        <v>3563</v>
      </c>
      <c r="E71" s="3238">
        <v>10</v>
      </c>
      <c r="F71" s="3239" t="s">
        <v>3204</v>
      </c>
      <c r="G71" s="3240" t="s">
        <v>3375</v>
      </c>
      <c r="H71" s="3240" t="s">
        <v>3206</v>
      </c>
      <c r="I71" s="3241">
        <v>71133</v>
      </c>
      <c r="J71" s="3242" t="s">
        <v>3564</v>
      </c>
      <c r="K71" s="3242" t="s">
        <v>3565</v>
      </c>
      <c r="L71" s="3242" t="s">
        <v>3259</v>
      </c>
      <c r="M71" s="3242" t="s">
        <v>3566</v>
      </c>
      <c r="N71" s="3243">
        <v>19.73</v>
      </c>
      <c r="O71" s="3243">
        <f t="shared" si="1"/>
        <v>197.3</v>
      </c>
      <c r="P71" s="3244"/>
      <c r="Q71" s="3243"/>
      <c r="R71" s="3243" t="s">
        <v>3279</v>
      </c>
      <c r="S71" s="3243" t="s">
        <v>3567</v>
      </c>
      <c r="T71" s="3247" t="s">
        <v>3302</v>
      </c>
      <c r="U71" s="3245" t="s">
        <v>3214</v>
      </c>
    </row>
    <row r="72" spans="1:22" s="3246" customFormat="1" ht="24" customHeight="1">
      <c r="A72" s="3234" t="s">
        <v>3201</v>
      </c>
      <c r="B72" s="3235">
        <v>70</v>
      </c>
      <c r="C72" s="3236" t="s">
        <v>3395</v>
      </c>
      <c r="D72" s="3237" t="s">
        <v>3568</v>
      </c>
      <c r="E72" s="3238">
        <v>1.83</v>
      </c>
      <c r="F72" s="3239" t="s">
        <v>3204</v>
      </c>
      <c r="G72" s="3240" t="s">
        <v>3375</v>
      </c>
      <c r="H72" s="3240" t="s">
        <v>3206</v>
      </c>
      <c r="I72" s="3241">
        <v>51217</v>
      </c>
      <c r="J72" s="3242" t="s">
        <v>3569</v>
      </c>
      <c r="K72" s="3242" t="s">
        <v>3570</v>
      </c>
      <c r="L72" s="3242" t="s">
        <v>3259</v>
      </c>
      <c r="M72" s="3242" t="s">
        <v>3312</v>
      </c>
      <c r="N72" s="3243">
        <v>35.93</v>
      </c>
      <c r="O72" s="3243">
        <f t="shared" si="1"/>
        <v>65.751900000000006</v>
      </c>
      <c r="P72" s="3244">
        <v>0</v>
      </c>
      <c r="Q72" s="3243"/>
      <c r="R72" s="3243" t="s">
        <v>3571</v>
      </c>
      <c r="S72" s="3243" t="s">
        <v>3572</v>
      </c>
      <c r="T72" s="3243" t="s">
        <v>3332</v>
      </c>
      <c r="U72" s="3245" t="s">
        <v>3214</v>
      </c>
    </row>
    <row r="73" spans="1:22" s="3246" customFormat="1" ht="24" customHeight="1">
      <c r="A73" s="3234" t="s">
        <v>3201</v>
      </c>
      <c r="B73" s="3235">
        <v>71</v>
      </c>
      <c r="C73" s="3236" t="s">
        <v>3395</v>
      </c>
      <c r="D73" s="3237" t="s">
        <v>3573</v>
      </c>
      <c r="E73" s="3238">
        <v>1</v>
      </c>
      <c r="F73" s="3239" t="s">
        <v>3246</v>
      </c>
      <c r="G73" s="3240" t="s">
        <v>3574</v>
      </c>
      <c r="H73" s="3240" t="s">
        <v>3206</v>
      </c>
      <c r="I73" s="3241">
        <v>45733</v>
      </c>
      <c r="J73" s="3242" t="s">
        <v>3575</v>
      </c>
      <c r="K73" s="3242" t="s">
        <v>3576</v>
      </c>
      <c r="L73" s="3242" t="s">
        <v>3209</v>
      </c>
      <c r="M73" s="3242" t="s">
        <v>3312</v>
      </c>
      <c r="N73" s="3243">
        <v>0</v>
      </c>
      <c r="O73" s="3243">
        <f t="shared" si="1"/>
        <v>0</v>
      </c>
      <c r="P73" s="3244">
        <v>0</v>
      </c>
      <c r="Q73" s="3243"/>
      <c r="R73" s="3243" t="s">
        <v>3243</v>
      </c>
      <c r="S73" s="3243" t="s">
        <v>3577</v>
      </c>
      <c r="T73" s="3243" t="s">
        <v>3578</v>
      </c>
      <c r="U73" s="3245" t="s">
        <v>3214</v>
      </c>
    </row>
    <row r="74" spans="1:22" s="3246" customFormat="1" ht="24" customHeight="1">
      <c r="A74" s="3234" t="s">
        <v>3201</v>
      </c>
      <c r="B74" s="3235">
        <v>72</v>
      </c>
      <c r="C74" s="3236" t="s">
        <v>3395</v>
      </c>
      <c r="D74" s="3237" t="s">
        <v>3579</v>
      </c>
      <c r="E74" s="3238">
        <v>2</v>
      </c>
      <c r="F74" s="3239" t="s">
        <v>3204</v>
      </c>
      <c r="G74" s="3240" t="s">
        <v>3375</v>
      </c>
      <c r="H74" s="3240" t="s">
        <v>3206</v>
      </c>
      <c r="I74" s="3241">
        <v>35556</v>
      </c>
      <c r="J74" s="3242" t="s">
        <v>3580</v>
      </c>
      <c r="K74" s="3242" t="s">
        <v>3581</v>
      </c>
      <c r="L74" s="3242" t="s">
        <v>3209</v>
      </c>
      <c r="M74" s="3242" t="s">
        <v>3582</v>
      </c>
      <c r="N74" s="3243">
        <v>44</v>
      </c>
      <c r="O74" s="3243">
        <f t="shared" si="1"/>
        <v>88</v>
      </c>
      <c r="P74" s="3244">
        <v>0</v>
      </c>
      <c r="Q74" s="3243">
        <v>2.8</v>
      </c>
      <c r="R74" s="3243" t="s">
        <v>3583</v>
      </c>
      <c r="S74" s="3243" t="s">
        <v>3584</v>
      </c>
      <c r="T74" s="3243" t="s">
        <v>3380</v>
      </c>
      <c r="U74" s="3245" t="s">
        <v>3214</v>
      </c>
    </row>
    <row r="75" spans="1:22" s="3246" customFormat="1" ht="24" customHeight="1">
      <c r="A75" s="3234" t="s">
        <v>3201</v>
      </c>
      <c r="B75" s="3235">
        <v>73</v>
      </c>
      <c r="C75" s="3236" t="s">
        <v>3395</v>
      </c>
      <c r="D75" s="3237" t="s">
        <v>3585</v>
      </c>
      <c r="E75" s="3238">
        <v>13.13</v>
      </c>
      <c r="F75" s="3239" t="s">
        <v>3204</v>
      </c>
      <c r="G75" s="3240" t="s">
        <v>3375</v>
      </c>
      <c r="H75" s="3240" t="s">
        <v>3206</v>
      </c>
      <c r="I75" s="3241">
        <v>49534</v>
      </c>
      <c r="J75" s="3242" t="s">
        <v>3569</v>
      </c>
      <c r="K75" s="3242" t="s">
        <v>3570</v>
      </c>
      <c r="L75" s="3242" t="s">
        <v>3259</v>
      </c>
      <c r="M75" s="3242" t="s">
        <v>3312</v>
      </c>
      <c r="N75" s="3243">
        <v>27.75</v>
      </c>
      <c r="O75" s="3243">
        <f t="shared" si="1"/>
        <v>364.35750000000002</v>
      </c>
      <c r="P75" s="3244">
        <v>0.2</v>
      </c>
      <c r="Q75" s="3243">
        <v>2.8</v>
      </c>
      <c r="R75" s="3243" t="s">
        <v>3506</v>
      </c>
      <c r="S75" s="3243" t="s">
        <v>3586</v>
      </c>
      <c r="T75" s="3243" t="s">
        <v>3332</v>
      </c>
      <c r="U75" s="3245" t="s">
        <v>3214</v>
      </c>
    </row>
    <row r="76" spans="1:22" s="3246" customFormat="1" ht="24" customHeight="1">
      <c r="A76" s="3234" t="s">
        <v>3201</v>
      </c>
      <c r="B76" s="3235">
        <v>74</v>
      </c>
      <c r="C76" s="3236" t="s">
        <v>3395</v>
      </c>
      <c r="D76" s="3237" t="s">
        <v>3587</v>
      </c>
      <c r="E76" s="3238">
        <v>30</v>
      </c>
      <c r="F76" s="3239" t="s">
        <v>3204</v>
      </c>
      <c r="G76" s="3240" t="s">
        <v>3375</v>
      </c>
      <c r="H76" s="3240" t="s">
        <v>3206</v>
      </c>
      <c r="I76" s="3241">
        <v>30425</v>
      </c>
      <c r="J76" s="3242" t="s">
        <v>3588</v>
      </c>
      <c r="K76" s="3242" t="s">
        <v>3589</v>
      </c>
      <c r="L76" s="3242" t="s">
        <v>3259</v>
      </c>
      <c r="M76" s="3242" t="s">
        <v>3450</v>
      </c>
      <c r="N76" s="3243">
        <v>22.68</v>
      </c>
      <c r="O76" s="3243">
        <f t="shared" si="1"/>
        <v>680.4</v>
      </c>
      <c r="P76" s="3244">
        <v>0.08</v>
      </c>
      <c r="Q76" s="3243">
        <v>2.8</v>
      </c>
      <c r="R76" s="3243" t="s">
        <v>3590</v>
      </c>
      <c r="S76" s="3243" t="s">
        <v>3591</v>
      </c>
      <c r="T76" s="3243" t="s">
        <v>3302</v>
      </c>
      <c r="U76" s="3245" t="s">
        <v>3214</v>
      </c>
    </row>
    <row r="77" spans="1:22" s="3246" customFormat="1" ht="24" customHeight="1">
      <c r="A77" s="3234" t="s">
        <v>3201</v>
      </c>
      <c r="B77" s="3235">
        <v>75</v>
      </c>
      <c r="C77" s="3236" t="s">
        <v>3395</v>
      </c>
      <c r="D77" s="3237" t="s">
        <v>3592</v>
      </c>
      <c r="E77" s="3238">
        <v>30</v>
      </c>
      <c r="F77" s="3239" t="s">
        <v>3204</v>
      </c>
      <c r="G77" s="3240" t="s">
        <v>3375</v>
      </c>
      <c r="H77" s="3240" t="s">
        <v>3206</v>
      </c>
      <c r="I77" s="3241">
        <v>30424</v>
      </c>
      <c r="J77" s="3242" t="s">
        <v>3593</v>
      </c>
      <c r="K77" s="3242" t="s">
        <v>3589</v>
      </c>
      <c r="L77" s="3242" t="s">
        <v>3259</v>
      </c>
      <c r="M77" s="3242" t="s">
        <v>3450</v>
      </c>
      <c r="N77" s="3243">
        <v>22.68</v>
      </c>
      <c r="O77" s="3243">
        <f t="shared" si="1"/>
        <v>680.4</v>
      </c>
      <c r="P77" s="3244">
        <v>0.08</v>
      </c>
      <c r="Q77" s="3243">
        <v>2.8</v>
      </c>
      <c r="R77" s="3243" t="s">
        <v>3590</v>
      </c>
      <c r="S77" s="3243" t="s">
        <v>3591</v>
      </c>
      <c r="T77" s="3243" t="s">
        <v>3302</v>
      </c>
      <c r="U77" s="3245" t="s">
        <v>3214</v>
      </c>
    </row>
    <row r="78" spans="1:22" s="3246" customFormat="1" ht="24" customHeight="1">
      <c r="A78" s="3234" t="s">
        <v>3201</v>
      </c>
      <c r="B78" s="3235">
        <v>76</v>
      </c>
      <c r="C78" s="3236" t="s">
        <v>3395</v>
      </c>
      <c r="D78" s="3237" t="s">
        <v>3594</v>
      </c>
      <c r="E78" s="3238">
        <v>7</v>
      </c>
      <c r="F78" s="3239" t="s">
        <v>3204</v>
      </c>
      <c r="G78" s="3240" t="s">
        <v>3375</v>
      </c>
      <c r="H78" s="3240" t="s">
        <v>3206</v>
      </c>
      <c r="I78" s="3241">
        <v>41421</v>
      </c>
      <c r="J78" s="3242" t="s">
        <v>3595</v>
      </c>
      <c r="K78" s="3242" t="s">
        <v>3596</v>
      </c>
      <c r="L78" s="3242" t="s">
        <v>3209</v>
      </c>
      <c r="M78" s="3242" t="s">
        <v>3582</v>
      </c>
      <c r="N78" s="3243">
        <v>44</v>
      </c>
      <c r="O78" s="3243">
        <f t="shared" si="1"/>
        <v>308</v>
      </c>
      <c r="P78" s="3244">
        <v>0.15</v>
      </c>
      <c r="Q78" s="3243">
        <v>2.8</v>
      </c>
      <c r="R78" s="3243" t="s">
        <v>3597</v>
      </c>
      <c r="S78" s="3243" t="s">
        <v>3598</v>
      </c>
      <c r="T78" s="3243" t="s">
        <v>3380</v>
      </c>
      <c r="U78" s="3245" t="s">
        <v>3214</v>
      </c>
    </row>
    <row r="79" spans="1:22" s="3246" customFormat="1" ht="33" customHeight="1">
      <c r="A79" s="3234" t="s">
        <v>3201</v>
      </c>
      <c r="B79" s="3235">
        <v>77</v>
      </c>
      <c r="C79" s="3236" t="s">
        <v>3395</v>
      </c>
      <c r="D79" s="3250" t="s">
        <v>3599</v>
      </c>
      <c r="E79" s="3238">
        <v>22</v>
      </c>
      <c r="F79" s="3239" t="s">
        <v>3204</v>
      </c>
      <c r="G79" s="3240" t="s">
        <v>3375</v>
      </c>
      <c r="H79" s="3240" t="s">
        <v>3206</v>
      </c>
      <c r="I79" s="3241">
        <v>49739</v>
      </c>
      <c r="J79" s="3242" t="s">
        <v>3600</v>
      </c>
      <c r="K79" s="3242" t="s">
        <v>3601</v>
      </c>
      <c r="L79" s="3242" t="s">
        <v>3209</v>
      </c>
      <c r="M79" s="3242" t="s">
        <v>3312</v>
      </c>
      <c r="N79" s="3243">
        <v>20.5</v>
      </c>
      <c r="O79" s="3243">
        <f t="shared" si="1"/>
        <v>451</v>
      </c>
      <c r="P79" s="3244">
        <v>0</v>
      </c>
      <c r="Q79" s="3243">
        <v>2.8</v>
      </c>
      <c r="R79" s="3243" t="s">
        <v>3378</v>
      </c>
      <c r="S79" s="3243" t="s">
        <v>3586</v>
      </c>
      <c r="T79" s="3243" t="s">
        <v>3453</v>
      </c>
      <c r="U79" s="3245" t="s">
        <v>3214</v>
      </c>
    </row>
    <row r="80" spans="1:22" s="3246" customFormat="1" ht="33" hidden="1" customHeight="1">
      <c r="A80" s="3234" t="s">
        <v>3201</v>
      </c>
      <c r="B80" s="3235">
        <v>78</v>
      </c>
      <c r="C80" s="3236" t="s">
        <v>3395</v>
      </c>
      <c r="D80" s="3250" t="s">
        <v>3602</v>
      </c>
      <c r="E80" s="3238">
        <v>7.5</v>
      </c>
      <c r="F80" s="3239" t="s">
        <v>3204</v>
      </c>
      <c r="G80" s="3240" t="s">
        <v>3375</v>
      </c>
      <c r="H80" s="3240" t="s">
        <v>3393</v>
      </c>
      <c r="I80" s="3241"/>
      <c r="J80" s="3242"/>
      <c r="K80" s="3242"/>
      <c r="L80" s="3242"/>
      <c r="M80" s="3242"/>
      <c r="N80" s="3243"/>
      <c r="O80" s="3243">
        <f t="shared" si="1"/>
        <v>0</v>
      </c>
      <c r="P80" s="3244"/>
      <c r="Q80" s="3243"/>
      <c r="R80" s="3243"/>
      <c r="S80" s="3243"/>
      <c r="T80" s="3243"/>
      <c r="U80" s="3245"/>
      <c r="V80" s="3246" t="s">
        <v>3603</v>
      </c>
    </row>
    <row r="81" spans="1:22" s="3246" customFormat="1" ht="24" customHeight="1">
      <c r="A81" s="3234" t="s">
        <v>3201</v>
      </c>
      <c r="B81" s="3235">
        <v>79</v>
      </c>
      <c r="C81" s="3236" t="s">
        <v>3604</v>
      </c>
      <c r="D81" s="3237" t="s">
        <v>3605</v>
      </c>
      <c r="E81" s="3238">
        <v>298</v>
      </c>
      <c r="F81" s="3239" t="s">
        <v>3204</v>
      </c>
      <c r="G81" s="3240" t="s">
        <v>3205</v>
      </c>
      <c r="H81" s="3240" t="s">
        <v>3206</v>
      </c>
      <c r="I81" s="3241">
        <v>23393</v>
      </c>
      <c r="J81" s="3242" t="s">
        <v>3606</v>
      </c>
      <c r="K81" s="3242" t="s">
        <v>3607</v>
      </c>
      <c r="L81" s="3242" t="s">
        <v>3259</v>
      </c>
      <c r="M81" s="3242" t="s">
        <v>3324</v>
      </c>
      <c r="N81" s="3243">
        <v>2.8</v>
      </c>
      <c r="O81" s="3243">
        <f t="shared" si="1"/>
        <v>834.4</v>
      </c>
      <c r="P81" s="3244">
        <v>8.5000000000000006E-2</v>
      </c>
      <c r="Q81" s="3243">
        <v>2.8</v>
      </c>
      <c r="R81" s="3243" t="s">
        <v>3608</v>
      </c>
      <c r="S81" s="3243" t="s">
        <v>3609</v>
      </c>
      <c r="T81" s="3247" t="s">
        <v>3610</v>
      </c>
      <c r="U81" s="3245" t="s">
        <v>3214</v>
      </c>
    </row>
    <row r="82" spans="1:22" s="3246" customFormat="1" ht="24" customHeight="1">
      <c r="A82" s="3234" t="s">
        <v>3201</v>
      </c>
      <c r="B82" s="3235">
        <v>80</v>
      </c>
      <c r="C82" s="3236" t="s">
        <v>3604</v>
      </c>
      <c r="D82" s="3237" t="s">
        <v>3611</v>
      </c>
      <c r="E82" s="3238">
        <v>67</v>
      </c>
      <c r="F82" s="3239" t="s">
        <v>3204</v>
      </c>
      <c r="G82" s="3240" t="s">
        <v>3205</v>
      </c>
      <c r="H82" s="3240" t="s">
        <v>3206</v>
      </c>
      <c r="I82" s="3241">
        <v>25178</v>
      </c>
      <c r="J82" s="3242" t="s">
        <v>3612</v>
      </c>
      <c r="K82" s="3242" t="s">
        <v>3613</v>
      </c>
      <c r="L82" s="3242" t="s">
        <v>3259</v>
      </c>
      <c r="M82" s="3242" t="s">
        <v>3614</v>
      </c>
      <c r="N82" s="3243">
        <v>16.5</v>
      </c>
      <c r="O82" s="3243">
        <f t="shared" si="1"/>
        <v>1105.5</v>
      </c>
      <c r="P82" s="3244">
        <v>0.2</v>
      </c>
      <c r="Q82" s="3243">
        <v>2.8</v>
      </c>
      <c r="R82" s="3243" t="s">
        <v>3615</v>
      </c>
      <c r="S82" s="3243" t="s">
        <v>3616</v>
      </c>
      <c r="T82" s="3243" t="s">
        <v>3380</v>
      </c>
      <c r="U82" s="3245" t="s">
        <v>3214</v>
      </c>
    </row>
    <row r="83" spans="1:22" s="3246" customFormat="1" ht="24" customHeight="1">
      <c r="A83" s="3234" t="s">
        <v>3201</v>
      </c>
      <c r="B83" s="3235">
        <v>81</v>
      </c>
      <c r="C83" s="3236" t="s">
        <v>3604</v>
      </c>
      <c r="D83" s="3237" t="s">
        <v>3617</v>
      </c>
      <c r="E83" s="3238">
        <v>29</v>
      </c>
      <c r="F83" s="3239" t="s">
        <v>3204</v>
      </c>
      <c r="G83" s="3240" t="s">
        <v>3205</v>
      </c>
      <c r="H83" s="3240" t="s">
        <v>3206</v>
      </c>
      <c r="I83" s="3241">
        <v>72220</v>
      </c>
      <c r="J83" s="3242" t="s">
        <v>3618</v>
      </c>
      <c r="K83" s="3242" t="s">
        <v>3619</v>
      </c>
      <c r="L83" s="3242" t="s">
        <v>3259</v>
      </c>
      <c r="M83" s="3242" t="s">
        <v>3384</v>
      </c>
      <c r="N83" s="3243">
        <v>15</v>
      </c>
      <c r="O83" s="3243">
        <f t="shared" si="1"/>
        <v>435</v>
      </c>
      <c r="P83" s="3244">
        <v>0.15</v>
      </c>
      <c r="Q83" s="3243">
        <v>2.8</v>
      </c>
      <c r="R83" s="3243" t="s">
        <v>3279</v>
      </c>
      <c r="S83" s="3247" t="s">
        <v>3462</v>
      </c>
      <c r="T83" s="3247" t="s">
        <v>3231</v>
      </c>
      <c r="U83" s="3245" t="s">
        <v>3214</v>
      </c>
    </row>
    <row r="84" spans="1:22" s="3246" customFormat="1" ht="24" customHeight="1">
      <c r="A84" s="3234" t="s">
        <v>3201</v>
      </c>
      <c r="B84" s="3235">
        <v>82</v>
      </c>
      <c r="C84" s="3236" t="s">
        <v>3604</v>
      </c>
      <c r="D84" s="3237" t="s">
        <v>3620</v>
      </c>
      <c r="E84" s="3238">
        <v>409</v>
      </c>
      <c r="F84" s="3239" t="s">
        <v>3204</v>
      </c>
      <c r="G84" s="3240" t="s">
        <v>3205</v>
      </c>
      <c r="H84" s="3240" t="s">
        <v>3206</v>
      </c>
      <c r="I84" s="3241">
        <v>30748</v>
      </c>
      <c r="J84" s="3242" t="s">
        <v>3621</v>
      </c>
      <c r="K84" s="3242" t="s">
        <v>3622</v>
      </c>
      <c r="L84" s="3242" t="s">
        <v>3259</v>
      </c>
      <c r="M84" s="3242" t="s">
        <v>3260</v>
      </c>
      <c r="N84" s="3243">
        <v>6.44</v>
      </c>
      <c r="O84" s="3243">
        <f t="shared" si="1"/>
        <v>2633.96</v>
      </c>
      <c r="P84" s="3244">
        <v>0.08</v>
      </c>
      <c r="Q84" s="3243">
        <v>2.8</v>
      </c>
      <c r="R84" s="3243" t="s">
        <v>3623</v>
      </c>
      <c r="S84" s="3243" t="s">
        <v>3624</v>
      </c>
      <c r="T84" s="3243" t="s">
        <v>3625</v>
      </c>
      <c r="U84" s="3245" t="s">
        <v>3214</v>
      </c>
    </row>
    <row r="85" spans="1:22" s="3246" customFormat="1" ht="24" customHeight="1">
      <c r="A85" s="3234" t="s">
        <v>3201</v>
      </c>
      <c r="B85" s="3235">
        <v>83</v>
      </c>
      <c r="C85" s="3236" t="s">
        <v>3604</v>
      </c>
      <c r="D85" s="3237" t="s">
        <v>3626</v>
      </c>
      <c r="E85" s="3238">
        <v>40</v>
      </c>
      <c r="F85" s="3239" t="s">
        <v>3204</v>
      </c>
      <c r="G85" s="3240" t="s">
        <v>3205</v>
      </c>
      <c r="H85" s="3240" t="s">
        <v>3206</v>
      </c>
      <c r="I85" s="3241">
        <v>32594</v>
      </c>
      <c r="J85" s="3242" t="s">
        <v>3627</v>
      </c>
      <c r="K85" s="3242" t="s">
        <v>3628</v>
      </c>
      <c r="L85" s="3242" t="s">
        <v>3259</v>
      </c>
      <c r="M85" s="3242" t="s">
        <v>3424</v>
      </c>
      <c r="N85" s="3243">
        <v>17</v>
      </c>
      <c r="O85" s="3243">
        <f t="shared" si="1"/>
        <v>680</v>
      </c>
      <c r="P85" s="3244">
        <v>0.16</v>
      </c>
      <c r="Q85" s="3243">
        <v>2.8</v>
      </c>
      <c r="R85" s="3243" t="s">
        <v>3629</v>
      </c>
      <c r="S85" s="3243" t="s">
        <v>3630</v>
      </c>
      <c r="T85" s="3243" t="s">
        <v>3332</v>
      </c>
      <c r="U85" s="3245" t="s">
        <v>3214</v>
      </c>
    </row>
    <row r="86" spans="1:22" s="3246" customFormat="1" ht="24" customHeight="1">
      <c r="A86" s="3234" t="s">
        <v>3201</v>
      </c>
      <c r="B86" s="3235">
        <v>84</v>
      </c>
      <c r="C86" s="3236" t="s">
        <v>3604</v>
      </c>
      <c r="D86" s="3237" t="s">
        <v>3631</v>
      </c>
      <c r="E86" s="3238">
        <v>40</v>
      </c>
      <c r="F86" s="3239" t="s">
        <v>3204</v>
      </c>
      <c r="G86" s="3240" t="s">
        <v>3205</v>
      </c>
      <c r="H86" s="3240" t="s">
        <v>3206</v>
      </c>
      <c r="I86" s="3241" t="s">
        <v>3632</v>
      </c>
      <c r="J86" s="3242" t="s">
        <v>3633</v>
      </c>
      <c r="K86" s="3242" t="s">
        <v>3565</v>
      </c>
      <c r="L86" s="3242" t="s">
        <v>3634</v>
      </c>
      <c r="M86" s="3242" t="s">
        <v>3259</v>
      </c>
      <c r="N86" s="3243">
        <v>12.2</v>
      </c>
      <c r="O86" s="3243">
        <f t="shared" si="1"/>
        <v>488</v>
      </c>
      <c r="P86" s="3244">
        <v>0.15</v>
      </c>
      <c r="Q86" s="3243">
        <v>2.8</v>
      </c>
      <c r="R86" s="3243" t="s">
        <v>3635</v>
      </c>
      <c r="S86" s="3243" t="s">
        <v>3636</v>
      </c>
      <c r="T86" s="3243" t="s">
        <v>3213</v>
      </c>
      <c r="U86" s="3245" t="s">
        <v>3214</v>
      </c>
    </row>
    <row r="87" spans="1:22" s="3246" customFormat="1" ht="24" customHeight="1">
      <c r="A87" s="3234" t="s">
        <v>3201</v>
      </c>
      <c r="B87" s="3235">
        <v>85</v>
      </c>
      <c r="C87" s="3236" t="s">
        <v>3604</v>
      </c>
      <c r="D87" s="3237" t="s">
        <v>3637</v>
      </c>
      <c r="E87" s="3238">
        <v>77</v>
      </c>
      <c r="F87" s="3239" t="s">
        <v>3204</v>
      </c>
      <c r="G87" s="3240" t="s">
        <v>3205</v>
      </c>
      <c r="H87" s="3240" t="s">
        <v>3206</v>
      </c>
      <c r="I87" s="3241">
        <v>34586</v>
      </c>
      <c r="J87" s="3242" t="s">
        <v>3638</v>
      </c>
      <c r="K87" s="3242" t="s">
        <v>3639</v>
      </c>
      <c r="L87" s="3242" t="s">
        <v>3259</v>
      </c>
      <c r="M87" s="3242" t="s">
        <v>3424</v>
      </c>
      <c r="N87" s="3243">
        <v>6.17</v>
      </c>
      <c r="O87" s="3243">
        <f t="shared" si="1"/>
        <v>475.09</v>
      </c>
      <c r="P87" s="3244">
        <v>0.2</v>
      </c>
      <c r="Q87" s="3243">
        <v>2.8</v>
      </c>
      <c r="R87" s="3243" t="s">
        <v>3640</v>
      </c>
      <c r="S87" s="3243" t="s">
        <v>3584</v>
      </c>
      <c r="T87" s="3243" t="s">
        <v>3562</v>
      </c>
      <c r="U87" s="3245" t="s">
        <v>3214</v>
      </c>
    </row>
    <row r="88" spans="1:22" s="3246" customFormat="1" ht="24" customHeight="1">
      <c r="A88" s="3234" t="s">
        <v>3201</v>
      </c>
      <c r="B88" s="3235">
        <v>86</v>
      </c>
      <c r="C88" s="3236" t="s">
        <v>3604</v>
      </c>
      <c r="D88" s="3237" t="s">
        <v>3641</v>
      </c>
      <c r="E88" s="3238">
        <v>465</v>
      </c>
      <c r="F88" s="3239" t="s">
        <v>3204</v>
      </c>
      <c r="G88" s="3240" t="s">
        <v>3205</v>
      </c>
      <c r="H88" s="3240" t="s">
        <v>3206</v>
      </c>
      <c r="I88" s="3241">
        <v>34682</v>
      </c>
      <c r="J88" s="3242" t="s">
        <v>3642</v>
      </c>
      <c r="K88" s="3242" t="s">
        <v>3643</v>
      </c>
      <c r="L88" s="3242" t="s">
        <v>3644</v>
      </c>
      <c r="M88" s="3242" t="s">
        <v>3645</v>
      </c>
      <c r="N88" s="3243">
        <v>3.72</v>
      </c>
      <c r="O88" s="3243">
        <f t="shared" si="1"/>
        <v>1729.8000000000002</v>
      </c>
      <c r="P88" s="3244">
        <v>0.15</v>
      </c>
      <c r="Q88" s="3243">
        <v>2</v>
      </c>
      <c r="R88" s="3243" t="s">
        <v>3646</v>
      </c>
      <c r="S88" s="3243" t="s">
        <v>3647</v>
      </c>
      <c r="T88" s="3243" t="s">
        <v>3648</v>
      </c>
      <c r="U88" s="3245" t="s">
        <v>3214</v>
      </c>
    </row>
    <row r="89" spans="1:22" s="3246" customFormat="1" ht="24" customHeight="1">
      <c r="A89" s="3234" t="s">
        <v>3201</v>
      </c>
      <c r="B89" s="3235">
        <v>87</v>
      </c>
      <c r="C89" s="3236" t="s">
        <v>3604</v>
      </c>
      <c r="D89" s="3237" t="s">
        <v>3649</v>
      </c>
      <c r="E89" s="3238">
        <v>161</v>
      </c>
      <c r="F89" s="3239" t="s">
        <v>3204</v>
      </c>
      <c r="G89" s="3240" t="s">
        <v>3205</v>
      </c>
      <c r="H89" s="3240" t="s">
        <v>3206</v>
      </c>
      <c r="I89" s="3241">
        <v>35395</v>
      </c>
      <c r="J89" s="3242" t="s">
        <v>3650</v>
      </c>
      <c r="K89" s="3242" t="s">
        <v>3651</v>
      </c>
      <c r="L89" s="3242" t="s">
        <v>3259</v>
      </c>
      <c r="M89" s="3242" t="s">
        <v>3424</v>
      </c>
      <c r="N89" s="3243">
        <v>12.9</v>
      </c>
      <c r="O89" s="3243">
        <f t="shared" si="1"/>
        <v>2076.9</v>
      </c>
      <c r="P89" s="3244">
        <v>0.18</v>
      </c>
      <c r="Q89" s="3243">
        <v>2.8</v>
      </c>
      <c r="R89" s="3243" t="s">
        <v>3652</v>
      </c>
      <c r="S89" s="3243" t="s">
        <v>3308</v>
      </c>
      <c r="T89" s="3243" t="s">
        <v>3231</v>
      </c>
      <c r="U89" s="3245" t="s">
        <v>3214</v>
      </c>
    </row>
    <row r="90" spans="1:22" s="3246" customFormat="1" ht="24" customHeight="1">
      <c r="A90" s="3234" t="s">
        <v>3201</v>
      </c>
      <c r="B90" s="3235">
        <v>88</v>
      </c>
      <c r="C90" s="3236" t="s">
        <v>3604</v>
      </c>
      <c r="D90" s="3237" t="s">
        <v>3653</v>
      </c>
      <c r="E90" s="3238">
        <v>16</v>
      </c>
      <c r="F90" s="3239" t="s">
        <v>3204</v>
      </c>
      <c r="G90" s="3240" t="s">
        <v>3375</v>
      </c>
      <c r="H90" s="3240" t="s">
        <v>3206</v>
      </c>
      <c r="I90" s="3241">
        <v>36580</v>
      </c>
      <c r="J90" s="3242" t="s">
        <v>3654</v>
      </c>
      <c r="K90" s="3242" t="s">
        <v>3655</v>
      </c>
      <c r="L90" s="3242" t="s">
        <v>3259</v>
      </c>
      <c r="M90" s="3242" t="s">
        <v>3413</v>
      </c>
      <c r="N90" s="3243">
        <v>18.48</v>
      </c>
      <c r="O90" s="3243">
        <f t="shared" si="1"/>
        <v>295.68</v>
      </c>
      <c r="P90" s="3244">
        <v>0.16</v>
      </c>
      <c r="Q90" s="3243">
        <v>2.8</v>
      </c>
      <c r="R90" s="3243" t="s">
        <v>3294</v>
      </c>
      <c r="S90" s="3243" t="s">
        <v>3656</v>
      </c>
      <c r="T90" s="3243" t="s">
        <v>3332</v>
      </c>
      <c r="U90" s="3245" t="s">
        <v>3214</v>
      </c>
    </row>
    <row r="91" spans="1:22" s="3246" customFormat="1" ht="24" customHeight="1">
      <c r="A91" s="3234" t="s">
        <v>3201</v>
      </c>
      <c r="B91" s="3235">
        <v>89</v>
      </c>
      <c r="C91" s="3236" t="s">
        <v>3604</v>
      </c>
      <c r="D91" s="3237" t="s">
        <v>3657</v>
      </c>
      <c r="E91" s="3238">
        <v>11</v>
      </c>
      <c r="F91" s="3239" t="s">
        <v>3204</v>
      </c>
      <c r="G91" s="3240" t="s">
        <v>3375</v>
      </c>
      <c r="H91" s="3240" t="s">
        <v>3206</v>
      </c>
      <c r="I91" s="3241">
        <v>37098</v>
      </c>
      <c r="J91" s="3242" t="s">
        <v>3658</v>
      </c>
      <c r="K91" s="3242" t="s">
        <v>3659</v>
      </c>
      <c r="L91" s="3242" t="s">
        <v>3259</v>
      </c>
      <c r="M91" s="3242" t="s">
        <v>3413</v>
      </c>
      <c r="N91" s="3243">
        <v>25</v>
      </c>
      <c r="O91" s="3243">
        <f t="shared" si="1"/>
        <v>275</v>
      </c>
      <c r="P91" s="3244">
        <v>0.17</v>
      </c>
      <c r="Q91" s="3243">
        <v>2.8</v>
      </c>
      <c r="R91" s="3243" t="s">
        <v>3660</v>
      </c>
      <c r="S91" s="3243" t="s">
        <v>3661</v>
      </c>
      <c r="T91" s="3243" t="s">
        <v>3332</v>
      </c>
      <c r="U91" s="3245" t="s">
        <v>3214</v>
      </c>
    </row>
    <row r="92" spans="1:22" s="3246" customFormat="1" ht="24" customHeight="1">
      <c r="A92" s="3234" t="s">
        <v>3201</v>
      </c>
      <c r="B92" s="3235">
        <v>90</v>
      </c>
      <c r="C92" s="3236" t="s">
        <v>3604</v>
      </c>
      <c r="D92" s="3237" t="s">
        <v>3662</v>
      </c>
      <c r="E92" s="3238">
        <v>170</v>
      </c>
      <c r="F92" s="3239" t="s">
        <v>3204</v>
      </c>
      <c r="G92" s="3240" t="s">
        <v>3205</v>
      </c>
      <c r="H92" s="3240" t="s">
        <v>3206</v>
      </c>
      <c r="I92" s="3241">
        <v>38174</v>
      </c>
      <c r="J92" s="3242" t="s">
        <v>3663</v>
      </c>
      <c r="K92" s="3242" t="s">
        <v>3664</v>
      </c>
      <c r="L92" s="3242" t="s">
        <v>3209</v>
      </c>
      <c r="M92" s="3242" t="s">
        <v>3665</v>
      </c>
      <c r="N92" s="3243">
        <v>6.46</v>
      </c>
      <c r="O92" s="3243">
        <f t="shared" si="1"/>
        <v>1098.2</v>
      </c>
      <c r="P92" s="3244">
        <v>0.13</v>
      </c>
      <c r="Q92" s="3243">
        <v>2</v>
      </c>
      <c r="R92" s="3243" t="s">
        <v>3666</v>
      </c>
      <c r="S92" s="3243" t="s">
        <v>3667</v>
      </c>
      <c r="T92" s="3247" t="s">
        <v>3274</v>
      </c>
      <c r="U92" s="3245" t="s">
        <v>3214</v>
      </c>
      <c r="V92" s="3248" t="s">
        <v>3275</v>
      </c>
    </row>
    <row r="93" spans="1:22" s="3246" customFormat="1" ht="24" hidden="1" customHeight="1">
      <c r="A93" s="3234" t="s">
        <v>3201</v>
      </c>
      <c r="B93" s="3235">
        <v>91</v>
      </c>
      <c r="C93" s="3236" t="s">
        <v>3604</v>
      </c>
      <c r="D93" s="3237" t="s">
        <v>3668</v>
      </c>
      <c r="E93" s="3238">
        <v>199</v>
      </c>
      <c r="F93" s="3239" t="s">
        <v>3204</v>
      </c>
      <c r="G93" s="3240" t="s">
        <v>3205</v>
      </c>
      <c r="H93" s="3240" t="s">
        <v>3393</v>
      </c>
      <c r="I93" s="3241"/>
      <c r="J93" s="3242"/>
      <c r="K93" s="3242"/>
      <c r="L93" s="3242"/>
      <c r="M93" s="3242"/>
      <c r="N93" s="3243"/>
      <c r="O93" s="3243">
        <f t="shared" si="1"/>
        <v>0</v>
      </c>
      <c r="P93" s="3244"/>
      <c r="Q93" s="3243"/>
      <c r="R93" s="3243"/>
      <c r="S93" s="3243"/>
      <c r="T93" s="3247"/>
      <c r="U93" s="3245"/>
    </row>
    <row r="94" spans="1:22" s="3246" customFormat="1" ht="24" customHeight="1">
      <c r="A94" s="3234" t="s">
        <v>3201</v>
      </c>
      <c r="B94" s="3235">
        <v>92</v>
      </c>
      <c r="C94" s="3236" t="s">
        <v>3604</v>
      </c>
      <c r="D94" s="3237" t="s">
        <v>3669</v>
      </c>
      <c r="E94" s="3238">
        <v>137</v>
      </c>
      <c r="F94" s="3239" t="s">
        <v>3204</v>
      </c>
      <c r="G94" s="3240" t="s">
        <v>3205</v>
      </c>
      <c r="H94" s="3240" t="s">
        <v>3206</v>
      </c>
      <c r="I94" s="3241">
        <v>43282</v>
      </c>
      <c r="J94" s="3242" t="s">
        <v>3670</v>
      </c>
      <c r="K94" s="3242" t="s">
        <v>3671</v>
      </c>
      <c r="L94" s="3242" t="s">
        <v>3259</v>
      </c>
      <c r="M94" s="3242" t="s">
        <v>3260</v>
      </c>
      <c r="N94" s="3243">
        <v>9.1999999999999993</v>
      </c>
      <c r="O94" s="3243">
        <f t="shared" si="1"/>
        <v>1260.3999999999999</v>
      </c>
      <c r="P94" s="3244">
        <v>0.15</v>
      </c>
      <c r="Q94" s="3243">
        <v>2.8</v>
      </c>
      <c r="R94" s="3243" t="s">
        <v>3672</v>
      </c>
      <c r="S94" s="3243" t="s">
        <v>3326</v>
      </c>
      <c r="T94" s="3243" t="s">
        <v>3274</v>
      </c>
      <c r="U94" s="3245" t="s">
        <v>3214</v>
      </c>
      <c r="V94" s="3248" t="s">
        <v>3275</v>
      </c>
    </row>
    <row r="95" spans="1:22" s="3246" customFormat="1" ht="24" customHeight="1">
      <c r="A95" s="3234" t="s">
        <v>3201</v>
      </c>
      <c r="B95" s="3235">
        <v>93</v>
      </c>
      <c r="C95" s="3236" t="s">
        <v>3604</v>
      </c>
      <c r="D95" s="3237" t="s">
        <v>3673</v>
      </c>
      <c r="E95" s="3238">
        <v>188</v>
      </c>
      <c r="F95" s="3239" t="s">
        <v>3204</v>
      </c>
      <c r="G95" s="3240" t="s">
        <v>3205</v>
      </c>
      <c r="H95" s="3240" t="s">
        <v>3206</v>
      </c>
      <c r="I95" s="3241">
        <v>43298</v>
      </c>
      <c r="J95" s="3242" t="s">
        <v>3674</v>
      </c>
      <c r="K95" s="3242" t="s">
        <v>3675</v>
      </c>
      <c r="L95" s="3242" t="s">
        <v>3259</v>
      </c>
      <c r="M95" s="3242" t="s">
        <v>3345</v>
      </c>
      <c r="N95" s="3243">
        <v>11</v>
      </c>
      <c r="O95" s="3243">
        <f t="shared" si="1"/>
        <v>2068</v>
      </c>
      <c r="P95" s="3244">
        <v>0.14000000000000001</v>
      </c>
      <c r="Q95" s="3243">
        <v>2.2000000000000002</v>
      </c>
      <c r="R95" s="3243" t="s">
        <v>3676</v>
      </c>
      <c r="S95" s="3243" t="s">
        <v>3677</v>
      </c>
      <c r="T95" s="3243" t="s">
        <v>3562</v>
      </c>
      <c r="U95" s="3245" t="s">
        <v>3214</v>
      </c>
    </row>
    <row r="96" spans="1:22" s="3246" customFormat="1" ht="24" customHeight="1">
      <c r="A96" s="3234" t="s">
        <v>3201</v>
      </c>
      <c r="B96" s="3235">
        <v>94</v>
      </c>
      <c r="C96" s="3236" t="s">
        <v>3604</v>
      </c>
      <c r="D96" s="3237" t="s">
        <v>3678</v>
      </c>
      <c r="E96" s="3238">
        <v>163</v>
      </c>
      <c r="F96" s="3239" t="s">
        <v>3204</v>
      </c>
      <c r="G96" s="3240" t="s">
        <v>3205</v>
      </c>
      <c r="H96" s="3240" t="s">
        <v>3206</v>
      </c>
      <c r="I96" s="3241">
        <v>44017</v>
      </c>
      <c r="J96" s="3242" t="s">
        <v>3679</v>
      </c>
      <c r="K96" s="3242" t="s">
        <v>3680</v>
      </c>
      <c r="L96" s="3242" t="s">
        <v>3209</v>
      </c>
      <c r="M96" s="3242" t="s">
        <v>3299</v>
      </c>
      <c r="N96" s="3243">
        <v>10</v>
      </c>
      <c r="O96" s="3243">
        <f t="shared" si="1"/>
        <v>1630</v>
      </c>
      <c r="P96" s="3244">
        <v>0.1</v>
      </c>
      <c r="Q96" s="3243">
        <v>2.2000000000000002</v>
      </c>
      <c r="R96" s="3243" t="s">
        <v>3681</v>
      </c>
      <c r="S96" s="3243" t="s">
        <v>3682</v>
      </c>
      <c r="T96" s="3243" t="s">
        <v>3338</v>
      </c>
      <c r="U96" s="3245" t="s">
        <v>3214</v>
      </c>
    </row>
    <row r="97" spans="1:22" s="3246" customFormat="1" ht="24" hidden="1" customHeight="1">
      <c r="A97" s="3234" t="s">
        <v>3201</v>
      </c>
      <c r="B97" s="3235">
        <v>95</v>
      </c>
      <c r="C97" s="3236" t="s">
        <v>3604</v>
      </c>
      <c r="D97" s="3237" t="s">
        <v>3683</v>
      </c>
      <c r="E97" s="3238">
        <v>45</v>
      </c>
      <c r="F97" s="3239" t="s">
        <v>3204</v>
      </c>
      <c r="G97" s="3240" t="s">
        <v>3205</v>
      </c>
      <c r="H97" s="3240" t="s">
        <v>3393</v>
      </c>
      <c r="I97" s="3241"/>
      <c r="J97" s="3242"/>
      <c r="K97" s="3242"/>
      <c r="L97" s="3242"/>
      <c r="M97" s="3242"/>
      <c r="N97" s="3243"/>
      <c r="O97" s="3243">
        <f t="shared" si="1"/>
        <v>0</v>
      </c>
      <c r="P97" s="3244"/>
      <c r="Q97" s="3243"/>
      <c r="R97" s="3243"/>
      <c r="S97" s="3243"/>
      <c r="T97" s="3243"/>
      <c r="U97" s="3245"/>
    </row>
    <row r="98" spans="1:22" s="3246" customFormat="1" ht="24" customHeight="1">
      <c r="A98" s="3234" t="s">
        <v>3201</v>
      </c>
      <c r="B98" s="3235">
        <v>96</v>
      </c>
      <c r="C98" s="3236" t="s">
        <v>3604</v>
      </c>
      <c r="D98" s="3237" t="s">
        <v>3684</v>
      </c>
      <c r="E98" s="3238">
        <v>20</v>
      </c>
      <c r="F98" s="3239" t="s">
        <v>3204</v>
      </c>
      <c r="G98" s="3240" t="s">
        <v>3375</v>
      </c>
      <c r="H98" s="3240" t="s">
        <v>3206</v>
      </c>
      <c r="I98" s="3241">
        <v>44731</v>
      </c>
      <c r="J98" s="3242" t="s">
        <v>3685</v>
      </c>
      <c r="K98" s="3242" t="s">
        <v>3686</v>
      </c>
      <c r="L98" s="3242" t="s">
        <v>3259</v>
      </c>
      <c r="M98" s="3242" t="s">
        <v>3665</v>
      </c>
      <c r="N98" s="3243">
        <v>21</v>
      </c>
      <c r="O98" s="3243">
        <f t="shared" si="1"/>
        <v>420</v>
      </c>
      <c r="P98" s="3244">
        <v>0.16</v>
      </c>
      <c r="Q98" s="3243">
        <v>2.8</v>
      </c>
      <c r="R98" s="3243" t="s">
        <v>3672</v>
      </c>
      <c r="S98" s="3243" t="s">
        <v>3687</v>
      </c>
      <c r="T98" s="3243" t="s">
        <v>3380</v>
      </c>
      <c r="U98" s="3245" t="s">
        <v>3214</v>
      </c>
    </row>
    <row r="99" spans="1:22" s="3246" customFormat="1" ht="24" customHeight="1">
      <c r="A99" s="3234" t="s">
        <v>3201</v>
      </c>
      <c r="B99" s="3235">
        <v>97</v>
      </c>
      <c r="C99" s="3236" t="s">
        <v>3604</v>
      </c>
      <c r="D99" s="3237" t="s">
        <v>3688</v>
      </c>
      <c r="E99" s="3238">
        <v>77</v>
      </c>
      <c r="F99" s="3239" t="s">
        <v>3204</v>
      </c>
      <c r="G99" s="3240" t="s">
        <v>3205</v>
      </c>
      <c r="H99" s="3240" t="s">
        <v>3206</v>
      </c>
      <c r="I99" s="3241">
        <v>44920</v>
      </c>
      <c r="J99" s="3242" t="s">
        <v>3689</v>
      </c>
      <c r="K99" s="3242" t="s">
        <v>3690</v>
      </c>
      <c r="L99" s="3242" t="s">
        <v>3259</v>
      </c>
      <c r="M99" s="3242" t="s">
        <v>3424</v>
      </c>
      <c r="N99" s="3243">
        <v>6.74</v>
      </c>
      <c r="O99" s="3243">
        <f t="shared" si="1"/>
        <v>518.98</v>
      </c>
      <c r="P99" s="3244">
        <v>0.2</v>
      </c>
      <c r="Q99" s="3243">
        <v>2.8</v>
      </c>
      <c r="R99" s="3243" t="s">
        <v>3691</v>
      </c>
      <c r="S99" s="3243" t="s">
        <v>3692</v>
      </c>
      <c r="T99" s="3247" t="s">
        <v>3231</v>
      </c>
      <c r="U99" s="3245" t="s">
        <v>3214</v>
      </c>
      <c r="V99" s="3246" t="s">
        <v>3603</v>
      </c>
    </row>
    <row r="100" spans="1:22" s="3246" customFormat="1" ht="24" customHeight="1">
      <c r="A100" s="3234" t="s">
        <v>3201</v>
      </c>
      <c r="B100" s="3235">
        <v>98</v>
      </c>
      <c r="C100" s="3236" t="s">
        <v>3604</v>
      </c>
      <c r="D100" s="3237" t="s">
        <v>3693</v>
      </c>
      <c r="E100" s="3238">
        <v>167</v>
      </c>
      <c r="F100" s="3239" t="s">
        <v>3204</v>
      </c>
      <c r="G100" s="3240" t="s">
        <v>3205</v>
      </c>
      <c r="H100" s="3240" t="s">
        <v>3206</v>
      </c>
      <c r="I100" s="3241">
        <v>46450</v>
      </c>
      <c r="J100" s="3242" t="s">
        <v>3694</v>
      </c>
      <c r="K100" s="3242" t="s">
        <v>3695</v>
      </c>
      <c r="L100" s="3242" t="s">
        <v>3259</v>
      </c>
      <c r="M100" s="3242" t="s">
        <v>3696</v>
      </c>
      <c r="N100" s="3243">
        <v>10.029999999999999</v>
      </c>
      <c r="O100" s="3243">
        <f t="shared" si="1"/>
        <v>1675.01</v>
      </c>
      <c r="P100" s="3244">
        <v>0.12</v>
      </c>
      <c r="Q100" s="3243">
        <v>2.8</v>
      </c>
      <c r="R100" s="3243" t="s">
        <v>3697</v>
      </c>
      <c r="S100" s="3243" t="s">
        <v>3698</v>
      </c>
      <c r="T100" s="3243" t="s">
        <v>3289</v>
      </c>
      <c r="U100" s="3245" t="s">
        <v>3214</v>
      </c>
    </row>
    <row r="101" spans="1:22" s="3246" customFormat="1" ht="24" customHeight="1">
      <c r="A101" s="3234" t="s">
        <v>3201</v>
      </c>
      <c r="B101" s="3235">
        <v>99</v>
      </c>
      <c r="C101" s="3236" t="s">
        <v>3604</v>
      </c>
      <c r="D101" s="3237" t="s">
        <v>3699</v>
      </c>
      <c r="E101" s="3238">
        <v>13.5</v>
      </c>
      <c r="F101" s="3239" t="s">
        <v>3204</v>
      </c>
      <c r="G101" s="3240" t="s">
        <v>3375</v>
      </c>
      <c r="H101" s="3240" t="s">
        <v>3206</v>
      </c>
      <c r="I101" s="3241">
        <v>47303</v>
      </c>
      <c r="J101" s="3242" t="s">
        <v>3700</v>
      </c>
      <c r="K101" s="3242" t="s">
        <v>3701</v>
      </c>
      <c r="L101" s="3242" t="s">
        <v>3209</v>
      </c>
      <c r="M101" s="3242" t="s">
        <v>3362</v>
      </c>
      <c r="N101" s="3243">
        <v>18.8</v>
      </c>
      <c r="O101" s="3243">
        <f t="shared" si="1"/>
        <v>253.8</v>
      </c>
      <c r="P101" s="3244">
        <v>0.18</v>
      </c>
      <c r="Q101" s="3243">
        <v>2.8</v>
      </c>
      <c r="R101" s="3243" t="s">
        <v>3243</v>
      </c>
      <c r="S101" s="3243" t="s">
        <v>3702</v>
      </c>
      <c r="T101" s="3243" t="s">
        <v>3703</v>
      </c>
      <c r="U101" s="3245" t="s">
        <v>3214</v>
      </c>
    </row>
    <row r="102" spans="1:22" s="3246" customFormat="1" ht="24" customHeight="1">
      <c r="A102" s="3234" t="s">
        <v>3201</v>
      </c>
      <c r="B102" s="3235">
        <v>100</v>
      </c>
      <c r="C102" s="3236" t="s">
        <v>3604</v>
      </c>
      <c r="D102" s="3237" t="s">
        <v>3704</v>
      </c>
      <c r="E102" s="3238">
        <v>12</v>
      </c>
      <c r="F102" s="3239" t="s">
        <v>3204</v>
      </c>
      <c r="G102" s="3240" t="s">
        <v>3375</v>
      </c>
      <c r="H102" s="3240" t="s">
        <v>3206</v>
      </c>
      <c r="I102" s="3241">
        <v>47979</v>
      </c>
      <c r="J102" s="3242" t="s">
        <v>3705</v>
      </c>
      <c r="K102" s="3242" t="s">
        <v>3706</v>
      </c>
      <c r="L102" s="3242" t="s">
        <v>3209</v>
      </c>
      <c r="M102" s="3242" t="s">
        <v>3293</v>
      </c>
      <c r="N102" s="3243">
        <v>31.88</v>
      </c>
      <c r="O102" s="3243">
        <f t="shared" si="1"/>
        <v>382.56</v>
      </c>
      <c r="P102" s="3244">
        <v>0.15</v>
      </c>
      <c r="Q102" s="3243">
        <v>2.8</v>
      </c>
      <c r="R102" s="3243" t="s">
        <v>3378</v>
      </c>
      <c r="S102" s="3243" t="s">
        <v>3337</v>
      </c>
      <c r="T102" s="3243" t="s">
        <v>3238</v>
      </c>
      <c r="U102" s="3245" t="s">
        <v>3214</v>
      </c>
    </row>
    <row r="103" spans="1:22" s="3246" customFormat="1" ht="24" customHeight="1">
      <c r="A103" s="3234" t="s">
        <v>3201</v>
      </c>
      <c r="B103" s="3235">
        <v>101</v>
      </c>
      <c r="C103" s="3236" t="s">
        <v>3604</v>
      </c>
      <c r="D103" s="3237" t="s">
        <v>3707</v>
      </c>
      <c r="E103" s="3238">
        <v>9</v>
      </c>
      <c r="F103" s="3239" t="s">
        <v>3216</v>
      </c>
      <c r="G103" s="3240" t="s">
        <v>3216</v>
      </c>
      <c r="H103" s="3240" t="s">
        <v>3206</v>
      </c>
      <c r="I103" s="3241">
        <v>48346</v>
      </c>
      <c r="J103" s="3242" t="s">
        <v>3708</v>
      </c>
      <c r="K103" s="3242" t="s">
        <v>3493</v>
      </c>
      <c r="L103" s="3242" t="s">
        <v>3259</v>
      </c>
      <c r="M103" s="3242" t="s">
        <v>3440</v>
      </c>
      <c r="N103" s="3243">
        <v>5.48</v>
      </c>
      <c r="O103" s="3243">
        <f t="shared" si="1"/>
        <v>49.320000000000007</v>
      </c>
      <c r="P103" s="3244">
        <v>0</v>
      </c>
      <c r="Q103" s="3243"/>
      <c r="R103" s="3243" t="s">
        <v>3378</v>
      </c>
      <c r="S103" s="3243" t="s">
        <v>3337</v>
      </c>
      <c r="T103" s="3243" t="s">
        <v>3238</v>
      </c>
      <c r="U103" s="3245" t="s">
        <v>3214</v>
      </c>
    </row>
    <row r="104" spans="1:22" s="3246" customFormat="1" ht="24" customHeight="1">
      <c r="A104" s="3234" t="s">
        <v>3201</v>
      </c>
      <c r="B104" s="3235">
        <v>102</v>
      </c>
      <c r="C104" s="3236" t="s">
        <v>3604</v>
      </c>
      <c r="D104" s="3237" t="s">
        <v>3709</v>
      </c>
      <c r="E104" s="3238">
        <v>99</v>
      </c>
      <c r="F104" s="3239" t="s">
        <v>3204</v>
      </c>
      <c r="G104" s="3240" t="s">
        <v>3205</v>
      </c>
      <c r="H104" s="3240" t="s">
        <v>3206</v>
      </c>
      <c r="I104" s="3241">
        <v>48872</v>
      </c>
      <c r="J104" s="3242" t="s">
        <v>3710</v>
      </c>
      <c r="K104" s="3242" t="s">
        <v>3711</v>
      </c>
      <c r="L104" s="3242" t="s">
        <v>3259</v>
      </c>
      <c r="M104" s="3242" t="s">
        <v>3424</v>
      </c>
      <c r="N104" s="3243">
        <v>11</v>
      </c>
      <c r="O104" s="3243">
        <f t="shared" si="1"/>
        <v>1089</v>
      </c>
      <c r="P104" s="3244">
        <v>0.2</v>
      </c>
      <c r="Q104" s="3243">
        <v>2.8</v>
      </c>
      <c r="R104" s="3243" t="s">
        <v>3712</v>
      </c>
      <c r="S104" s="3243" t="s">
        <v>3370</v>
      </c>
      <c r="T104" s="3247" t="s">
        <v>3231</v>
      </c>
      <c r="U104" s="3245" t="s">
        <v>3214</v>
      </c>
      <c r="V104" s="3248" t="s">
        <v>3275</v>
      </c>
    </row>
    <row r="105" spans="1:22" s="3246" customFormat="1" ht="24" customHeight="1">
      <c r="A105" s="3234" t="s">
        <v>3201</v>
      </c>
      <c r="B105" s="3235">
        <v>103</v>
      </c>
      <c r="C105" s="3236" t="s">
        <v>3604</v>
      </c>
      <c r="D105" s="3237" t="s">
        <v>3713</v>
      </c>
      <c r="E105" s="3238">
        <v>32.5</v>
      </c>
      <c r="F105" s="3239" t="s">
        <v>3204</v>
      </c>
      <c r="G105" s="3240" t="s">
        <v>3205</v>
      </c>
      <c r="H105" s="3240" t="s">
        <v>3206</v>
      </c>
      <c r="I105" s="3241">
        <v>49065</v>
      </c>
      <c r="J105" s="3242" t="s">
        <v>3263</v>
      </c>
      <c r="K105" s="3242" t="s">
        <v>3264</v>
      </c>
      <c r="L105" s="3242" t="s">
        <v>3219</v>
      </c>
      <c r="M105" s="3242" t="s">
        <v>3265</v>
      </c>
      <c r="N105" s="3243">
        <v>22</v>
      </c>
      <c r="O105" s="3243">
        <f t="shared" si="1"/>
        <v>715</v>
      </c>
      <c r="P105" s="3244">
        <v>0.15</v>
      </c>
      <c r="Q105" s="3243">
        <v>2.8</v>
      </c>
      <c r="R105" s="3243" t="s">
        <v>3336</v>
      </c>
      <c r="S105" s="3243" t="s">
        <v>3452</v>
      </c>
      <c r="T105" s="3247" t="s">
        <v>3231</v>
      </c>
      <c r="U105" s="3245" t="s">
        <v>3214</v>
      </c>
    </row>
    <row r="106" spans="1:22" s="3246" customFormat="1" ht="24" customHeight="1">
      <c r="A106" s="3234" t="s">
        <v>3201</v>
      </c>
      <c r="B106" s="3235">
        <v>104</v>
      </c>
      <c r="C106" s="3236" t="s">
        <v>3604</v>
      </c>
      <c r="D106" s="3237" t="s">
        <v>3714</v>
      </c>
      <c r="E106" s="3238">
        <v>20</v>
      </c>
      <c r="F106" s="3239" t="s">
        <v>3204</v>
      </c>
      <c r="G106" s="3240" t="s">
        <v>3375</v>
      </c>
      <c r="H106" s="3240" t="s">
        <v>3206</v>
      </c>
      <c r="I106" s="3241">
        <v>49216</v>
      </c>
      <c r="J106" s="3242" t="s">
        <v>3564</v>
      </c>
      <c r="K106" s="3242" t="s">
        <v>3565</v>
      </c>
      <c r="L106" s="3242" t="s">
        <v>3259</v>
      </c>
      <c r="M106" s="3242" t="s">
        <v>3566</v>
      </c>
      <c r="N106" s="3243">
        <v>17.78</v>
      </c>
      <c r="O106" s="3243">
        <f t="shared" si="1"/>
        <v>355.6</v>
      </c>
      <c r="P106" s="3244">
        <v>0.15</v>
      </c>
      <c r="Q106" s="3243">
        <v>2.8</v>
      </c>
      <c r="R106" s="3243" t="s">
        <v>3378</v>
      </c>
      <c r="S106" s="3243" t="s">
        <v>3452</v>
      </c>
      <c r="T106" s="3247" t="s">
        <v>3274</v>
      </c>
      <c r="U106" s="3245" t="s">
        <v>3214</v>
      </c>
    </row>
    <row r="107" spans="1:22" s="3246" customFormat="1" ht="24" customHeight="1">
      <c r="A107" s="3234" t="s">
        <v>3201</v>
      </c>
      <c r="B107" s="3235">
        <v>105</v>
      </c>
      <c r="C107" s="3236" t="s">
        <v>3604</v>
      </c>
      <c r="D107" s="3237" t="s">
        <v>3715</v>
      </c>
      <c r="E107" s="3238">
        <v>230.3</v>
      </c>
      <c r="F107" s="3239" t="s">
        <v>3204</v>
      </c>
      <c r="G107" s="3240" t="s">
        <v>3205</v>
      </c>
      <c r="H107" s="3240" t="s">
        <v>3206</v>
      </c>
      <c r="I107" s="3241">
        <v>49902</v>
      </c>
      <c r="J107" s="3242" t="s">
        <v>3716</v>
      </c>
      <c r="K107" s="3242" t="s">
        <v>3258</v>
      </c>
      <c r="L107" s="3242" t="s">
        <v>3259</v>
      </c>
      <c r="M107" s="3242" t="s">
        <v>3260</v>
      </c>
      <c r="N107" s="3243"/>
      <c r="O107" s="3243">
        <f t="shared" si="1"/>
        <v>0</v>
      </c>
      <c r="P107" s="3244">
        <v>0.1</v>
      </c>
      <c r="Q107" s="3243">
        <v>1.43</v>
      </c>
      <c r="R107" s="3243" t="s">
        <v>3717</v>
      </c>
      <c r="S107" s="3243" t="s">
        <v>3452</v>
      </c>
      <c r="T107" s="3243" t="s">
        <v>3238</v>
      </c>
      <c r="U107" s="3245" t="s">
        <v>3214</v>
      </c>
    </row>
    <row r="108" spans="1:22" s="3246" customFormat="1" ht="24" customHeight="1">
      <c r="A108" s="3234" t="s">
        <v>3201</v>
      </c>
      <c r="B108" s="3235">
        <v>106</v>
      </c>
      <c r="C108" s="3236" t="s">
        <v>3604</v>
      </c>
      <c r="D108" s="3237" t="s">
        <v>3718</v>
      </c>
      <c r="E108" s="3238">
        <v>43</v>
      </c>
      <c r="F108" s="3239" t="s">
        <v>3204</v>
      </c>
      <c r="G108" s="3240" t="s">
        <v>3205</v>
      </c>
      <c r="H108" s="3240" t="s">
        <v>3206</v>
      </c>
      <c r="I108" s="3241">
        <v>50222</v>
      </c>
      <c r="J108" s="3242" t="s">
        <v>3719</v>
      </c>
      <c r="K108" s="3242" t="s">
        <v>3720</v>
      </c>
      <c r="L108" s="3242" t="s">
        <v>3259</v>
      </c>
      <c r="M108" s="3242" t="s">
        <v>3614</v>
      </c>
      <c r="N108" s="3243">
        <v>15.3</v>
      </c>
      <c r="O108" s="3243">
        <f t="shared" si="1"/>
        <v>657.9</v>
      </c>
      <c r="P108" s="3244">
        <v>0.2</v>
      </c>
      <c r="Q108" s="3243">
        <v>2.8</v>
      </c>
      <c r="R108" s="3243" t="s">
        <v>3378</v>
      </c>
      <c r="S108" s="3243" t="s">
        <v>3379</v>
      </c>
      <c r="T108" s="3243" t="s">
        <v>3380</v>
      </c>
      <c r="U108" s="3245" t="s">
        <v>3214</v>
      </c>
    </row>
    <row r="109" spans="1:22" s="3246" customFormat="1" ht="24" customHeight="1">
      <c r="A109" s="3234" t="s">
        <v>3201</v>
      </c>
      <c r="B109" s="3235">
        <v>107</v>
      </c>
      <c r="C109" s="3236" t="s">
        <v>3604</v>
      </c>
      <c r="D109" s="3237" t="s">
        <v>3721</v>
      </c>
      <c r="E109" s="3238">
        <v>194</v>
      </c>
      <c r="F109" s="3239" t="s">
        <v>3204</v>
      </c>
      <c r="G109" s="3240" t="s">
        <v>3205</v>
      </c>
      <c r="H109" s="3240" t="s">
        <v>3206</v>
      </c>
      <c r="I109" s="3241">
        <v>73458</v>
      </c>
      <c r="J109" s="3242" t="s">
        <v>3722</v>
      </c>
      <c r="K109" s="3242" t="s">
        <v>3723</v>
      </c>
      <c r="L109" s="3242" t="s">
        <v>3259</v>
      </c>
      <c r="M109" s="3242" t="s">
        <v>3724</v>
      </c>
      <c r="N109" s="3243">
        <v>5.59</v>
      </c>
      <c r="O109" s="3243">
        <f t="shared" si="1"/>
        <v>1084.46</v>
      </c>
      <c r="P109" s="3244">
        <v>0</v>
      </c>
      <c r="Q109" s="3243"/>
      <c r="R109" s="3243" t="s">
        <v>3725</v>
      </c>
      <c r="S109" s="3243" t="s">
        <v>3726</v>
      </c>
      <c r="T109" s="3243" t="s">
        <v>3238</v>
      </c>
      <c r="U109" s="3245" t="s">
        <v>3214</v>
      </c>
    </row>
    <row r="110" spans="1:22" s="3246" customFormat="1" ht="24" customHeight="1">
      <c r="A110" s="3234" t="s">
        <v>3201</v>
      </c>
      <c r="B110" s="3235">
        <v>108</v>
      </c>
      <c r="C110" s="3236" t="s">
        <v>3604</v>
      </c>
      <c r="D110" s="3237" t="s">
        <v>3727</v>
      </c>
      <c r="E110" s="3238">
        <v>65</v>
      </c>
      <c r="F110" s="3239" t="s">
        <v>3204</v>
      </c>
      <c r="G110" s="3240" t="s">
        <v>3205</v>
      </c>
      <c r="H110" s="3240" t="s">
        <v>3206</v>
      </c>
      <c r="I110" s="3241">
        <v>50285</v>
      </c>
      <c r="J110" s="3242" t="s">
        <v>3728</v>
      </c>
      <c r="K110" s="3242" t="s">
        <v>3729</v>
      </c>
      <c r="L110" s="3242" t="s">
        <v>3259</v>
      </c>
      <c r="M110" s="3242" t="s">
        <v>3552</v>
      </c>
      <c r="N110" s="3243">
        <v>10.61</v>
      </c>
      <c r="O110" s="3243">
        <f t="shared" si="1"/>
        <v>689.65</v>
      </c>
      <c r="P110" s="3244">
        <v>0.2</v>
      </c>
      <c r="Q110" s="3243">
        <v>2.8</v>
      </c>
      <c r="R110" s="3243" t="s">
        <v>3730</v>
      </c>
      <c r="S110" s="3243" t="s">
        <v>3731</v>
      </c>
      <c r="T110" s="3243" t="s">
        <v>3302</v>
      </c>
      <c r="U110" s="3245" t="s">
        <v>3214</v>
      </c>
    </row>
    <row r="111" spans="1:22" s="3246" customFormat="1" ht="24" customHeight="1">
      <c r="A111" s="3234" t="s">
        <v>3201</v>
      </c>
      <c r="B111" s="3235">
        <v>109</v>
      </c>
      <c r="C111" s="3236" t="s">
        <v>3604</v>
      </c>
      <c r="D111" s="3237" t="s">
        <v>3732</v>
      </c>
      <c r="E111" s="3238">
        <v>12</v>
      </c>
      <c r="F111" s="3239" t="s">
        <v>3204</v>
      </c>
      <c r="G111" s="3240" t="s">
        <v>3375</v>
      </c>
      <c r="H111" s="3240" t="s">
        <v>3206</v>
      </c>
      <c r="I111" s="3241">
        <v>51282</v>
      </c>
      <c r="J111" s="3242" t="s">
        <v>3733</v>
      </c>
      <c r="K111" s="3242" t="s">
        <v>3734</v>
      </c>
      <c r="L111" s="3242" t="s">
        <v>3209</v>
      </c>
      <c r="M111" s="3242" t="s">
        <v>3735</v>
      </c>
      <c r="N111" s="3243">
        <v>24.6</v>
      </c>
      <c r="O111" s="3243">
        <f t="shared" si="1"/>
        <v>295.20000000000005</v>
      </c>
      <c r="P111" s="3244">
        <v>0.15</v>
      </c>
      <c r="Q111" s="3243">
        <v>2.8</v>
      </c>
      <c r="R111" s="3243" t="s">
        <v>3736</v>
      </c>
      <c r="S111" s="3243" t="s">
        <v>3737</v>
      </c>
      <c r="T111" s="3243" t="s">
        <v>3238</v>
      </c>
      <c r="U111" s="3245" t="s">
        <v>3214</v>
      </c>
    </row>
    <row r="112" spans="1:22" s="3246" customFormat="1" ht="24" customHeight="1">
      <c r="A112" s="3234" t="s">
        <v>3201</v>
      </c>
      <c r="B112" s="3235">
        <v>110</v>
      </c>
      <c r="C112" s="3236" t="s">
        <v>3604</v>
      </c>
      <c r="D112" s="3237" t="s">
        <v>3738</v>
      </c>
      <c r="E112" s="3238">
        <v>69</v>
      </c>
      <c r="F112" s="3239" t="s">
        <v>3204</v>
      </c>
      <c r="G112" s="3240" t="s">
        <v>3205</v>
      </c>
      <c r="H112" s="3240" t="s">
        <v>3206</v>
      </c>
      <c r="I112" s="3241">
        <v>51395</v>
      </c>
      <c r="J112" s="3242" t="s">
        <v>3739</v>
      </c>
      <c r="K112" s="3242" t="s">
        <v>3740</v>
      </c>
      <c r="L112" s="3242" t="s">
        <v>3259</v>
      </c>
      <c r="M112" s="3242" t="s">
        <v>3724</v>
      </c>
      <c r="N112" s="3243">
        <v>5.3</v>
      </c>
      <c r="O112" s="3243">
        <f t="shared" si="1"/>
        <v>365.7</v>
      </c>
      <c r="P112" s="3244">
        <v>0</v>
      </c>
      <c r="Q112" s="3243">
        <v>2.8</v>
      </c>
      <c r="R112" s="3243" t="s">
        <v>3741</v>
      </c>
      <c r="S112" s="3243" t="s">
        <v>3742</v>
      </c>
      <c r="T112" s="3243" t="s">
        <v>3562</v>
      </c>
      <c r="U112" s="3245" t="s">
        <v>3214</v>
      </c>
      <c r="V112" s="3248" t="s">
        <v>3275</v>
      </c>
    </row>
    <row r="113" spans="1:22" s="3246" customFormat="1" ht="24" customHeight="1">
      <c r="A113" s="3234" t="s">
        <v>3201</v>
      </c>
      <c r="B113" s="3235">
        <v>111</v>
      </c>
      <c r="C113" s="3236" t="s">
        <v>3604</v>
      </c>
      <c r="D113" s="3237" t="s">
        <v>3743</v>
      </c>
      <c r="E113" s="3238">
        <v>77</v>
      </c>
      <c r="F113" s="3239" t="s">
        <v>3204</v>
      </c>
      <c r="G113" s="3240" t="s">
        <v>3205</v>
      </c>
      <c r="H113" s="3240" t="s">
        <v>3206</v>
      </c>
      <c r="I113" s="3241">
        <v>70569</v>
      </c>
      <c r="J113" s="3242" t="s">
        <v>3744</v>
      </c>
      <c r="K113" s="3242" t="s">
        <v>3745</v>
      </c>
      <c r="L113" s="3242" t="s">
        <v>3259</v>
      </c>
      <c r="M113" s="3242" t="s">
        <v>3424</v>
      </c>
      <c r="N113" s="3243">
        <v>6.83</v>
      </c>
      <c r="O113" s="3243">
        <f t="shared" si="1"/>
        <v>525.91</v>
      </c>
      <c r="P113" s="3244">
        <v>0.2</v>
      </c>
      <c r="Q113" s="3243"/>
      <c r="R113" s="3243" t="s">
        <v>3279</v>
      </c>
      <c r="S113" s="3243" t="s">
        <v>3391</v>
      </c>
      <c r="T113" s="3243" t="s">
        <v>3238</v>
      </c>
      <c r="U113" s="3245" t="s">
        <v>3214</v>
      </c>
      <c r="V113" s="3248" t="s">
        <v>3275</v>
      </c>
    </row>
    <row r="114" spans="1:22" s="3246" customFormat="1" ht="24" customHeight="1">
      <c r="A114" s="3234" t="s">
        <v>3201</v>
      </c>
      <c r="B114" s="3235">
        <v>112</v>
      </c>
      <c r="C114" s="3236" t="s">
        <v>3604</v>
      </c>
      <c r="D114" s="3237" t="s">
        <v>3746</v>
      </c>
      <c r="E114" s="3238">
        <v>142</v>
      </c>
      <c r="F114" s="3239" t="s">
        <v>3204</v>
      </c>
      <c r="G114" s="3240" t="s">
        <v>3205</v>
      </c>
      <c r="H114" s="3240" t="s">
        <v>3206</v>
      </c>
      <c r="I114" s="3241">
        <v>70864</v>
      </c>
      <c r="J114" s="3242" t="s">
        <v>3747</v>
      </c>
      <c r="K114" s="3242" t="s">
        <v>3748</v>
      </c>
      <c r="L114" s="3242" t="s">
        <v>3259</v>
      </c>
      <c r="M114" s="3242" t="s">
        <v>3614</v>
      </c>
      <c r="N114" s="3243">
        <v>8.6999999999999993</v>
      </c>
      <c r="O114" s="3243">
        <f t="shared" si="1"/>
        <v>1235.3999999999999</v>
      </c>
      <c r="P114" s="3244">
        <v>0.11</v>
      </c>
      <c r="Q114" s="3243">
        <v>2.8</v>
      </c>
      <c r="R114" s="3243" t="s">
        <v>3506</v>
      </c>
      <c r="S114" s="3243" t="s">
        <v>3507</v>
      </c>
      <c r="T114" s="3243" t="s">
        <v>3508</v>
      </c>
      <c r="U114" s="3245" t="s">
        <v>3214</v>
      </c>
    </row>
    <row r="115" spans="1:22" s="3246" customFormat="1" ht="24" customHeight="1">
      <c r="A115" s="3234" t="s">
        <v>3201</v>
      </c>
      <c r="B115" s="3235">
        <v>113</v>
      </c>
      <c r="C115" s="3236" t="s">
        <v>3604</v>
      </c>
      <c r="D115" s="3237" t="s">
        <v>3749</v>
      </c>
      <c r="E115" s="3238">
        <v>92</v>
      </c>
      <c r="F115" s="3239" t="s">
        <v>3204</v>
      </c>
      <c r="G115" s="3240" t="s">
        <v>3205</v>
      </c>
      <c r="H115" s="3240" t="s">
        <v>3206</v>
      </c>
      <c r="I115" s="3241">
        <v>72467</v>
      </c>
      <c r="J115" s="3242" t="s">
        <v>3750</v>
      </c>
      <c r="K115" s="3242" t="s">
        <v>3751</v>
      </c>
      <c r="L115" s="3242" t="s">
        <v>3209</v>
      </c>
      <c r="M115" s="3242" t="s">
        <v>3390</v>
      </c>
      <c r="N115" s="3243">
        <v>5.2</v>
      </c>
      <c r="O115" s="3243">
        <f t="shared" si="1"/>
        <v>478.40000000000003</v>
      </c>
      <c r="P115" s="3244">
        <v>0.12</v>
      </c>
      <c r="Q115" s="3243">
        <v>2.8</v>
      </c>
      <c r="R115" s="3243" t="s">
        <v>3378</v>
      </c>
      <c r="S115" s="3243" t="s">
        <v>3546</v>
      </c>
      <c r="T115" s="3243" t="s">
        <v>3752</v>
      </c>
      <c r="U115" s="3245" t="s">
        <v>3214</v>
      </c>
    </row>
    <row r="116" spans="1:22" s="3246" customFormat="1" ht="24" hidden="1" customHeight="1">
      <c r="A116" s="3234" t="s">
        <v>3201</v>
      </c>
      <c r="B116" s="3235">
        <v>114</v>
      </c>
      <c r="C116" s="3236" t="s">
        <v>3604</v>
      </c>
      <c r="D116" s="3237" t="s">
        <v>3753</v>
      </c>
      <c r="E116" s="3238">
        <v>279</v>
      </c>
      <c r="F116" s="3239" t="s">
        <v>3204</v>
      </c>
      <c r="G116" s="3240" t="s">
        <v>3205</v>
      </c>
      <c r="H116" s="3240" t="s">
        <v>3393</v>
      </c>
      <c r="I116" s="3241"/>
      <c r="J116" s="3242"/>
      <c r="K116" s="3242"/>
      <c r="L116" s="3242"/>
      <c r="M116" s="3242"/>
      <c r="N116" s="3243"/>
      <c r="O116" s="3243">
        <f t="shared" si="1"/>
        <v>0</v>
      </c>
      <c r="P116" s="3244"/>
      <c r="Q116" s="3243"/>
      <c r="R116" s="3243"/>
      <c r="S116" s="3243"/>
      <c r="T116" s="3243"/>
      <c r="U116" s="3245"/>
    </row>
    <row r="117" spans="1:22" s="3246" customFormat="1" ht="24" hidden="1" customHeight="1">
      <c r="A117" s="3234" t="s">
        <v>3201</v>
      </c>
      <c r="B117" s="3235">
        <v>115</v>
      </c>
      <c r="C117" s="3236" t="s">
        <v>3604</v>
      </c>
      <c r="D117" s="3237" t="s">
        <v>3754</v>
      </c>
      <c r="E117" s="3238">
        <v>272</v>
      </c>
      <c r="F117" s="3239" t="s">
        <v>3204</v>
      </c>
      <c r="G117" s="3240" t="s">
        <v>3205</v>
      </c>
      <c r="H117" s="3240" t="s">
        <v>3393</v>
      </c>
      <c r="I117" s="3241"/>
      <c r="J117" s="3242"/>
      <c r="K117" s="3242"/>
      <c r="L117" s="3242"/>
      <c r="M117" s="3242"/>
      <c r="N117" s="3243"/>
      <c r="O117" s="3243">
        <f t="shared" si="1"/>
        <v>0</v>
      </c>
      <c r="P117" s="3244"/>
      <c r="Q117" s="3243"/>
      <c r="R117" s="3243"/>
      <c r="S117" s="3243"/>
      <c r="T117" s="3243"/>
      <c r="U117" s="3245"/>
    </row>
    <row r="118" spans="1:22" s="3246" customFormat="1" ht="24" hidden="1" customHeight="1">
      <c r="A118" s="3234" t="s">
        <v>3201</v>
      </c>
      <c r="B118" s="3235">
        <v>116</v>
      </c>
      <c r="C118" s="3236" t="s">
        <v>3604</v>
      </c>
      <c r="D118" s="3237" t="s">
        <v>3755</v>
      </c>
      <c r="E118" s="3238">
        <v>223</v>
      </c>
      <c r="F118" s="3239" t="s">
        <v>3204</v>
      </c>
      <c r="G118" s="3240" t="s">
        <v>3205</v>
      </c>
      <c r="H118" s="3240" t="s">
        <v>3393</v>
      </c>
      <c r="I118" s="3241"/>
      <c r="J118" s="3242"/>
      <c r="K118" s="3242"/>
      <c r="L118" s="3242"/>
      <c r="M118" s="3242"/>
      <c r="N118" s="3243"/>
      <c r="O118" s="3243">
        <f t="shared" si="1"/>
        <v>0</v>
      </c>
      <c r="P118" s="3244"/>
      <c r="Q118" s="3243"/>
      <c r="R118" s="3243"/>
      <c r="S118" s="3243"/>
      <c r="T118" s="3243"/>
      <c r="U118" s="3245"/>
    </row>
    <row r="119" spans="1:22" s="3246" customFormat="1" ht="24" hidden="1" customHeight="1">
      <c r="A119" s="3234" t="s">
        <v>3201</v>
      </c>
      <c r="B119" s="3235">
        <v>117</v>
      </c>
      <c r="C119" s="3236" t="s">
        <v>3604</v>
      </c>
      <c r="D119" s="3237" t="s">
        <v>3756</v>
      </c>
      <c r="E119" s="3238">
        <v>151</v>
      </c>
      <c r="F119" s="3239" t="s">
        <v>3204</v>
      </c>
      <c r="G119" s="3240" t="s">
        <v>3205</v>
      </c>
      <c r="H119" s="3240" t="s">
        <v>3393</v>
      </c>
      <c r="I119" s="3241"/>
      <c r="J119" s="3242"/>
      <c r="K119" s="3242"/>
      <c r="L119" s="3242"/>
      <c r="M119" s="3242"/>
      <c r="N119" s="3243"/>
      <c r="O119" s="3243">
        <f t="shared" si="1"/>
        <v>0</v>
      </c>
      <c r="P119" s="3244"/>
      <c r="Q119" s="3243"/>
      <c r="R119" s="3243"/>
      <c r="S119" s="3243"/>
      <c r="T119" s="3243"/>
      <c r="U119" s="3245"/>
    </row>
    <row r="120" spans="1:22" s="3246" customFormat="1" ht="24" customHeight="1">
      <c r="A120" s="3234" t="s">
        <v>3201</v>
      </c>
      <c r="B120" s="3235">
        <v>118</v>
      </c>
      <c r="C120" s="3236" t="s">
        <v>3757</v>
      </c>
      <c r="D120" s="3237" t="s">
        <v>3758</v>
      </c>
      <c r="E120" s="3238">
        <v>142</v>
      </c>
      <c r="F120" s="3239" t="s">
        <v>3204</v>
      </c>
      <c r="G120" s="3240" t="s">
        <v>3205</v>
      </c>
      <c r="H120" s="3240" t="s">
        <v>3206</v>
      </c>
      <c r="I120" s="3241">
        <v>22021</v>
      </c>
      <c r="J120" s="3242" t="s">
        <v>3759</v>
      </c>
      <c r="K120" s="3242" t="s">
        <v>3664</v>
      </c>
      <c r="L120" s="3242" t="s">
        <v>3209</v>
      </c>
      <c r="M120" s="3242" t="s">
        <v>3665</v>
      </c>
      <c r="N120" s="3243">
        <v>10.65</v>
      </c>
      <c r="O120" s="3243">
        <f t="shared" si="1"/>
        <v>1512.3</v>
      </c>
      <c r="P120" s="3244">
        <v>0.13</v>
      </c>
      <c r="Q120" s="3243">
        <v>2.2000000000000002</v>
      </c>
      <c r="R120" s="3243" t="s">
        <v>3760</v>
      </c>
      <c r="S120" s="3243" t="s">
        <v>3761</v>
      </c>
      <c r="T120" s="3243" t="s">
        <v>3274</v>
      </c>
      <c r="U120" s="3245" t="s">
        <v>3214</v>
      </c>
    </row>
    <row r="121" spans="1:22" s="3246" customFormat="1" ht="24" customHeight="1">
      <c r="A121" s="3234" t="s">
        <v>3201</v>
      </c>
      <c r="B121" s="3235">
        <v>119</v>
      </c>
      <c r="C121" s="3236" t="s">
        <v>3757</v>
      </c>
      <c r="D121" s="3237" t="s">
        <v>3762</v>
      </c>
      <c r="E121" s="3238">
        <v>452</v>
      </c>
      <c r="F121" s="3239" t="s">
        <v>3204</v>
      </c>
      <c r="G121" s="3240" t="s">
        <v>3205</v>
      </c>
      <c r="H121" s="3240" t="s">
        <v>3206</v>
      </c>
      <c r="I121" s="3241" t="s">
        <v>3763</v>
      </c>
      <c r="J121" s="3242" t="s">
        <v>3764</v>
      </c>
      <c r="K121" s="3242" t="s">
        <v>3765</v>
      </c>
      <c r="L121" s="3242" t="s">
        <v>3227</v>
      </c>
      <c r="M121" s="3242" t="s">
        <v>3766</v>
      </c>
      <c r="N121" s="3243">
        <v>7.74</v>
      </c>
      <c r="O121" s="3243">
        <f t="shared" si="1"/>
        <v>3498.48</v>
      </c>
      <c r="P121" s="3244">
        <v>0.12</v>
      </c>
      <c r="Q121" s="3243">
        <v>2.2000000000000002</v>
      </c>
      <c r="R121" s="3243" t="s">
        <v>3767</v>
      </c>
      <c r="S121" s="3243" t="s">
        <v>3768</v>
      </c>
      <c r="T121" s="3243" t="s">
        <v>3274</v>
      </c>
      <c r="U121" s="3245" t="s">
        <v>3214</v>
      </c>
    </row>
    <row r="122" spans="1:22" s="3246" customFormat="1" ht="24" customHeight="1">
      <c r="A122" s="3234" t="s">
        <v>3201</v>
      </c>
      <c r="B122" s="3235">
        <v>120</v>
      </c>
      <c r="C122" s="3236" t="s">
        <v>3757</v>
      </c>
      <c r="D122" s="3237" t="s">
        <v>3769</v>
      </c>
      <c r="E122" s="3238">
        <v>246</v>
      </c>
      <c r="F122" s="3239" t="s">
        <v>3204</v>
      </c>
      <c r="G122" s="3240" t="s">
        <v>3205</v>
      </c>
      <c r="H122" s="3240" t="s">
        <v>3206</v>
      </c>
      <c r="I122" s="3241">
        <v>23071</v>
      </c>
      <c r="J122" s="3242" t="s">
        <v>3770</v>
      </c>
      <c r="K122" s="3242" t="s">
        <v>3226</v>
      </c>
      <c r="L122" s="3242" t="s">
        <v>3227</v>
      </c>
      <c r="M122" s="3242" t="s">
        <v>3228</v>
      </c>
      <c r="N122" s="3243">
        <v>7</v>
      </c>
      <c r="O122" s="3243">
        <f t="shared" si="1"/>
        <v>1722</v>
      </c>
      <c r="P122" s="3244">
        <v>0.06</v>
      </c>
      <c r="Q122" s="3243">
        <v>2.8</v>
      </c>
      <c r="R122" s="3243" t="s">
        <v>3771</v>
      </c>
      <c r="S122" s="3243" t="s">
        <v>3772</v>
      </c>
      <c r="T122" s="3247" t="s">
        <v>3231</v>
      </c>
      <c r="U122" s="3245" t="s">
        <v>3214</v>
      </c>
    </row>
    <row r="123" spans="1:22" s="3246" customFormat="1" ht="24" customHeight="1">
      <c r="A123" s="3234" t="s">
        <v>3201</v>
      </c>
      <c r="B123" s="3235">
        <v>121</v>
      </c>
      <c r="C123" s="3236" t="s">
        <v>3757</v>
      </c>
      <c r="D123" s="3237" t="s">
        <v>3773</v>
      </c>
      <c r="E123" s="3238">
        <v>4</v>
      </c>
      <c r="F123" s="3239" t="s">
        <v>3204</v>
      </c>
      <c r="G123" s="3240" t="s">
        <v>3375</v>
      </c>
      <c r="H123" s="3240" t="s">
        <v>3206</v>
      </c>
      <c r="I123" s="3241">
        <v>32539</v>
      </c>
      <c r="J123" s="3242" t="s">
        <v>3774</v>
      </c>
      <c r="K123" s="3242" t="s">
        <v>3775</v>
      </c>
      <c r="L123" s="3242" t="s">
        <v>3227</v>
      </c>
      <c r="M123" s="3242" t="s">
        <v>3776</v>
      </c>
      <c r="N123" s="3243">
        <v>47.2</v>
      </c>
      <c r="O123" s="3243">
        <f t="shared" si="1"/>
        <v>188.8</v>
      </c>
      <c r="P123" s="3244">
        <v>0</v>
      </c>
      <c r="Q123" s="3243">
        <v>2.8</v>
      </c>
      <c r="R123" s="3243" t="s">
        <v>3777</v>
      </c>
      <c r="S123" s="3243" t="s">
        <v>3778</v>
      </c>
      <c r="T123" s="3247" t="s">
        <v>3231</v>
      </c>
      <c r="U123" s="3245" t="s">
        <v>3214</v>
      </c>
    </row>
    <row r="124" spans="1:22" s="3246" customFormat="1" ht="24" customHeight="1">
      <c r="A124" s="3234" t="s">
        <v>3201</v>
      </c>
      <c r="B124" s="3235">
        <v>122</v>
      </c>
      <c r="C124" s="3236" t="s">
        <v>3757</v>
      </c>
      <c r="D124" s="3237" t="s">
        <v>3779</v>
      </c>
      <c r="E124" s="3238">
        <v>51</v>
      </c>
      <c r="F124" s="3239" t="s">
        <v>3204</v>
      </c>
      <c r="G124" s="3240" t="s">
        <v>3205</v>
      </c>
      <c r="H124" s="3240" t="s">
        <v>3206</v>
      </c>
      <c r="I124" s="3241">
        <v>72850</v>
      </c>
      <c r="J124" s="3242" t="s">
        <v>3780</v>
      </c>
      <c r="K124" s="3242" t="s">
        <v>3781</v>
      </c>
      <c r="L124" s="3242" t="s">
        <v>3227</v>
      </c>
      <c r="M124" s="3242" t="s">
        <v>3782</v>
      </c>
      <c r="N124" s="3243">
        <v>7.2</v>
      </c>
      <c r="O124" s="3243">
        <f t="shared" si="1"/>
        <v>367.2</v>
      </c>
      <c r="P124" s="3244">
        <v>0.12</v>
      </c>
      <c r="Q124" s="3243">
        <v>2.8</v>
      </c>
      <c r="R124" s="3243" t="s">
        <v>3378</v>
      </c>
      <c r="S124" s="3243" t="s">
        <v>3783</v>
      </c>
      <c r="T124" s="3243" t="s">
        <v>3784</v>
      </c>
      <c r="U124" s="3245" t="s">
        <v>3214</v>
      </c>
    </row>
    <row r="125" spans="1:22" s="3246" customFormat="1" ht="24" customHeight="1">
      <c r="A125" s="3234" t="s">
        <v>3201</v>
      </c>
      <c r="B125" s="3235">
        <v>123</v>
      </c>
      <c r="C125" s="3236" t="s">
        <v>3757</v>
      </c>
      <c r="D125" s="3237" t="s">
        <v>3785</v>
      </c>
      <c r="E125" s="3238">
        <v>207</v>
      </c>
      <c r="F125" s="3239" t="s">
        <v>3204</v>
      </c>
      <c r="G125" s="3240" t="s">
        <v>3205</v>
      </c>
      <c r="H125" s="3240" t="s">
        <v>3206</v>
      </c>
      <c r="I125" s="3241">
        <v>36918</v>
      </c>
      <c r="J125" s="3242" t="s">
        <v>3786</v>
      </c>
      <c r="K125" s="3242" t="s">
        <v>3787</v>
      </c>
      <c r="L125" s="3242" t="s">
        <v>3219</v>
      </c>
      <c r="M125" s="3242" t="s">
        <v>3788</v>
      </c>
      <c r="N125" s="3243">
        <v>12</v>
      </c>
      <c r="O125" s="3243">
        <f t="shared" si="1"/>
        <v>2484</v>
      </c>
      <c r="P125" s="3244">
        <v>0.11</v>
      </c>
      <c r="Q125" s="3243">
        <v>2.8</v>
      </c>
      <c r="R125" s="3243" t="s">
        <v>3789</v>
      </c>
      <c r="S125" s="3243" t="s">
        <v>3790</v>
      </c>
      <c r="T125" s="3247" t="s">
        <v>3502</v>
      </c>
      <c r="U125" s="3245" t="s">
        <v>3214</v>
      </c>
    </row>
    <row r="126" spans="1:22" s="3246" customFormat="1" ht="24" customHeight="1">
      <c r="A126" s="3234" t="s">
        <v>3201</v>
      </c>
      <c r="B126" s="3235">
        <v>124</v>
      </c>
      <c r="C126" s="3236" t="s">
        <v>3757</v>
      </c>
      <c r="D126" s="3237" t="s">
        <v>3791</v>
      </c>
      <c r="E126" s="3238">
        <v>33</v>
      </c>
      <c r="F126" s="3239" t="s">
        <v>3204</v>
      </c>
      <c r="G126" s="3240" t="s">
        <v>3205</v>
      </c>
      <c r="H126" s="3240" t="s">
        <v>3206</v>
      </c>
      <c r="I126" s="3241">
        <v>38164</v>
      </c>
      <c r="J126" s="3242" t="s">
        <v>3792</v>
      </c>
      <c r="K126" s="3242" t="s">
        <v>3793</v>
      </c>
      <c r="L126" s="3242" t="s">
        <v>3227</v>
      </c>
      <c r="M126" s="3242" t="s">
        <v>3384</v>
      </c>
      <c r="N126" s="3243">
        <v>16.07</v>
      </c>
      <c r="O126" s="3243">
        <f t="shared" si="1"/>
        <v>530.31000000000006</v>
      </c>
      <c r="P126" s="3244">
        <v>0.18</v>
      </c>
      <c r="Q126" s="3243">
        <v>2.8</v>
      </c>
      <c r="R126" s="3243" t="s">
        <v>3294</v>
      </c>
      <c r="S126" s="3243" t="s">
        <v>3667</v>
      </c>
      <c r="T126" s="3243" t="s">
        <v>3213</v>
      </c>
      <c r="U126" s="3245" t="s">
        <v>3214</v>
      </c>
    </row>
    <row r="127" spans="1:22" s="3246" customFormat="1" ht="24" customHeight="1">
      <c r="A127" s="3234" t="s">
        <v>3201</v>
      </c>
      <c r="B127" s="3235">
        <v>125</v>
      </c>
      <c r="C127" s="3236" t="s">
        <v>3757</v>
      </c>
      <c r="D127" s="3237" t="s">
        <v>3794</v>
      </c>
      <c r="E127" s="3238">
        <v>205</v>
      </c>
      <c r="F127" s="3239" t="s">
        <v>3204</v>
      </c>
      <c r="G127" s="3240" t="s">
        <v>3205</v>
      </c>
      <c r="H127" s="3240" t="s">
        <v>3206</v>
      </c>
      <c r="I127" s="3241">
        <v>38176</v>
      </c>
      <c r="J127" s="3242" t="s">
        <v>3795</v>
      </c>
      <c r="K127" s="3242" t="s">
        <v>3796</v>
      </c>
      <c r="L127" s="3242" t="s">
        <v>3227</v>
      </c>
      <c r="M127" s="3242" t="s">
        <v>3782</v>
      </c>
      <c r="N127" s="3243">
        <v>6.55</v>
      </c>
      <c r="O127" s="3243">
        <f t="shared" si="1"/>
        <v>1342.75</v>
      </c>
      <c r="P127" s="3244">
        <v>0.13</v>
      </c>
      <c r="Q127" s="3243">
        <v>2.8</v>
      </c>
      <c r="R127" s="3243" t="s">
        <v>3797</v>
      </c>
      <c r="S127" s="3243" t="s">
        <v>3667</v>
      </c>
      <c r="T127" s="3243" t="s">
        <v>3238</v>
      </c>
      <c r="U127" s="3245" t="s">
        <v>3214</v>
      </c>
    </row>
    <row r="128" spans="1:22" s="3246" customFormat="1" ht="24" customHeight="1">
      <c r="A128" s="3234" t="s">
        <v>3201</v>
      </c>
      <c r="B128" s="3235">
        <v>126</v>
      </c>
      <c r="C128" s="3236" t="s">
        <v>3757</v>
      </c>
      <c r="D128" s="3237" t="s">
        <v>3798</v>
      </c>
      <c r="E128" s="3238">
        <v>102</v>
      </c>
      <c r="F128" s="3239" t="s">
        <v>3204</v>
      </c>
      <c r="G128" s="3240" t="s">
        <v>3205</v>
      </c>
      <c r="H128" s="3240" t="s">
        <v>3206</v>
      </c>
      <c r="I128" s="3241">
        <v>38243</v>
      </c>
      <c r="J128" s="3242" t="s">
        <v>3799</v>
      </c>
      <c r="K128" s="3242" t="s">
        <v>3800</v>
      </c>
      <c r="L128" s="3242" t="s">
        <v>3227</v>
      </c>
      <c r="M128" s="3242" t="s">
        <v>3801</v>
      </c>
      <c r="N128" s="3243">
        <v>4.9000000000000004</v>
      </c>
      <c r="O128" s="3243">
        <f t="shared" si="1"/>
        <v>499.8</v>
      </c>
      <c r="P128" s="3244">
        <v>0.1</v>
      </c>
      <c r="Q128" s="3243">
        <v>2.8</v>
      </c>
      <c r="R128" s="3243" t="s">
        <v>3797</v>
      </c>
      <c r="S128" s="3243" t="s">
        <v>3667</v>
      </c>
      <c r="T128" s="3243" t="s">
        <v>3238</v>
      </c>
      <c r="U128" s="3245" t="s">
        <v>3214</v>
      </c>
    </row>
    <row r="129" spans="1:22" s="3246" customFormat="1" ht="24" customHeight="1">
      <c r="A129" s="3234" t="s">
        <v>3201</v>
      </c>
      <c r="B129" s="3235">
        <v>127</v>
      </c>
      <c r="C129" s="3236" t="s">
        <v>3757</v>
      </c>
      <c r="D129" s="3237" t="s">
        <v>3802</v>
      </c>
      <c r="E129" s="3238">
        <v>632</v>
      </c>
      <c r="F129" s="3239" t="s">
        <v>3204</v>
      </c>
      <c r="G129" s="3240" t="s">
        <v>3205</v>
      </c>
      <c r="H129" s="3240" t="s">
        <v>3206</v>
      </c>
      <c r="I129" s="3241">
        <v>40131</v>
      </c>
      <c r="J129" s="3242" t="s">
        <v>3803</v>
      </c>
      <c r="K129" s="3242" t="s">
        <v>3270</v>
      </c>
      <c r="L129" s="3242" t="s">
        <v>3227</v>
      </c>
      <c r="M129" s="3242" t="s">
        <v>3271</v>
      </c>
      <c r="N129" s="3243">
        <v>6.18</v>
      </c>
      <c r="O129" s="3243">
        <f t="shared" si="1"/>
        <v>3905.7599999999998</v>
      </c>
      <c r="P129" s="3244">
        <v>0.17</v>
      </c>
      <c r="Q129" s="3243">
        <v>2.8</v>
      </c>
      <c r="R129" s="3243" t="s">
        <v>3804</v>
      </c>
      <c r="S129" s="3243" t="s">
        <v>3805</v>
      </c>
      <c r="T129" s="3243" t="s">
        <v>3502</v>
      </c>
      <c r="U129" s="3245" t="s">
        <v>3214</v>
      </c>
      <c r="V129" s="3248" t="s">
        <v>3275</v>
      </c>
    </row>
    <row r="130" spans="1:22" s="3246" customFormat="1" ht="24" customHeight="1">
      <c r="A130" s="3234" t="s">
        <v>3201</v>
      </c>
      <c r="B130" s="3235">
        <v>128</v>
      </c>
      <c r="C130" s="3236" t="s">
        <v>3757</v>
      </c>
      <c r="D130" s="3237" t="s">
        <v>3806</v>
      </c>
      <c r="E130" s="3238">
        <v>500</v>
      </c>
      <c r="F130" s="3239" t="s">
        <v>3204</v>
      </c>
      <c r="G130" s="3240" t="s">
        <v>3205</v>
      </c>
      <c r="H130" s="3240" t="s">
        <v>3206</v>
      </c>
      <c r="I130" s="3241">
        <v>40180</v>
      </c>
      <c r="J130" s="3242" t="s">
        <v>3807</v>
      </c>
      <c r="K130" s="3242" t="s">
        <v>3329</v>
      </c>
      <c r="L130" s="3242" t="s">
        <v>3227</v>
      </c>
      <c r="M130" s="3242" t="s">
        <v>3330</v>
      </c>
      <c r="N130" s="3243">
        <v>7.72</v>
      </c>
      <c r="O130" s="3243">
        <f t="shared" si="1"/>
        <v>3860</v>
      </c>
      <c r="P130" s="3244">
        <v>0.12</v>
      </c>
      <c r="Q130" s="3243">
        <v>2.2000000000000002</v>
      </c>
      <c r="R130" s="3243" t="s">
        <v>3808</v>
      </c>
      <c r="S130" s="3243" t="s">
        <v>3809</v>
      </c>
      <c r="T130" s="3243" t="s">
        <v>3810</v>
      </c>
      <c r="U130" s="3245" t="s">
        <v>3214</v>
      </c>
    </row>
    <row r="131" spans="1:22" s="3246" customFormat="1" ht="24" customHeight="1">
      <c r="A131" s="3234" t="s">
        <v>3201</v>
      </c>
      <c r="B131" s="3235">
        <v>129</v>
      </c>
      <c r="C131" s="3236" t="s">
        <v>3757</v>
      </c>
      <c r="D131" s="3237" t="s">
        <v>3811</v>
      </c>
      <c r="E131" s="3238">
        <v>200</v>
      </c>
      <c r="F131" s="3239" t="s">
        <v>3204</v>
      </c>
      <c r="G131" s="3240" t="s">
        <v>3205</v>
      </c>
      <c r="H131" s="3240" t="s">
        <v>3206</v>
      </c>
      <c r="I131" s="3241">
        <v>40400</v>
      </c>
      <c r="J131" s="3242" t="s">
        <v>3812</v>
      </c>
      <c r="K131" s="3242" t="s">
        <v>3241</v>
      </c>
      <c r="L131" s="3242" t="s">
        <v>3227</v>
      </c>
      <c r="M131" s="3242" t="s">
        <v>3242</v>
      </c>
      <c r="N131" s="3243">
        <v>6.55</v>
      </c>
      <c r="O131" s="3243">
        <f t="shared" si="1"/>
        <v>1310</v>
      </c>
      <c r="P131" s="3244">
        <v>0.15</v>
      </c>
      <c r="Q131" s="3243">
        <v>2.8</v>
      </c>
      <c r="R131" s="3243" t="s">
        <v>3307</v>
      </c>
      <c r="S131" s="3243" t="s">
        <v>3426</v>
      </c>
      <c r="T131" s="3243" t="s">
        <v>3502</v>
      </c>
      <c r="U131" s="3245" t="s">
        <v>3214</v>
      </c>
      <c r="V131" s="3248" t="s">
        <v>3275</v>
      </c>
    </row>
    <row r="132" spans="1:22" s="3246" customFormat="1" ht="24" customHeight="1">
      <c r="A132" s="3234" t="s">
        <v>3201</v>
      </c>
      <c r="B132" s="3235">
        <v>130</v>
      </c>
      <c r="C132" s="3236" t="s">
        <v>3757</v>
      </c>
      <c r="D132" s="3237" t="s">
        <v>3813</v>
      </c>
      <c r="E132" s="3238">
        <v>30</v>
      </c>
      <c r="F132" s="3239" t="s">
        <v>3204</v>
      </c>
      <c r="G132" s="3240" t="s">
        <v>3375</v>
      </c>
      <c r="H132" s="3240" t="s">
        <v>3206</v>
      </c>
      <c r="I132" s="3241">
        <v>40690</v>
      </c>
      <c r="J132" s="3242" t="s">
        <v>3814</v>
      </c>
      <c r="K132" s="3242" t="s">
        <v>3815</v>
      </c>
      <c r="L132" s="3242" t="s">
        <v>3227</v>
      </c>
      <c r="M132" s="3242" t="s">
        <v>3816</v>
      </c>
      <c r="N132" s="3243">
        <v>7.9</v>
      </c>
      <c r="O132" s="3243">
        <f t="shared" ref="O132:O193" si="2">N132*E132</f>
        <v>237</v>
      </c>
      <c r="P132" s="3244">
        <v>0.18</v>
      </c>
      <c r="Q132" s="3243">
        <v>2.8</v>
      </c>
      <c r="R132" s="3243" t="s">
        <v>3817</v>
      </c>
      <c r="S132" s="3243" t="s">
        <v>3818</v>
      </c>
      <c r="T132" s="3243" t="s">
        <v>3338</v>
      </c>
      <c r="U132" s="3245" t="s">
        <v>3214</v>
      </c>
    </row>
    <row r="133" spans="1:22" s="3246" customFormat="1" ht="24" customHeight="1">
      <c r="A133" s="3234" t="s">
        <v>3201</v>
      </c>
      <c r="B133" s="3235">
        <v>131</v>
      </c>
      <c r="C133" s="3236" t="s">
        <v>3757</v>
      </c>
      <c r="D133" s="3237" t="s">
        <v>3819</v>
      </c>
      <c r="E133" s="3238">
        <v>14</v>
      </c>
      <c r="F133" s="3239" t="s">
        <v>3204</v>
      </c>
      <c r="G133" s="3240" t="s">
        <v>3205</v>
      </c>
      <c r="H133" s="3240" t="s">
        <v>3206</v>
      </c>
      <c r="I133" s="3241">
        <v>40960</v>
      </c>
      <c r="J133" s="3242" t="s">
        <v>3820</v>
      </c>
      <c r="K133" s="3242" t="s">
        <v>3821</v>
      </c>
      <c r="L133" s="3242" t="s">
        <v>3227</v>
      </c>
      <c r="M133" s="3242" t="s">
        <v>3816</v>
      </c>
      <c r="N133" s="3243">
        <v>17.2</v>
      </c>
      <c r="O133" s="3243">
        <f t="shared" si="2"/>
        <v>240.79999999999998</v>
      </c>
      <c r="P133" s="3244">
        <v>0.15</v>
      </c>
      <c r="Q133" s="3243">
        <v>2.8</v>
      </c>
      <c r="R133" s="3243" t="s">
        <v>3822</v>
      </c>
      <c r="S133" s="3243" t="s">
        <v>3823</v>
      </c>
      <c r="T133" s="3243" t="s">
        <v>3274</v>
      </c>
      <c r="U133" s="3245" t="s">
        <v>3214</v>
      </c>
    </row>
    <row r="134" spans="1:22" s="3246" customFormat="1" ht="24" customHeight="1">
      <c r="A134" s="3234" t="s">
        <v>3201</v>
      </c>
      <c r="B134" s="3235">
        <v>132</v>
      </c>
      <c r="C134" s="3236" t="s">
        <v>3757</v>
      </c>
      <c r="D134" s="3237" t="s">
        <v>3824</v>
      </c>
      <c r="E134" s="3238">
        <v>156</v>
      </c>
      <c r="F134" s="3239" t="s">
        <v>3204</v>
      </c>
      <c r="G134" s="3240" t="s">
        <v>3205</v>
      </c>
      <c r="H134" s="3240" t="s">
        <v>3206</v>
      </c>
      <c r="I134" s="3241" t="s">
        <v>3825</v>
      </c>
      <c r="J134" s="3242" t="s">
        <v>3826</v>
      </c>
      <c r="K134" s="3242" t="s">
        <v>3827</v>
      </c>
      <c r="L134" s="3242" t="s">
        <v>3227</v>
      </c>
      <c r="M134" s="3242" t="s">
        <v>3828</v>
      </c>
      <c r="N134" s="3243">
        <v>10.06</v>
      </c>
      <c r="O134" s="3243">
        <f t="shared" si="2"/>
        <v>1569.3600000000001</v>
      </c>
      <c r="P134" s="3244">
        <v>0.15</v>
      </c>
      <c r="Q134" s="3243">
        <v>2.8</v>
      </c>
      <c r="R134" s="3243" t="s">
        <v>3829</v>
      </c>
      <c r="S134" s="3243" t="s">
        <v>3598</v>
      </c>
      <c r="T134" s="3247" t="s">
        <v>3486</v>
      </c>
      <c r="U134" s="3245" t="s">
        <v>3214</v>
      </c>
    </row>
    <row r="135" spans="1:22" s="3246" customFormat="1" ht="24" customHeight="1">
      <c r="A135" s="3234" t="s">
        <v>3201</v>
      </c>
      <c r="B135" s="3235">
        <v>133</v>
      </c>
      <c r="C135" s="3236" t="s">
        <v>3757</v>
      </c>
      <c r="D135" s="3237" t="s">
        <v>3830</v>
      </c>
      <c r="E135" s="3238">
        <v>141</v>
      </c>
      <c r="F135" s="3239" t="s">
        <v>3204</v>
      </c>
      <c r="G135" s="3240" t="s">
        <v>3205</v>
      </c>
      <c r="H135" s="3240" t="s">
        <v>3206</v>
      </c>
      <c r="I135" s="3241">
        <v>40967</v>
      </c>
      <c r="J135" s="3242" t="s">
        <v>3831</v>
      </c>
      <c r="K135" s="3242" t="s">
        <v>3832</v>
      </c>
      <c r="L135" s="3242" t="s">
        <v>3227</v>
      </c>
      <c r="M135" s="3242" t="s">
        <v>3833</v>
      </c>
      <c r="N135" s="3243">
        <v>7.1</v>
      </c>
      <c r="O135" s="3243">
        <f t="shared" si="2"/>
        <v>1001.0999999999999</v>
      </c>
      <c r="P135" s="3244">
        <v>0.11</v>
      </c>
      <c r="Q135" s="3243">
        <v>2.2000000000000002</v>
      </c>
      <c r="R135" s="3243" t="s">
        <v>3834</v>
      </c>
      <c r="S135" s="3243" t="s">
        <v>3835</v>
      </c>
      <c r="T135" s="3243" t="s">
        <v>3238</v>
      </c>
      <c r="U135" s="3245" t="s">
        <v>3214</v>
      </c>
    </row>
    <row r="136" spans="1:22" s="3246" customFormat="1" ht="24" customHeight="1">
      <c r="A136" s="3234" t="s">
        <v>3201</v>
      </c>
      <c r="B136" s="3235">
        <v>134</v>
      </c>
      <c r="C136" s="3236" t="s">
        <v>3757</v>
      </c>
      <c r="D136" s="3237" t="s">
        <v>3836</v>
      </c>
      <c r="E136" s="3238">
        <v>6</v>
      </c>
      <c r="F136" s="3239" t="s">
        <v>3204</v>
      </c>
      <c r="G136" s="3240" t="s">
        <v>3375</v>
      </c>
      <c r="H136" s="3240" t="s">
        <v>3206</v>
      </c>
      <c r="I136" s="3241">
        <v>45293</v>
      </c>
      <c r="J136" s="3242" t="s">
        <v>3837</v>
      </c>
      <c r="K136" s="3242" t="s">
        <v>3815</v>
      </c>
      <c r="L136" s="3242" t="s">
        <v>3227</v>
      </c>
      <c r="M136" s="3242" t="s">
        <v>3816</v>
      </c>
      <c r="N136" s="3243">
        <v>7.9</v>
      </c>
      <c r="O136" s="3243">
        <f t="shared" si="2"/>
        <v>47.400000000000006</v>
      </c>
      <c r="P136" s="3244">
        <v>0.18</v>
      </c>
      <c r="Q136" s="3243">
        <v>2.8</v>
      </c>
      <c r="R136" s="3243" t="s">
        <v>3838</v>
      </c>
      <c r="S136" s="3243" t="s">
        <v>3839</v>
      </c>
      <c r="T136" s="3243" t="s">
        <v>3338</v>
      </c>
      <c r="U136" s="3245" t="s">
        <v>3214</v>
      </c>
    </row>
    <row r="137" spans="1:22" s="3246" customFormat="1" ht="24" customHeight="1">
      <c r="A137" s="3234" t="s">
        <v>3201</v>
      </c>
      <c r="B137" s="3235">
        <v>135</v>
      </c>
      <c r="C137" s="3236" t="s">
        <v>3757</v>
      </c>
      <c r="D137" s="3237" t="s">
        <v>3840</v>
      </c>
      <c r="E137" s="3238">
        <v>184</v>
      </c>
      <c r="F137" s="3239" t="s">
        <v>3204</v>
      </c>
      <c r="G137" s="3240" t="s">
        <v>3375</v>
      </c>
      <c r="H137" s="3240" t="s">
        <v>3206</v>
      </c>
      <c r="I137" s="3241">
        <v>45294</v>
      </c>
      <c r="J137" s="3242" t="s">
        <v>3841</v>
      </c>
      <c r="K137" s="3242" t="s">
        <v>3842</v>
      </c>
      <c r="L137" s="3242" t="s">
        <v>3227</v>
      </c>
      <c r="M137" s="3242" t="s">
        <v>3843</v>
      </c>
      <c r="N137" s="3243">
        <v>11</v>
      </c>
      <c r="O137" s="3243">
        <f t="shared" si="2"/>
        <v>2024</v>
      </c>
      <c r="P137" s="3244">
        <v>0.16</v>
      </c>
      <c r="Q137" s="3243">
        <v>2.2000000000000002</v>
      </c>
      <c r="R137" s="3243" t="s">
        <v>3844</v>
      </c>
      <c r="S137" s="3243" t="s">
        <v>3818</v>
      </c>
      <c r="T137" s="3243" t="s">
        <v>3332</v>
      </c>
      <c r="U137" s="3245" t="s">
        <v>3214</v>
      </c>
    </row>
    <row r="138" spans="1:22" s="3246" customFormat="1" ht="24" customHeight="1">
      <c r="A138" s="3234" t="s">
        <v>3201</v>
      </c>
      <c r="B138" s="3235">
        <v>136</v>
      </c>
      <c r="C138" s="3236" t="s">
        <v>3757</v>
      </c>
      <c r="D138" s="3237" t="s">
        <v>3845</v>
      </c>
      <c r="E138" s="3238">
        <v>200</v>
      </c>
      <c r="F138" s="3239" t="s">
        <v>3204</v>
      </c>
      <c r="G138" s="3240" t="s">
        <v>3375</v>
      </c>
      <c r="H138" s="3240" t="s">
        <v>3206</v>
      </c>
      <c r="I138" s="3241">
        <v>72806</v>
      </c>
      <c r="J138" s="3242" t="s">
        <v>3846</v>
      </c>
      <c r="K138" s="3242" t="s">
        <v>3847</v>
      </c>
      <c r="L138" s="3242" t="s">
        <v>3227</v>
      </c>
      <c r="M138" s="3242" t="s">
        <v>3848</v>
      </c>
      <c r="N138" s="3243">
        <v>5.2</v>
      </c>
      <c r="O138" s="3243">
        <f t="shared" si="2"/>
        <v>1040</v>
      </c>
      <c r="P138" s="3244">
        <v>0.14000000000000001</v>
      </c>
      <c r="Q138" s="3243">
        <v>2.8</v>
      </c>
      <c r="R138" s="3243" t="s">
        <v>3513</v>
      </c>
      <c r="S138" s="3243" t="s">
        <v>3849</v>
      </c>
      <c r="T138" s="3243" t="s">
        <v>3810</v>
      </c>
      <c r="U138" s="3245" t="s">
        <v>3214</v>
      </c>
    </row>
    <row r="139" spans="1:22" s="3246" customFormat="1" ht="24" customHeight="1">
      <c r="A139" s="3234" t="s">
        <v>3201</v>
      </c>
      <c r="B139" s="3235">
        <v>137</v>
      </c>
      <c r="C139" s="3236" t="s">
        <v>3757</v>
      </c>
      <c r="D139" s="3237" t="s">
        <v>3850</v>
      </c>
      <c r="E139" s="3238">
        <v>36</v>
      </c>
      <c r="F139" s="3239" t="s">
        <v>3204</v>
      </c>
      <c r="G139" s="3240" t="s">
        <v>3375</v>
      </c>
      <c r="H139" s="3240" t="s">
        <v>3206</v>
      </c>
      <c r="I139" s="3241">
        <v>73057</v>
      </c>
      <c r="J139" s="3242" t="s">
        <v>3851</v>
      </c>
      <c r="K139" s="3242" t="s">
        <v>3852</v>
      </c>
      <c r="L139" s="3242" t="s">
        <v>3227</v>
      </c>
      <c r="M139" s="3242" t="s">
        <v>3816</v>
      </c>
      <c r="N139" s="3243">
        <v>10.18</v>
      </c>
      <c r="O139" s="3243">
        <f t="shared" si="2"/>
        <v>366.48</v>
      </c>
      <c r="P139" s="3244">
        <v>0.15</v>
      </c>
      <c r="Q139" s="3243">
        <v>2.8</v>
      </c>
      <c r="R139" s="3243" t="s">
        <v>3853</v>
      </c>
      <c r="S139" s="3243" t="s">
        <v>3854</v>
      </c>
      <c r="T139" s="3243" t="s">
        <v>3810</v>
      </c>
      <c r="U139" s="3245" t="s">
        <v>3214</v>
      </c>
    </row>
    <row r="140" spans="1:22" s="3246" customFormat="1" ht="24" customHeight="1">
      <c r="A140" s="3234" t="s">
        <v>3201</v>
      </c>
      <c r="B140" s="3235">
        <v>138</v>
      </c>
      <c r="C140" s="3236" t="s">
        <v>3757</v>
      </c>
      <c r="D140" s="3237" t="s">
        <v>3855</v>
      </c>
      <c r="E140" s="3238">
        <v>15</v>
      </c>
      <c r="F140" s="3239" t="s">
        <v>3204</v>
      </c>
      <c r="G140" s="3240" t="s">
        <v>3375</v>
      </c>
      <c r="H140" s="3240" t="s">
        <v>3206</v>
      </c>
      <c r="I140" s="3241">
        <v>46826</v>
      </c>
      <c r="J140" s="3242" t="s">
        <v>3856</v>
      </c>
      <c r="K140" s="3242" t="s">
        <v>3857</v>
      </c>
      <c r="L140" s="3242" t="s">
        <v>3227</v>
      </c>
      <c r="M140" s="3242" t="s">
        <v>3858</v>
      </c>
      <c r="N140" s="3243">
        <v>15.66</v>
      </c>
      <c r="O140" s="3243">
        <f t="shared" si="2"/>
        <v>234.9</v>
      </c>
      <c r="P140" s="3244">
        <v>0.18</v>
      </c>
      <c r="Q140" s="3243">
        <v>2.8</v>
      </c>
      <c r="R140" s="3243" t="s">
        <v>3243</v>
      </c>
      <c r="S140" s="3243" t="s">
        <v>3331</v>
      </c>
      <c r="T140" s="3243" t="s">
        <v>3332</v>
      </c>
      <c r="U140" s="3245" t="s">
        <v>3214</v>
      </c>
    </row>
    <row r="141" spans="1:22" s="3246" customFormat="1" ht="24" customHeight="1">
      <c r="A141" s="3234" t="s">
        <v>3201</v>
      </c>
      <c r="B141" s="3235">
        <v>139</v>
      </c>
      <c r="C141" s="3236" t="s">
        <v>3757</v>
      </c>
      <c r="D141" s="3237" t="s">
        <v>3859</v>
      </c>
      <c r="E141" s="3238">
        <v>12</v>
      </c>
      <c r="F141" s="3239" t="s">
        <v>3204</v>
      </c>
      <c r="G141" s="3240" t="s">
        <v>3375</v>
      </c>
      <c r="H141" s="3240" t="s">
        <v>3206</v>
      </c>
      <c r="I141" s="3241">
        <v>73313</v>
      </c>
      <c r="J141" s="3242" t="s">
        <v>3860</v>
      </c>
      <c r="K141" s="3242" t="s">
        <v>3861</v>
      </c>
      <c r="L141" s="3242" t="s">
        <v>3219</v>
      </c>
      <c r="M141" s="3242" t="s">
        <v>3306</v>
      </c>
      <c r="N141" s="3243">
        <v>20</v>
      </c>
      <c r="O141" s="3243">
        <f t="shared" si="2"/>
        <v>240</v>
      </c>
      <c r="P141" s="3244">
        <v>0.15</v>
      </c>
      <c r="Q141" s="3243">
        <v>2.8</v>
      </c>
      <c r="R141" s="3243" t="s">
        <v>3279</v>
      </c>
      <c r="S141" s="3243" t="s">
        <v>3726</v>
      </c>
      <c r="T141" s="3243" t="s">
        <v>3255</v>
      </c>
      <c r="U141" s="3245" t="s">
        <v>3214</v>
      </c>
    </row>
    <row r="142" spans="1:22" s="3246" customFormat="1" ht="24" customHeight="1">
      <c r="A142" s="3234" t="s">
        <v>3201</v>
      </c>
      <c r="B142" s="3235">
        <v>140</v>
      </c>
      <c r="C142" s="3236" t="s">
        <v>3757</v>
      </c>
      <c r="D142" s="3237" t="s">
        <v>3862</v>
      </c>
      <c r="E142" s="3238">
        <v>20</v>
      </c>
      <c r="F142" s="3239" t="s">
        <v>3204</v>
      </c>
      <c r="G142" s="3240" t="s">
        <v>3375</v>
      </c>
      <c r="H142" s="3240" t="s">
        <v>3206</v>
      </c>
      <c r="I142" s="3241">
        <v>46834</v>
      </c>
      <c r="J142" s="3242" t="s">
        <v>3863</v>
      </c>
      <c r="K142" s="3242" t="s">
        <v>3864</v>
      </c>
      <c r="L142" s="3242" t="s">
        <v>3227</v>
      </c>
      <c r="M142" s="3242" t="s">
        <v>3816</v>
      </c>
      <c r="N142" s="3243">
        <v>16.2</v>
      </c>
      <c r="O142" s="3243">
        <f t="shared" si="2"/>
        <v>324</v>
      </c>
      <c r="P142" s="3244">
        <v>0.16</v>
      </c>
      <c r="Q142" s="3243">
        <v>2.8</v>
      </c>
      <c r="R142" s="3243" t="s">
        <v>3697</v>
      </c>
      <c r="S142" s="3243" t="s">
        <v>3331</v>
      </c>
      <c r="T142" s="3243" t="s">
        <v>3302</v>
      </c>
      <c r="U142" s="3245" t="s">
        <v>3214</v>
      </c>
    </row>
    <row r="143" spans="1:22" s="3246" customFormat="1" ht="24" customHeight="1">
      <c r="A143" s="3234" t="s">
        <v>3201</v>
      </c>
      <c r="B143" s="3235">
        <v>141</v>
      </c>
      <c r="C143" s="3236" t="s">
        <v>3757</v>
      </c>
      <c r="D143" s="3237" t="s">
        <v>3865</v>
      </c>
      <c r="E143" s="3238">
        <v>330</v>
      </c>
      <c r="F143" s="3239" t="s">
        <v>3204</v>
      </c>
      <c r="G143" s="3240" t="s">
        <v>3205</v>
      </c>
      <c r="H143" s="3240" t="s">
        <v>3206</v>
      </c>
      <c r="I143" s="3241">
        <v>47351</v>
      </c>
      <c r="J143" s="3242" t="s">
        <v>3866</v>
      </c>
      <c r="K143" s="3242" t="s">
        <v>3867</v>
      </c>
      <c r="L143" s="3242" t="s">
        <v>3219</v>
      </c>
      <c r="M143" s="3242" t="s">
        <v>3868</v>
      </c>
      <c r="N143" s="3243">
        <v>8.4</v>
      </c>
      <c r="O143" s="3243">
        <f t="shared" si="2"/>
        <v>2772</v>
      </c>
      <c r="P143" s="3244">
        <v>0.105</v>
      </c>
      <c r="Q143" s="3243">
        <v>2.8</v>
      </c>
      <c r="R143" s="3243" t="s">
        <v>3869</v>
      </c>
      <c r="S143" s="3243" t="s">
        <v>3870</v>
      </c>
      <c r="T143" s="3243" t="s">
        <v>3871</v>
      </c>
      <c r="U143" s="3245" t="s">
        <v>3214</v>
      </c>
    </row>
    <row r="144" spans="1:22" s="3246" customFormat="1" ht="24" customHeight="1">
      <c r="A144" s="3234" t="s">
        <v>3201</v>
      </c>
      <c r="B144" s="3235">
        <v>142</v>
      </c>
      <c r="C144" s="3236" t="s">
        <v>3757</v>
      </c>
      <c r="D144" s="3237" t="s">
        <v>3872</v>
      </c>
      <c r="E144" s="3238">
        <v>58</v>
      </c>
      <c r="F144" s="3239" t="s">
        <v>3204</v>
      </c>
      <c r="G144" s="3240" t="s">
        <v>3205</v>
      </c>
      <c r="H144" s="3240" t="s">
        <v>3206</v>
      </c>
      <c r="I144" s="3241">
        <v>48311</v>
      </c>
      <c r="J144" s="3242" t="s">
        <v>3873</v>
      </c>
      <c r="K144" s="3242" t="s">
        <v>3874</v>
      </c>
      <c r="L144" s="3242" t="s">
        <v>3227</v>
      </c>
      <c r="M144" s="3242" t="s">
        <v>3816</v>
      </c>
      <c r="N144" s="3243">
        <v>12.8</v>
      </c>
      <c r="O144" s="3243">
        <f t="shared" si="2"/>
        <v>742.40000000000009</v>
      </c>
      <c r="P144" s="3244">
        <v>0.15</v>
      </c>
      <c r="Q144" s="3243">
        <v>2.8</v>
      </c>
      <c r="R144" s="3243" t="s">
        <v>3875</v>
      </c>
      <c r="S144" s="3243" t="s">
        <v>3876</v>
      </c>
      <c r="T144" s="3243" t="s">
        <v>3289</v>
      </c>
      <c r="U144" s="3245" t="s">
        <v>3214</v>
      </c>
    </row>
    <row r="145" spans="1:21" s="3246" customFormat="1" ht="24" customHeight="1">
      <c r="A145" s="3234" t="s">
        <v>3201</v>
      </c>
      <c r="B145" s="3235">
        <v>143</v>
      </c>
      <c r="C145" s="3236" t="s">
        <v>3757</v>
      </c>
      <c r="D145" s="3237" t="s">
        <v>3877</v>
      </c>
      <c r="E145" s="3238">
        <v>36</v>
      </c>
      <c r="F145" s="3239" t="s">
        <v>3204</v>
      </c>
      <c r="G145" s="3240" t="s">
        <v>3205</v>
      </c>
      <c r="H145" s="3240" t="s">
        <v>3206</v>
      </c>
      <c r="I145" s="3241">
        <v>49047</v>
      </c>
      <c r="J145" s="3242" t="s">
        <v>3878</v>
      </c>
      <c r="K145" s="3242" t="s">
        <v>3879</v>
      </c>
      <c r="L145" s="3242" t="s">
        <v>3219</v>
      </c>
      <c r="M145" s="3242" t="s">
        <v>3265</v>
      </c>
      <c r="N145" s="3243">
        <v>20.16</v>
      </c>
      <c r="O145" s="3243">
        <f t="shared" si="2"/>
        <v>725.76</v>
      </c>
      <c r="P145" s="3244">
        <v>0.18</v>
      </c>
      <c r="Q145" s="3243">
        <v>2.8</v>
      </c>
      <c r="R145" s="3243" t="s">
        <v>3451</v>
      </c>
      <c r="S145" s="3243" t="s">
        <v>3452</v>
      </c>
      <c r="T145" s="3243" t="s">
        <v>3289</v>
      </c>
      <c r="U145" s="3245" t="s">
        <v>3214</v>
      </c>
    </row>
    <row r="146" spans="1:21" s="3246" customFormat="1" ht="24" customHeight="1">
      <c r="A146" s="3234" t="s">
        <v>3201</v>
      </c>
      <c r="B146" s="3235">
        <v>144</v>
      </c>
      <c r="C146" s="3236" t="s">
        <v>3757</v>
      </c>
      <c r="D146" s="3237" t="s">
        <v>3880</v>
      </c>
      <c r="E146" s="3238">
        <v>10</v>
      </c>
      <c r="F146" s="3239" t="s">
        <v>3216</v>
      </c>
      <c r="G146" s="3240" t="s">
        <v>3216</v>
      </c>
      <c r="H146" s="3240" t="s">
        <v>3206</v>
      </c>
      <c r="I146" s="3241">
        <v>49237</v>
      </c>
      <c r="J146" s="3242" t="s">
        <v>3881</v>
      </c>
      <c r="K146" s="3242" t="s">
        <v>3565</v>
      </c>
      <c r="L146" s="3242" t="s">
        <v>3259</v>
      </c>
      <c r="M146" s="3242" t="s">
        <v>3566</v>
      </c>
      <c r="N146" s="3243">
        <v>4</v>
      </c>
      <c r="O146" s="3243">
        <f t="shared" si="2"/>
        <v>40</v>
      </c>
      <c r="P146" s="3244">
        <v>0</v>
      </c>
      <c r="Q146" s="3243"/>
      <c r="R146" s="3243" t="s">
        <v>3882</v>
      </c>
      <c r="S146" s="3243" t="s">
        <v>3452</v>
      </c>
      <c r="T146" s="3247" t="s">
        <v>3289</v>
      </c>
      <c r="U146" s="3245" t="s">
        <v>3214</v>
      </c>
    </row>
    <row r="147" spans="1:21" s="3246" customFormat="1" ht="24" customHeight="1">
      <c r="A147" s="3234" t="s">
        <v>3201</v>
      </c>
      <c r="B147" s="3235">
        <v>145</v>
      </c>
      <c r="C147" s="3236" t="s">
        <v>3757</v>
      </c>
      <c r="D147" s="3237" t="s">
        <v>3883</v>
      </c>
      <c r="E147" s="3238">
        <v>51</v>
      </c>
      <c r="F147" s="3239" t="s">
        <v>3204</v>
      </c>
      <c r="G147" s="3240" t="s">
        <v>3205</v>
      </c>
      <c r="H147" s="3240" t="s">
        <v>3206</v>
      </c>
      <c r="I147" s="3241">
        <v>49278</v>
      </c>
      <c r="J147" s="3242" t="s">
        <v>3884</v>
      </c>
      <c r="K147" s="3242" t="s">
        <v>3885</v>
      </c>
      <c r="L147" s="3242" t="s">
        <v>3227</v>
      </c>
      <c r="M147" s="3242" t="s">
        <v>3782</v>
      </c>
      <c r="N147" s="3243">
        <v>10.5</v>
      </c>
      <c r="O147" s="3243">
        <f t="shared" si="2"/>
        <v>535.5</v>
      </c>
      <c r="P147" s="3244">
        <v>0.16</v>
      </c>
      <c r="Q147" s="3243">
        <v>2.8</v>
      </c>
      <c r="R147" s="3243" t="s">
        <v>3712</v>
      </c>
      <c r="S147" s="3243" t="s">
        <v>3886</v>
      </c>
      <c r="T147" s="3243" t="s">
        <v>3332</v>
      </c>
      <c r="U147" s="3245" t="s">
        <v>3214</v>
      </c>
    </row>
    <row r="148" spans="1:21" s="3246" customFormat="1" ht="24" customHeight="1">
      <c r="A148" s="3234" t="s">
        <v>3201</v>
      </c>
      <c r="B148" s="3235">
        <v>146</v>
      </c>
      <c r="C148" s="3236" t="s">
        <v>3757</v>
      </c>
      <c r="D148" s="3237" t="s">
        <v>3887</v>
      </c>
      <c r="E148" s="3238">
        <v>24</v>
      </c>
      <c r="F148" s="3239" t="s">
        <v>3204</v>
      </c>
      <c r="G148" s="3240" t="s">
        <v>3205</v>
      </c>
      <c r="H148" s="3240" t="s">
        <v>3206</v>
      </c>
      <c r="I148" s="3241">
        <v>49320</v>
      </c>
      <c r="J148" s="3242" t="s">
        <v>3888</v>
      </c>
      <c r="K148" s="3242" t="s">
        <v>3889</v>
      </c>
      <c r="L148" s="3242" t="s">
        <v>3227</v>
      </c>
      <c r="M148" s="3242" t="s">
        <v>3858</v>
      </c>
      <c r="N148" s="3243">
        <v>15.7</v>
      </c>
      <c r="O148" s="3243">
        <f t="shared" si="2"/>
        <v>376.79999999999995</v>
      </c>
      <c r="P148" s="3244">
        <v>0.16</v>
      </c>
      <c r="Q148" s="3243">
        <v>2.8</v>
      </c>
      <c r="R148" s="3243" t="s">
        <v>3378</v>
      </c>
      <c r="S148" s="3243" t="s">
        <v>3586</v>
      </c>
      <c r="T148" s="3243" t="s">
        <v>3453</v>
      </c>
      <c r="U148" s="3245" t="s">
        <v>3214</v>
      </c>
    </row>
    <row r="149" spans="1:21" s="3246" customFormat="1" ht="24" customHeight="1">
      <c r="A149" s="3234" t="s">
        <v>3201</v>
      </c>
      <c r="B149" s="3235">
        <v>147</v>
      </c>
      <c r="C149" s="3236" t="s">
        <v>3757</v>
      </c>
      <c r="D149" s="3237" t="s">
        <v>3890</v>
      </c>
      <c r="E149" s="3238">
        <v>20</v>
      </c>
      <c r="F149" s="3239" t="s">
        <v>3204</v>
      </c>
      <c r="G149" s="3240" t="s">
        <v>3375</v>
      </c>
      <c r="H149" s="3240" t="s">
        <v>3206</v>
      </c>
      <c r="I149" s="3241">
        <v>72741</v>
      </c>
      <c r="J149" s="3242" t="s">
        <v>3891</v>
      </c>
      <c r="K149" s="3242" t="s">
        <v>3892</v>
      </c>
      <c r="L149" s="3242" t="s">
        <v>3644</v>
      </c>
      <c r="M149" s="3242" t="s">
        <v>3893</v>
      </c>
      <c r="N149" s="3243">
        <v>18.559999999999999</v>
      </c>
      <c r="O149" s="3243">
        <f t="shared" si="2"/>
        <v>371.2</v>
      </c>
      <c r="P149" s="3244">
        <v>0.15</v>
      </c>
      <c r="Q149" s="3243">
        <v>2.8</v>
      </c>
      <c r="R149" s="3243" t="s">
        <v>3894</v>
      </c>
      <c r="S149" s="3243" t="s">
        <v>3895</v>
      </c>
      <c r="T149" s="3243" t="s">
        <v>3332</v>
      </c>
      <c r="U149" s="3245" t="s">
        <v>3214</v>
      </c>
    </row>
    <row r="150" spans="1:21" s="3246" customFormat="1" ht="24" customHeight="1">
      <c r="A150" s="3234" t="s">
        <v>3201</v>
      </c>
      <c r="B150" s="3235">
        <v>148</v>
      </c>
      <c r="C150" s="3236" t="s">
        <v>3757</v>
      </c>
      <c r="D150" s="3237" t="s">
        <v>3896</v>
      </c>
      <c r="E150" s="3238">
        <v>90</v>
      </c>
      <c r="F150" s="3239" t="s">
        <v>3204</v>
      </c>
      <c r="G150" s="3240" t="s">
        <v>3205</v>
      </c>
      <c r="H150" s="3240" t="s">
        <v>3206</v>
      </c>
      <c r="I150" s="3241">
        <v>50580</v>
      </c>
      <c r="J150" s="3242" t="s">
        <v>3897</v>
      </c>
      <c r="K150" s="3242" t="s">
        <v>3898</v>
      </c>
      <c r="L150" s="3242" t="s">
        <v>3209</v>
      </c>
      <c r="M150" s="3242" t="s">
        <v>3665</v>
      </c>
      <c r="N150" s="3243">
        <v>12</v>
      </c>
      <c r="O150" s="3243">
        <f t="shared" si="2"/>
        <v>1080</v>
      </c>
      <c r="P150" s="3244">
        <v>0.13</v>
      </c>
      <c r="Q150" s="3243">
        <v>2.8</v>
      </c>
      <c r="R150" s="3243" t="s">
        <v>3336</v>
      </c>
      <c r="S150" s="3243" t="s">
        <v>3899</v>
      </c>
      <c r="T150" s="3243" t="s">
        <v>3900</v>
      </c>
      <c r="U150" s="3245" t="s">
        <v>3214</v>
      </c>
    </row>
    <row r="151" spans="1:21" s="3246" customFormat="1" ht="24" customHeight="1">
      <c r="A151" s="3234" t="s">
        <v>3201</v>
      </c>
      <c r="B151" s="3235">
        <v>149</v>
      </c>
      <c r="C151" s="3236" t="s">
        <v>3757</v>
      </c>
      <c r="D151" s="3237" t="s">
        <v>3901</v>
      </c>
      <c r="E151" s="3238">
        <v>9</v>
      </c>
      <c r="F151" s="3239" t="s">
        <v>3216</v>
      </c>
      <c r="G151" s="3240" t="s">
        <v>3216</v>
      </c>
      <c r="H151" s="3240" t="s">
        <v>3206</v>
      </c>
      <c r="I151" s="3241">
        <v>73138</v>
      </c>
      <c r="J151" s="3242" t="s">
        <v>3902</v>
      </c>
      <c r="K151" s="3242" t="s">
        <v>3903</v>
      </c>
      <c r="L151" s="3242" t="s">
        <v>3219</v>
      </c>
      <c r="M151" s="3242" t="s">
        <v>3904</v>
      </c>
      <c r="N151" s="3243">
        <v>4</v>
      </c>
      <c r="O151" s="3243">
        <f t="shared" si="2"/>
        <v>36</v>
      </c>
      <c r="P151" s="3244">
        <v>0</v>
      </c>
      <c r="Q151" s="3243"/>
      <c r="R151" s="3243" t="s">
        <v>3542</v>
      </c>
      <c r="S151" s="3243" t="s">
        <v>3905</v>
      </c>
      <c r="T151" s="3243" t="s">
        <v>3302</v>
      </c>
      <c r="U151" s="3245" t="s">
        <v>3214</v>
      </c>
    </row>
    <row r="152" spans="1:21" s="3246" customFormat="1" ht="24" customHeight="1">
      <c r="A152" s="3234" t="s">
        <v>3201</v>
      </c>
      <c r="B152" s="3235">
        <v>150</v>
      </c>
      <c r="C152" s="3236" t="s">
        <v>3757</v>
      </c>
      <c r="D152" s="3237" t="s">
        <v>3906</v>
      </c>
      <c r="E152" s="3238">
        <v>51</v>
      </c>
      <c r="F152" s="3239" t="s">
        <v>3204</v>
      </c>
      <c r="G152" s="3240" t="s">
        <v>3205</v>
      </c>
      <c r="H152" s="3240" t="s">
        <v>3206</v>
      </c>
      <c r="I152" s="3241">
        <v>50881</v>
      </c>
      <c r="J152" s="3242" t="s">
        <v>3907</v>
      </c>
      <c r="K152" s="3242" t="s">
        <v>3908</v>
      </c>
      <c r="L152" s="3242" t="s">
        <v>3227</v>
      </c>
      <c r="M152" s="3242" t="s">
        <v>3816</v>
      </c>
      <c r="N152" s="3243">
        <v>8.8000000000000007</v>
      </c>
      <c r="O152" s="3243">
        <f t="shared" si="2"/>
        <v>448.8</v>
      </c>
      <c r="P152" s="3244">
        <v>0.18</v>
      </c>
      <c r="Q152" s="3243">
        <v>2.8</v>
      </c>
      <c r="R152" s="3243" t="s">
        <v>3882</v>
      </c>
      <c r="S152" s="3243" t="s">
        <v>3909</v>
      </c>
      <c r="T152" s="3243" t="s">
        <v>3281</v>
      </c>
      <c r="U152" s="3245" t="s">
        <v>3214</v>
      </c>
    </row>
    <row r="153" spans="1:21" s="3246" customFormat="1" ht="24" customHeight="1">
      <c r="A153" s="3234" t="s">
        <v>3201</v>
      </c>
      <c r="B153" s="3235">
        <v>151</v>
      </c>
      <c r="C153" s="3236" t="s">
        <v>3757</v>
      </c>
      <c r="D153" s="3237" t="s">
        <v>3910</v>
      </c>
      <c r="E153" s="3238">
        <v>20</v>
      </c>
      <c r="F153" s="3239" t="s">
        <v>3204</v>
      </c>
      <c r="G153" s="3240" t="s">
        <v>3375</v>
      </c>
      <c r="H153" s="3240" t="s">
        <v>3206</v>
      </c>
      <c r="I153" s="3241" t="s">
        <v>3911</v>
      </c>
      <c r="J153" s="3242" t="s">
        <v>3912</v>
      </c>
      <c r="K153" s="3242" t="s">
        <v>3913</v>
      </c>
      <c r="L153" s="3242" t="s">
        <v>3351</v>
      </c>
      <c r="M153" s="3242" t="s">
        <v>3259</v>
      </c>
      <c r="N153" s="3243">
        <v>15.2</v>
      </c>
      <c r="O153" s="3243">
        <f t="shared" si="2"/>
        <v>304</v>
      </c>
      <c r="P153" s="3244">
        <v>0.16</v>
      </c>
      <c r="Q153" s="3243">
        <v>2.8</v>
      </c>
      <c r="R153" s="3243" t="s">
        <v>3914</v>
      </c>
      <c r="S153" s="3243" t="s">
        <v>3562</v>
      </c>
      <c r="T153" s="3243" t="s">
        <v>3213</v>
      </c>
      <c r="U153" s="3245" t="s">
        <v>3214</v>
      </c>
    </row>
    <row r="154" spans="1:21" s="3246" customFormat="1" ht="24" customHeight="1">
      <c r="A154" s="3234" t="s">
        <v>3201</v>
      </c>
      <c r="B154" s="3235">
        <v>152</v>
      </c>
      <c r="C154" s="3236" t="s">
        <v>3757</v>
      </c>
      <c r="D154" s="3237" t="s">
        <v>3915</v>
      </c>
      <c r="E154" s="3238">
        <v>145</v>
      </c>
      <c r="F154" s="3239" t="s">
        <v>3204</v>
      </c>
      <c r="G154" s="3240" t="s">
        <v>3205</v>
      </c>
      <c r="H154" s="3240" t="s">
        <v>3206</v>
      </c>
      <c r="I154" s="3241" t="s">
        <v>3916</v>
      </c>
      <c r="J154" s="3242" t="s">
        <v>3917</v>
      </c>
      <c r="K154" s="3242" t="s">
        <v>3918</v>
      </c>
      <c r="L154" s="3242" t="s">
        <v>3644</v>
      </c>
      <c r="M154" s="3242" t="s">
        <v>3919</v>
      </c>
      <c r="N154" s="3243">
        <v>5.4</v>
      </c>
      <c r="O154" s="3243">
        <f t="shared" si="2"/>
        <v>783</v>
      </c>
      <c r="P154" s="3244">
        <v>0.13</v>
      </c>
      <c r="Q154" s="3243">
        <v>2.8</v>
      </c>
      <c r="R154" s="3243" t="s">
        <v>3920</v>
      </c>
      <c r="S154" s="3243" t="s">
        <v>3921</v>
      </c>
      <c r="T154" s="3243" t="s">
        <v>3752</v>
      </c>
      <c r="U154" s="3245" t="s">
        <v>3214</v>
      </c>
    </row>
    <row r="155" spans="1:21" s="3246" customFormat="1" ht="24" customHeight="1">
      <c r="A155" s="3234" t="s">
        <v>3201</v>
      </c>
      <c r="B155" s="3235">
        <v>153</v>
      </c>
      <c r="C155" s="3236" t="s">
        <v>3757</v>
      </c>
      <c r="D155" s="3237" t="s">
        <v>3922</v>
      </c>
      <c r="E155" s="3238">
        <v>1.3</v>
      </c>
      <c r="F155" s="3239" t="s">
        <v>3204</v>
      </c>
      <c r="G155" s="3240" t="s">
        <v>3205</v>
      </c>
      <c r="H155" s="3240" t="s">
        <v>3206</v>
      </c>
      <c r="I155" s="3241">
        <v>51087</v>
      </c>
      <c r="J155" s="3242" t="s">
        <v>3923</v>
      </c>
      <c r="K155" s="3242" t="s">
        <v>3924</v>
      </c>
      <c r="L155" s="3242" t="s">
        <v>3219</v>
      </c>
      <c r="M155" s="3242" t="s">
        <v>3472</v>
      </c>
      <c r="N155" s="3243">
        <v>75.87</v>
      </c>
      <c r="O155" s="3243">
        <f t="shared" si="2"/>
        <v>98.631000000000014</v>
      </c>
      <c r="P155" s="3244">
        <v>0</v>
      </c>
      <c r="Q155" s="3243"/>
      <c r="R155" s="3243" t="s">
        <v>3279</v>
      </c>
      <c r="S155" s="3243" t="s">
        <v>3899</v>
      </c>
      <c r="T155" s="3243" t="s">
        <v>3562</v>
      </c>
      <c r="U155" s="3245" t="s">
        <v>3214</v>
      </c>
    </row>
    <row r="156" spans="1:21" s="3246" customFormat="1" ht="24" customHeight="1">
      <c r="A156" s="3234" t="s">
        <v>3201</v>
      </c>
      <c r="B156" s="3235">
        <v>154</v>
      </c>
      <c r="C156" s="3236" t="s">
        <v>3757</v>
      </c>
      <c r="D156" s="3237" t="s">
        <v>3925</v>
      </c>
      <c r="E156" s="3238">
        <v>23</v>
      </c>
      <c r="F156" s="3239" t="s">
        <v>3204</v>
      </c>
      <c r="G156" s="3240" t="s">
        <v>3205</v>
      </c>
      <c r="H156" s="3240" t="s">
        <v>3206</v>
      </c>
      <c r="I156" s="3241">
        <v>51222</v>
      </c>
      <c r="J156" s="3242" t="s">
        <v>3926</v>
      </c>
      <c r="K156" s="3242" t="s">
        <v>3927</v>
      </c>
      <c r="L156" s="3242" t="s">
        <v>3219</v>
      </c>
      <c r="M156" s="3242" t="s">
        <v>3265</v>
      </c>
      <c r="N156" s="3243">
        <v>22</v>
      </c>
      <c r="O156" s="3243">
        <f t="shared" si="2"/>
        <v>506</v>
      </c>
      <c r="P156" s="3244">
        <v>0.15</v>
      </c>
      <c r="Q156" s="3243">
        <v>2.8</v>
      </c>
      <c r="R156" s="3243" t="s">
        <v>3928</v>
      </c>
      <c r="S156" s="3243" t="s">
        <v>3929</v>
      </c>
      <c r="T156" s="3243" t="s">
        <v>3238</v>
      </c>
      <c r="U156" s="3245" t="s">
        <v>3214</v>
      </c>
    </row>
    <row r="157" spans="1:21" s="3246" customFormat="1" ht="24" customHeight="1">
      <c r="A157" s="3234" t="s">
        <v>3201</v>
      </c>
      <c r="B157" s="3235">
        <v>155</v>
      </c>
      <c r="C157" s="3236" t="s">
        <v>3757</v>
      </c>
      <c r="D157" s="3237" t="s">
        <v>3930</v>
      </c>
      <c r="E157" s="3238">
        <v>206</v>
      </c>
      <c r="F157" s="3239" t="s">
        <v>3204</v>
      </c>
      <c r="G157" s="3240" t="s">
        <v>3205</v>
      </c>
      <c r="H157" s="3240" t="s">
        <v>3206</v>
      </c>
      <c r="I157" s="3241">
        <v>51326</v>
      </c>
      <c r="J157" s="3242" t="s">
        <v>3931</v>
      </c>
      <c r="K157" s="3242" t="s">
        <v>3932</v>
      </c>
      <c r="L157" s="3242" t="s">
        <v>3227</v>
      </c>
      <c r="M157" s="3242" t="s">
        <v>3933</v>
      </c>
      <c r="N157" s="3243">
        <v>7.17</v>
      </c>
      <c r="O157" s="3243">
        <f t="shared" si="2"/>
        <v>1477.02</v>
      </c>
      <c r="P157" s="3244">
        <v>0.11</v>
      </c>
      <c r="Q157" s="3243">
        <v>2.8</v>
      </c>
      <c r="R157" s="3243" t="s">
        <v>3934</v>
      </c>
      <c r="S157" s="3243" t="s">
        <v>3935</v>
      </c>
      <c r="T157" s="3243" t="s">
        <v>3936</v>
      </c>
      <c r="U157" s="3245" t="s">
        <v>3214</v>
      </c>
    </row>
    <row r="158" spans="1:21" s="3246" customFormat="1" ht="24" customHeight="1">
      <c r="A158" s="3234" t="s">
        <v>3201</v>
      </c>
      <c r="B158" s="3235">
        <v>156</v>
      </c>
      <c r="C158" s="3236" t="s">
        <v>3757</v>
      </c>
      <c r="D158" s="3237" t="s">
        <v>3937</v>
      </c>
      <c r="E158" s="3238">
        <v>95</v>
      </c>
      <c r="F158" s="3239" t="s">
        <v>3204</v>
      </c>
      <c r="G158" s="3240" t="s">
        <v>3205</v>
      </c>
      <c r="H158" s="3240" t="s">
        <v>3206</v>
      </c>
      <c r="I158" s="3241">
        <v>73040</v>
      </c>
      <c r="J158" s="3242" t="s">
        <v>3938</v>
      </c>
      <c r="K158" s="3242" t="s">
        <v>3939</v>
      </c>
      <c r="L158" s="3242" t="s">
        <v>3219</v>
      </c>
      <c r="M158" s="3242" t="s">
        <v>3940</v>
      </c>
      <c r="N158" s="3243">
        <v>8.3000000000000007</v>
      </c>
      <c r="O158" s="3243">
        <f t="shared" si="2"/>
        <v>788.50000000000011</v>
      </c>
      <c r="P158" s="3244">
        <v>0.11</v>
      </c>
      <c r="Q158" s="3243">
        <v>2.8</v>
      </c>
      <c r="R158" s="3243" t="s">
        <v>3461</v>
      </c>
      <c r="S158" s="3243" t="s">
        <v>3941</v>
      </c>
      <c r="T158" s="3243" t="s">
        <v>3942</v>
      </c>
      <c r="U158" s="3245" t="s">
        <v>3214</v>
      </c>
    </row>
    <row r="159" spans="1:21" s="3246" customFormat="1" ht="24" customHeight="1">
      <c r="A159" s="3234" t="s">
        <v>3201</v>
      </c>
      <c r="B159" s="3235">
        <v>157</v>
      </c>
      <c r="C159" s="3236" t="s">
        <v>3757</v>
      </c>
      <c r="D159" s="3237" t="s">
        <v>3943</v>
      </c>
      <c r="E159" s="3238">
        <v>49</v>
      </c>
      <c r="F159" s="3239" t="s">
        <v>3204</v>
      </c>
      <c r="G159" s="3240" t="s">
        <v>3205</v>
      </c>
      <c r="H159" s="3240" t="s">
        <v>3206</v>
      </c>
      <c r="I159" s="3241">
        <v>72038</v>
      </c>
      <c r="J159" s="3242" t="s">
        <v>3944</v>
      </c>
      <c r="K159" s="3242" t="s">
        <v>3945</v>
      </c>
      <c r="L159" s="3242" t="s">
        <v>3227</v>
      </c>
      <c r="M159" s="3242" t="s">
        <v>3946</v>
      </c>
      <c r="N159" s="3243">
        <v>11</v>
      </c>
      <c r="O159" s="3243">
        <f t="shared" si="2"/>
        <v>539</v>
      </c>
      <c r="P159" s="3244">
        <v>0.15</v>
      </c>
      <c r="Q159" s="3243">
        <v>2.8</v>
      </c>
      <c r="R159" s="3243" t="s">
        <v>3279</v>
      </c>
      <c r="S159" s="3243" t="s">
        <v>3947</v>
      </c>
      <c r="T159" s="3243" t="s">
        <v>3274</v>
      </c>
      <c r="U159" s="3245" t="s">
        <v>3214</v>
      </c>
    </row>
    <row r="160" spans="1:21" s="3246" customFormat="1" ht="24" customHeight="1">
      <c r="A160" s="3234" t="s">
        <v>3201</v>
      </c>
      <c r="B160" s="3235">
        <v>158</v>
      </c>
      <c r="C160" s="3236" t="s">
        <v>3757</v>
      </c>
      <c r="D160" s="3237" t="s">
        <v>3948</v>
      </c>
      <c r="E160" s="3238">
        <v>98</v>
      </c>
      <c r="F160" s="3239" t="s">
        <v>3204</v>
      </c>
      <c r="G160" s="3240" t="s">
        <v>3205</v>
      </c>
      <c r="H160" s="3240" t="s">
        <v>3206</v>
      </c>
      <c r="I160" s="3241">
        <v>73276</v>
      </c>
      <c r="J160" s="3242" t="s">
        <v>3949</v>
      </c>
      <c r="K160" s="3242" t="s">
        <v>3950</v>
      </c>
      <c r="L160" s="3242"/>
      <c r="M160" s="3242" t="s">
        <v>3242</v>
      </c>
      <c r="N160" s="3243">
        <v>8</v>
      </c>
      <c r="O160" s="3243">
        <f t="shared" si="2"/>
        <v>784</v>
      </c>
      <c r="P160" s="3244">
        <v>0.15</v>
      </c>
      <c r="Q160" s="3243">
        <v>2.8</v>
      </c>
      <c r="R160" s="3243" t="s">
        <v>3461</v>
      </c>
      <c r="S160" s="3243" t="s">
        <v>3951</v>
      </c>
      <c r="T160" s="3243" t="s">
        <v>3952</v>
      </c>
      <c r="U160" s="3245" t="s">
        <v>3214</v>
      </c>
    </row>
    <row r="161" spans="1:21" s="3246" customFormat="1" ht="24" hidden="1" customHeight="1">
      <c r="A161" s="3234" t="s">
        <v>3201</v>
      </c>
      <c r="B161" s="3235">
        <v>159</v>
      </c>
      <c r="C161" s="3236" t="s">
        <v>3757</v>
      </c>
      <c r="D161" s="3237" t="s">
        <v>3953</v>
      </c>
      <c r="E161" s="3238">
        <v>76</v>
      </c>
      <c r="F161" s="3239" t="s">
        <v>3204</v>
      </c>
      <c r="G161" s="3240" t="s">
        <v>3205</v>
      </c>
      <c r="H161" s="3240" t="s">
        <v>3393</v>
      </c>
      <c r="I161" s="3241"/>
      <c r="J161" s="3242"/>
      <c r="K161" s="3242"/>
      <c r="L161" s="3242"/>
      <c r="M161" s="3242"/>
      <c r="N161" s="3243"/>
      <c r="O161" s="3243">
        <f t="shared" si="2"/>
        <v>0</v>
      </c>
      <c r="P161" s="3244"/>
      <c r="Q161" s="3243"/>
      <c r="R161" s="3243"/>
      <c r="S161" s="3243"/>
      <c r="T161" s="3243"/>
      <c r="U161" s="3245"/>
    </row>
    <row r="162" spans="1:21" s="3246" customFormat="1" ht="24" customHeight="1">
      <c r="A162" s="3234" t="s">
        <v>3201</v>
      </c>
      <c r="B162" s="3235">
        <v>160</v>
      </c>
      <c r="C162" s="3236" t="s">
        <v>3757</v>
      </c>
      <c r="D162" s="3237" t="s">
        <v>3954</v>
      </c>
      <c r="E162" s="3238">
        <v>37</v>
      </c>
      <c r="F162" s="3239" t="s">
        <v>3204</v>
      </c>
      <c r="G162" s="3240" t="s">
        <v>3205</v>
      </c>
      <c r="H162" s="3240" t="s">
        <v>3206</v>
      </c>
      <c r="I162" s="3241">
        <v>71486</v>
      </c>
      <c r="J162" s="3242" t="s">
        <v>3955</v>
      </c>
      <c r="K162" s="3242" t="s">
        <v>3956</v>
      </c>
      <c r="L162" s="3242" t="s">
        <v>3209</v>
      </c>
      <c r="M162" s="3242" t="s">
        <v>3390</v>
      </c>
      <c r="N162" s="3243">
        <v>7.86</v>
      </c>
      <c r="O162" s="3243">
        <f t="shared" si="2"/>
        <v>290.82</v>
      </c>
      <c r="P162" s="3244">
        <v>0.15</v>
      </c>
      <c r="Q162" s="3243">
        <v>2.8</v>
      </c>
      <c r="R162" s="3243" t="s">
        <v>3279</v>
      </c>
      <c r="S162" s="3243" t="s">
        <v>3957</v>
      </c>
      <c r="T162" s="3243" t="s">
        <v>3223</v>
      </c>
      <c r="U162" s="3245" t="s">
        <v>3214</v>
      </c>
    </row>
    <row r="163" spans="1:21" s="3246" customFormat="1" ht="24" customHeight="1">
      <c r="A163" s="3234" t="s">
        <v>3201</v>
      </c>
      <c r="B163" s="3235">
        <v>161</v>
      </c>
      <c r="C163" s="3236" t="s">
        <v>3757</v>
      </c>
      <c r="D163" s="3237" t="s">
        <v>3958</v>
      </c>
      <c r="E163" s="3238">
        <v>293</v>
      </c>
      <c r="F163" s="3239" t="s">
        <v>3204</v>
      </c>
      <c r="G163" s="3240" t="s">
        <v>3205</v>
      </c>
      <c r="H163" s="3240" t="s">
        <v>3206</v>
      </c>
      <c r="I163" s="3241">
        <v>71737</v>
      </c>
      <c r="J163" s="3242" t="s">
        <v>3959</v>
      </c>
      <c r="K163" s="3242" t="s">
        <v>3960</v>
      </c>
      <c r="L163" s="3242" t="s">
        <v>3219</v>
      </c>
      <c r="M163" s="3242" t="s">
        <v>3219</v>
      </c>
      <c r="N163" s="3243">
        <v>4.5</v>
      </c>
      <c r="O163" s="3243">
        <f t="shared" si="2"/>
        <v>1318.5</v>
      </c>
      <c r="P163" s="3244">
        <v>0.06</v>
      </c>
      <c r="Q163" s="3243">
        <v>1.5</v>
      </c>
      <c r="R163" s="3243" t="s">
        <v>3294</v>
      </c>
      <c r="S163" s="3243" t="s">
        <v>3961</v>
      </c>
      <c r="T163" s="3243" t="s">
        <v>3962</v>
      </c>
      <c r="U163" s="3245" t="s">
        <v>3214</v>
      </c>
    </row>
    <row r="164" spans="1:21" s="3246" customFormat="1" ht="24" customHeight="1">
      <c r="A164" s="3234" t="s">
        <v>3201</v>
      </c>
      <c r="B164" s="3235">
        <v>162</v>
      </c>
      <c r="C164" s="3236" t="s">
        <v>3757</v>
      </c>
      <c r="D164" s="3237" t="s">
        <v>3963</v>
      </c>
      <c r="E164" s="3238">
        <v>165</v>
      </c>
      <c r="F164" s="3239" t="s">
        <v>3204</v>
      </c>
      <c r="G164" s="3240" t="s">
        <v>3205</v>
      </c>
      <c r="H164" s="3240" t="s">
        <v>3206</v>
      </c>
      <c r="I164" s="3241">
        <v>72265</v>
      </c>
      <c r="J164" s="3242" t="s">
        <v>3964</v>
      </c>
      <c r="K164" s="3242" t="s">
        <v>3329</v>
      </c>
      <c r="L164" s="3242" t="s">
        <v>3227</v>
      </c>
      <c r="M164" s="3242" t="s">
        <v>3227</v>
      </c>
      <c r="N164" s="3243">
        <v>7.72</v>
      </c>
      <c r="O164" s="3243">
        <f t="shared" si="2"/>
        <v>1273.8</v>
      </c>
      <c r="P164" s="3244">
        <v>0.12</v>
      </c>
      <c r="Q164" s="3243">
        <v>2.2000000000000002</v>
      </c>
      <c r="R164" s="3243" t="s">
        <v>3378</v>
      </c>
      <c r="S164" s="3247" t="s">
        <v>3965</v>
      </c>
      <c r="T164" s="3247" t="s">
        <v>3966</v>
      </c>
      <c r="U164" s="3245" t="s">
        <v>3214</v>
      </c>
    </row>
    <row r="165" spans="1:21" s="3246" customFormat="1" ht="24" customHeight="1">
      <c r="A165" s="3234" t="s">
        <v>3201</v>
      </c>
      <c r="B165" s="3235">
        <v>163</v>
      </c>
      <c r="C165" s="3236" t="s">
        <v>3967</v>
      </c>
      <c r="D165" s="3237" t="s">
        <v>3968</v>
      </c>
      <c r="E165" s="3238">
        <v>207</v>
      </c>
      <c r="F165" s="3239" t="s">
        <v>3204</v>
      </c>
      <c r="G165" s="3240" t="s">
        <v>3205</v>
      </c>
      <c r="H165" s="3240" t="s">
        <v>3206</v>
      </c>
      <c r="I165" s="3241">
        <v>22640</v>
      </c>
      <c r="J165" s="3242" t="s">
        <v>3969</v>
      </c>
      <c r="K165" s="3242" t="s">
        <v>3970</v>
      </c>
      <c r="L165" s="3242" t="s">
        <v>3219</v>
      </c>
      <c r="M165" s="3242" t="s">
        <v>3940</v>
      </c>
      <c r="N165" s="3243">
        <v>9.1999999999999993</v>
      </c>
      <c r="O165" s="3243">
        <f t="shared" si="2"/>
        <v>1904.3999999999999</v>
      </c>
      <c r="P165" s="3244">
        <v>0.1</v>
      </c>
      <c r="Q165" s="3243">
        <v>2.8</v>
      </c>
      <c r="R165" s="3243" t="s">
        <v>3971</v>
      </c>
      <c r="S165" s="3243" t="s">
        <v>3761</v>
      </c>
      <c r="T165" s="3247" t="s">
        <v>3972</v>
      </c>
      <c r="U165" s="3245" t="s">
        <v>3214</v>
      </c>
    </row>
    <row r="166" spans="1:21" s="3246" customFormat="1" ht="24" customHeight="1">
      <c r="A166" s="3234" t="s">
        <v>3201</v>
      </c>
      <c r="B166" s="3235">
        <v>164</v>
      </c>
      <c r="C166" s="3236" t="s">
        <v>3967</v>
      </c>
      <c r="D166" s="3237" t="s">
        <v>3973</v>
      </c>
      <c r="E166" s="3238">
        <v>3550</v>
      </c>
      <c r="F166" s="3239" t="s">
        <v>3204</v>
      </c>
      <c r="G166" s="3240" t="s">
        <v>3205</v>
      </c>
      <c r="H166" s="3240" t="s">
        <v>3206</v>
      </c>
      <c r="I166" s="3241">
        <v>24001</v>
      </c>
      <c r="J166" s="3242" t="s">
        <v>3974</v>
      </c>
      <c r="K166" s="3242" t="s">
        <v>3975</v>
      </c>
      <c r="L166" s="3242" t="s">
        <v>3368</v>
      </c>
      <c r="M166" s="3242" t="s">
        <v>3976</v>
      </c>
      <c r="N166" s="3243">
        <v>2.8</v>
      </c>
      <c r="O166" s="3243">
        <f t="shared" si="2"/>
        <v>9940</v>
      </c>
      <c r="P166" s="3244">
        <v>0.13750000000000001</v>
      </c>
      <c r="Q166" s="3243">
        <v>0.5</v>
      </c>
      <c r="R166" s="3243" t="s">
        <v>3977</v>
      </c>
      <c r="S166" s="3243" t="s">
        <v>3978</v>
      </c>
      <c r="T166" s="3243" t="s">
        <v>3979</v>
      </c>
      <c r="U166" s="3245" t="s">
        <v>3214</v>
      </c>
    </row>
    <row r="167" spans="1:21" s="3246" customFormat="1" ht="24" customHeight="1">
      <c r="A167" s="3234" t="s">
        <v>3201</v>
      </c>
      <c r="B167" s="3235">
        <v>165</v>
      </c>
      <c r="C167" s="3236" t="s">
        <v>3967</v>
      </c>
      <c r="D167" s="3237" t="s">
        <v>3980</v>
      </c>
      <c r="E167" s="3238">
        <v>10</v>
      </c>
      <c r="F167" s="3239" t="s">
        <v>3204</v>
      </c>
      <c r="G167" s="3240" t="s">
        <v>3375</v>
      </c>
      <c r="H167" s="3240" t="s">
        <v>3206</v>
      </c>
      <c r="I167" s="3241">
        <v>72660</v>
      </c>
      <c r="J167" s="3242" t="s">
        <v>3981</v>
      </c>
      <c r="K167" s="3242" t="s">
        <v>3982</v>
      </c>
      <c r="L167" s="3242" t="s">
        <v>3219</v>
      </c>
      <c r="M167" s="3242" t="s">
        <v>3293</v>
      </c>
      <c r="N167" s="3243">
        <v>30</v>
      </c>
      <c r="O167" s="3243">
        <f t="shared" si="2"/>
        <v>300</v>
      </c>
      <c r="P167" s="3244">
        <v>0.15</v>
      </c>
      <c r="Q167" s="3243">
        <v>2.8</v>
      </c>
      <c r="R167" s="3243" t="s">
        <v>3983</v>
      </c>
      <c r="S167" s="3243" t="s">
        <v>3984</v>
      </c>
      <c r="T167" s="3243" t="s">
        <v>3332</v>
      </c>
      <c r="U167" s="3245" t="s">
        <v>3214</v>
      </c>
    </row>
    <row r="168" spans="1:21" s="3246" customFormat="1" ht="24" customHeight="1">
      <c r="A168" s="3234" t="s">
        <v>3201</v>
      </c>
      <c r="B168" s="3235">
        <v>166</v>
      </c>
      <c r="C168" s="3236" t="s">
        <v>3967</v>
      </c>
      <c r="D168" s="3237" t="s">
        <v>3985</v>
      </c>
      <c r="E168" s="3238">
        <v>113</v>
      </c>
      <c r="F168" s="3239" t="s">
        <v>3204</v>
      </c>
      <c r="G168" s="3240" t="s">
        <v>3205</v>
      </c>
      <c r="H168" s="3240" t="s">
        <v>3206</v>
      </c>
      <c r="I168" s="3241">
        <v>72384</v>
      </c>
      <c r="J168" s="3242" t="s">
        <v>3986</v>
      </c>
      <c r="K168" s="3242" t="s">
        <v>3987</v>
      </c>
      <c r="L168" s="3242" t="s">
        <v>3219</v>
      </c>
      <c r="M168" s="3242" t="s">
        <v>3940</v>
      </c>
      <c r="N168" s="3243">
        <v>13.8</v>
      </c>
      <c r="O168" s="3243">
        <f t="shared" si="2"/>
        <v>1559.4</v>
      </c>
      <c r="P168" s="3244">
        <v>0.11</v>
      </c>
      <c r="Q168" s="3243">
        <v>2.8</v>
      </c>
      <c r="R168" s="3243" t="s">
        <v>3988</v>
      </c>
      <c r="S168" s="3243" t="s">
        <v>3546</v>
      </c>
      <c r="T168" s="3243" t="s">
        <v>3289</v>
      </c>
      <c r="U168" s="3245" t="s">
        <v>3214</v>
      </c>
    </row>
    <row r="169" spans="1:21" s="3246" customFormat="1" ht="24" customHeight="1">
      <c r="A169" s="3234" t="s">
        <v>3201</v>
      </c>
      <c r="B169" s="3235">
        <v>167</v>
      </c>
      <c r="C169" s="3236" t="s">
        <v>3967</v>
      </c>
      <c r="D169" s="3237" t="s">
        <v>3989</v>
      </c>
      <c r="E169" s="3238">
        <v>179</v>
      </c>
      <c r="F169" s="3239" t="s">
        <v>3204</v>
      </c>
      <c r="G169" s="3240" t="s">
        <v>3205</v>
      </c>
      <c r="H169" s="3240" t="s">
        <v>3206</v>
      </c>
      <c r="I169" s="3241">
        <v>39969</v>
      </c>
      <c r="J169" s="3242" t="s">
        <v>3990</v>
      </c>
      <c r="K169" s="3242" t="s">
        <v>3218</v>
      </c>
      <c r="L169" s="3242" t="s">
        <v>3219</v>
      </c>
      <c r="M169" s="3242" t="s">
        <v>3220</v>
      </c>
      <c r="N169" s="3243">
        <v>11.4</v>
      </c>
      <c r="O169" s="3243">
        <f t="shared" si="2"/>
        <v>2040.6000000000001</v>
      </c>
      <c r="P169" s="3244">
        <v>0.11</v>
      </c>
      <c r="Q169" s="3243">
        <v>2.8</v>
      </c>
      <c r="R169" s="3243" t="s">
        <v>3991</v>
      </c>
      <c r="S169" s="3243" t="s">
        <v>3992</v>
      </c>
      <c r="T169" s="3243" t="s">
        <v>3223</v>
      </c>
      <c r="U169" s="3245" t="s">
        <v>3214</v>
      </c>
    </row>
    <row r="170" spans="1:21" s="3246" customFormat="1" ht="24" customHeight="1">
      <c r="A170" s="3234" t="s">
        <v>3201</v>
      </c>
      <c r="B170" s="3235">
        <v>168</v>
      </c>
      <c r="C170" s="3236" t="s">
        <v>3967</v>
      </c>
      <c r="D170" s="3237" t="s">
        <v>3993</v>
      </c>
      <c r="E170" s="3238">
        <v>128</v>
      </c>
      <c r="F170" s="3239" t="s">
        <v>3204</v>
      </c>
      <c r="G170" s="3240" t="s">
        <v>3205</v>
      </c>
      <c r="H170" s="3240" t="s">
        <v>3206</v>
      </c>
      <c r="I170" s="3241">
        <v>40945</v>
      </c>
      <c r="J170" s="3242" t="s">
        <v>3994</v>
      </c>
      <c r="K170" s="3242" t="s">
        <v>3995</v>
      </c>
      <c r="L170" s="3242" t="s">
        <v>3219</v>
      </c>
      <c r="M170" s="3242" t="s">
        <v>3406</v>
      </c>
      <c r="N170" s="3243">
        <v>14.2</v>
      </c>
      <c r="O170" s="3243">
        <f t="shared" si="2"/>
        <v>1817.6</v>
      </c>
      <c r="P170" s="3244">
        <v>0.14000000000000001</v>
      </c>
      <c r="Q170" s="3243">
        <v>2.2000000000000002</v>
      </c>
      <c r="R170" s="3243" t="s">
        <v>3996</v>
      </c>
      <c r="S170" s="3243" t="s">
        <v>3426</v>
      </c>
      <c r="T170" s="3247" t="s">
        <v>3231</v>
      </c>
      <c r="U170" s="3245" t="s">
        <v>3214</v>
      </c>
    </row>
    <row r="171" spans="1:21" s="3246" customFormat="1" ht="24" customHeight="1">
      <c r="A171" s="3234" t="s">
        <v>3201</v>
      </c>
      <c r="B171" s="3235">
        <v>169</v>
      </c>
      <c r="C171" s="3236" t="s">
        <v>3967</v>
      </c>
      <c r="D171" s="3237" t="s">
        <v>3997</v>
      </c>
      <c r="E171" s="3238">
        <v>22</v>
      </c>
      <c r="F171" s="3239" t="s">
        <v>3204</v>
      </c>
      <c r="G171" s="3240" t="s">
        <v>3205</v>
      </c>
      <c r="H171" s="3240" t="s">
        <v>3206</v>
      </c>
      <c r="I171" s="3241">
        <v>41357</v>
      </c>
      <c r="J171" s="3242" t="s">
        <v>3998</v>
      </c>
      <c r="K171" s="3242" t="s">
        <v>3377</v>
      </c>
      <c r="L171" s="3242" t="s">
        <v>3219</v>
      </c>
      <c r="M171" s="3242" t="s">
        <v>3999</v>
      </c>
      <c r="N171" s="3243">
        <v>16.100000000000001</v>
      </c>
      <c r="O171" s="3243">
        <f t="shared" si="2"/>
        <v>354.20000000000005</v>
      </c>
      <c r="P171" s="3244">
        <v>0.12</v>
      </c>
      <c r="Q171" s="3243">
        <v>2.8</v>
      </c>
      <c r="R171" s="3243" t="s">
        <v>4000</v>
      </c>
      <c r="S171" s="3243" t="s">
        <v>4001</v>
      </c>
      <c r="T171" s="3247" t="s">
        <v>3231</v>
      </c>
      <c r="U171" s="3245" t="s">
        <v>3214</v>
      </c>
    </row>
    <row r="172" spans="1:21" s="3246" customFormat="1" ht="24" customHeight="1">
      <c r="A172" s="3234" t="s">
        <v>3201</v>
      </c>
      <c r="B172" s="3235">
        <v>170</v>
      </c>
      <c r="C172" s="3236" t="s">
        <v>3967</v>
      </c>
      <c r="D172" s="3237" t="s">
        <v>4002</v>
      </c>
      <c r="E172" s="3238">
        <v>28</v>
      </c>
      <c r="F172" s="3239" t="s">
        <v>3204</v>
      </c>
      <c r="G172" s="3240" t="s">
        <v>3205</v>
      </c>
      <c r="H172" s="3240" t="s">
        <v>3206</v>
      </c>
      <c r="I172" s="3241">
        <v>41961</v>
      </c>
      <c r="J172" s="3242" t="s">
        <v>4003</v>
      </c>
      <c r="K172" s="3242" t="s">
        <v>3377</v>
      </c>
      <c r="L172" s="3242" t="s">
        <v>3219</v>
      </c>
      <c r="M172" s="3242" t="s">
        <v>3999</v>
      </c>
      <c r="N172" s="3243">
        <v>16.3</v>
      </c>
      <c r="O172" s="3243">
        <f t="shared" si="2"/>
        <v>456.40000000000003</v>
      </c>
      <c r="P172" s="3244">
        <v>0.12</v>
      </c>
      <c r="Q172" s="3243">
        <v>2.8</v>
      </c>
      <c r="R172" s="3243" t="s">
        <v>4004</v>
      </c>
      <c r="S172" s="3243" t="s">
        <v>4005</v>
      </c>
      <c r="T172" s="3247" t="s">
        <v>3231</v>
      </c>
      <c r="U172" s="3245" t="s">
        <v>3214</v>
      </c>
    </row>
    <row r="173" spans="1:21" s="3246" customFormat="1" ht="24" customHeight="1">
      <c r="A173" s="3234" t="s">
        <v>3201</v>
      </c>
      <c r="B173" s="3235">
        <v>171</v>
      </c>
      <c r="C173" s="3236" t="s">
        <v>3967</v>
      </c>
      <c r="D173" s="3237" t="s">
        <v>4006</v>
      </c>
      <c r="E173" s="3238">
        <v>18</v>
      </c>
      <c r="F173" s="3239" t="s">
        <v>3204</v>
      </c>
      <c r="G173" s="3240" t="s">
        <v>3205</v>
      </c>
      <c r="H173" s="3240" t="s">
        <v>3206</v>
      </c>
      <c r="I173" s="3241">
        <v>44922</v>
      </c>
      <c r="J173" s="3242" t="s">
        <v>4007</v>
      </c>
      <c r="K173" s="3242" t="s">
        <v>4008</v>
      </c>
      <c r="L173" s="3242" t="s">
        <v>3219</v>
      </c>
      <c r="M173" s="3242" t="s">
        <v>3999</v>
      </c>
      <c r="N173" s="3243">
        <v>26.46</v>
      </c>
      <c r="O173" s="3243">
        <f t="shared" si="2"/>
        <v>476.28000000000003</v>
      </c>
      <c r="P173" s="3244">
        <v>0.15</v>
      </c>
      <c r="Q173" s="3243">
        <v>2.8</v>
      </c>
      <c r="R173" s="3243" t="s">
        <v>4009</v>
      </c>
      <c r="S173" s="3243" t="s">
        <v>4010</v>
      </c>
      <c r="T173" s="3243" t="s">
        <v>3223</v>
      </c>
      <c r="U173" s="3245" t="s">
        <v>3214</v>
      </c>
    </row>
    <row r="174" spans="1:21" s="3246" customFormat="1" ht="24" customHeight="1">
      <c r="A174" s="3234" t="s">
        <v>3201</v>
      </c>
      <c r="B174" s="3235">
        <v>172</v>
      </c>
      <c r="C174" s="3236" t="s">
        <v>3967</v>
      </c>
      <c r="D174" s="3237" t="s">
        <v>4011</v>
      </c>
      <c r="E174" s="3238">
        <v>136</v>
      </c>
      <c r="F174" s="3239" t="s">
        <v>3204</v>
      </c>
      <c r="G174" s="3240" t="s">
        <v>3205</v>
      </c>
      <c r="H174" s="3240" t="s">
        <v>3206</v>
      </c>
      <c r="I174" s="3241">
        <v>46451</v>
      </c>
      <c r="J174" s="3242" t="s">
        <v>4012</v>
      </c>
      <c r="K174" s="3242" t="s">
        <v>4013</v>
      </c>
      <c r="L174" s="3242" t="s">
        <v>3219</v>
      </c>
      <c r="M174" s="3242" t="s">
        <v>3999</v>
      </c>
      <c r="N174" s="3243">
        <v>13.7</v>
      </c>
      <c r="O174" s="3243">
        <f t="shared" si="2"/>
        <v>1863.1999999999998</v>
      </c>
      <c r="P174" s="3244">
        <v>0.13</v>
      </c>
      <c r="Q174" s="3243">
        <v>2.8</v>
      </c>
      <c r="R174" s="3243" t="s">
        <v>4014</v>
      </c>
      <c r="S174" s="3243" t="s">
        <v>3698</v>
      </c>
      <c r="T174" s="3243" t="s">
        <v>3332</v>
      </c>
      <c r="U174" s="3245" t="s">
        <v>3214</v>
      </c>
    </row>
    <row r="175" spans="1:21" s="3246" customFormat="1" ht="24" customHeight="1">
      <c r="A175" s="3234" t="s">
        <v>3201</v>
      </c>
      <c r="B175" s="3235">
        <v>173</v>
      </c>
      <c r="C175" s="3236" t="s">
        <v>3967</v>
      </c>
      <c r="D175" s="3237" t="s">
        <v>4015</v>
      </c>
      <c r="E175" s="3238">
        <v>10</v>
      </c>
      <c r="F175" s="3239" t="s">
        <v>3204</v>
      </c>
      <c r="G175" s="3240" t="s">
        <v>3375</v>
      </c>
      <c r="H175" s="3240" t="s">
        <v>3206</v>
      </c>
      <c r="I175" s="3241">
        <v>47683</v>
      </c>
      <c r="J175" s="3242" t="s">
        <v>4016</v>
      </c>
      <c r="K175" s="3242" t="s">
        <v>4017</v>
      </c>
      <c r="L175" s="3242" t="s">
        <v>3219</v>
      </c>
      <c r="M175" s="3242" t="s">
        <v>3306</v>
      </c>
      <c r="N175" s="3243">
        <v>26.79</v>
      </c>
      <c r="O175" s="3243">
        <f t="shared" si="2"/>
        <v>267.89999999999998</v>
      </c>
      <c r="P175" s="3244">
        <v>0.15</v>
      </c>
      <c r="Q175" s="3243">
        <v>2.8</v>
      </c>
      <c r="R175" s="3243" t="s">
        <v>3236</v>
      </c>
      <c r="S175" s="3243" t="s">
        <v>4018</v>
      </c>
      <c r="T175" s="3243" t="s">
        <v>3213</v>
      </c>
      <c r="U175" s="3245" t="s">
        <v>3214</v>
      </c>
    </row>
    <row r="176" spans="1:21" s="3246" customFormat="1" ht="24" customHeight="1">
      <c r="A176" s="3234" t="s">
        <v>3201</v>
      </c>
      <c r="B176" s="3235">
        <v>174</v>
      </c>
      <c r="C176" s="3236" t="s">
        <v>3967</v>
      </c>
      <c r="D176" s="3237" t="s">
        <v>4019</v>
      </c>
      <c r="E176" s="3238">
        <v>8</v>
      </c>
      <c r="F176" s="3239" t="s">
        <v>3216</v>
      </c>
      <c r="G176" s="3240" t="s">
        <v>3216</v>
      </c>
      <c r="H176" s="3240" t="s">
        <v>3206</v>
      </c>
      <c r="I176" s="3241">
        <v>47690</v>
      </c>
      <c r="J176" s="3242" t="s">
        <v>3708</v>
      </c>
      <c r="K176" s="3242" t="s">
        <v>3493</v>
      </c>
      <c r="L176" s="3242" t="s">
        <v>3259</v>
      </c>
      <c r="M176" s="3242" t="s">
        <v>3440</v>
      </c>
      <c r="N176" s="3243">
        <v>4</v>
      </c>
      <c r="O176" s="3243">
        <f t="shared" si="2"/>
        <v>32</v>
      </c>
      <c r="P176" s="3244">
        <v>0</v>
      </c>
      <c r="Q176" s="3243"/>
      <c r="R176" s="3243" t="s">
        <v>3378</v>
      </c>
      <c r="S176" s="3243" t="s">
        <v>3337</v>
      </c>
      <c r="T176" s="3243" t="s">
        <v>3238</v>
      </c>
      <c r="U176" s="3245" t="s">
        <v>3214</v>
      </c>
    </row>
    <row r="177" spans="1:22" s="3246" customFormat="1" ht="24" customHeight="1">
      <c r="A177" s="3234" t="s">
        <v>3201</v>
      </c>
      <c r="B177" s="3235">
        <v>175</v>
      </c>
      <c r="C177" s="3236" t="s">
        <v>3967</v>
      </c>
      <c r="D177" s="3237" t="s">
        <v>4020</v>
      </c>
      <c r="E177" s="3238">
        <v>458</v>
      </c>
      <c r="F177" s="3239" t="s">
        <v>3204</v>
      </c>
      <c r="G177" s="3240" t="s">
        <v>3205</v>
      </c>
      <c r="H177" s="3240" t="s">
        <v>3206</v>
      </c>
      <c r="I177" s="3241">
        <v>48463</v>
      </c>
      <c r="J177" s="3242" t="s">
        <v>4021</v>
      </c>
      <c r="K177" s="3242" t="s">
        <v>3252</v>
      </c>
      <c r="L177" s="3242" t="s">
        <v>3219</v>
      </c>
      <c r="M177" s="3242" t="s">
        <v>3253</v>
      </c>
      <c r="N177" s="3243">
        <v>7</v>
      </c>
      <c r="O177" s="3243">
        <f t="shared" si="2"/>
        <v>3206</v>
      </c>
      <c r="P177" s="3244">
        <v>0.08</v>
      </c>
      <c r="Q177" s="3243">
        <v>2.2000000000000002</v>
      </c>
      <c r="R177" s="3243" t="s">
        <v>4022</v>
      </c>
      <c r="S177" s="3243" t="s">
        <v>3337</v>
      </c>
      <c r="T177" s="3243" t="s">
        <v>4023</v>
      </c>
      <c r="U177" s="3245" t="s">
        <v>3214</v>
      </c>
    </row>
    <row r="178" spans="1:22" s="3246" customFormat="1" ht="24" customHeight="1">
      <c r="A178" s="3234" t="s">
        <v>3201</v>
      </c>
      <c r="B178" s="3235">
        <v>176</v>
      </c>
      <c r="C178" s="3236" t="s">
        <v>3967</v>
      </c>
      <c r="D178" s="3237" t="s">
        <v>4024</v>
      </c>
      <c r="E178" s="3238">
        <v>247</v>
      </c>
      <c r="F178" s="3239" t="s">
        <v>3204</v>
      </c>
      <c r="G178" s="3240" t="s">
        <v>3205</v>
      </c>
      <c r="H178" s="3240" t="s">
        <v>3206</v>
      </c>
      <c r="I178" s="3241">
        <v>48688</v>
      </c>
      <c r="J178" s="3242" t="s">
        <v>4025</v>
      </c>
      <c r="K178" s="3242" t="s">
        <v>4026</v>
      </c>
      <c r="L178" s="3242" t="s">
        <v>3219</v>
      </c>
      <c r="M178" s="3242" t="s">
        <v>4027</v>
      </c>
      <c r="N178" s="3243">
        <v>11.7</v>
      </c>
      <c r="O178" s="3243">
        <f t="shared" si="2"/>
        <v>2889.8999999999996</v>
      </c>
      <c r="P178" s="3244">
        <v>0.1</v>
      </c>
      <c r="Q178" s="3243">
        <v>2.8</v>
      </c>
      <c r="R178" s="3243" t="s">
        <v>4028</v>
      </c>
      <c r="S178" s="3243" t="s">
        <v>4029</v>
      </c>
      <c r="T178" s="3243" t="s">
        <v>4030</v>
      </c>
      <c r="U178" s="3245" t="s">
        <v>3214</v>
      </c>
    </row>
    <row r="179" spans="1:22" s="3246" customFormat="1" ht="24" customHeight="1">
      <c r="A179" s="3234" t="s">
        <v>3201</v>
      </c>
      <c r="B179" s="3235">
        <v>177</v>
      </c>
      <c r="C179" s="3236" t="s">
        <v>3967</v>
      </c>
      <c r="D179" s="3237" t="s">
        <v>4031</v>
      </c>
      <c r="E179" s="3238">
        <v>121</v>
      </c>
      <c r="F179" s="3239" t="s">
        <v>3204</v>
      </c>
      <c r="G179" s="3240" t="s">
        <v>3205</v>
      </c>
      <c r="H179" s="3240" t="s">
        <v>3206</v>
      </c>
      <c r="I179" s="3241">
        <v>71013</v>
      </c>
      <c r="J179" s="3242" t="s">
        <v>4032</v>
      </c>
      <c r="K179" s="3242" t="s">
        <v>3278</v>
      </c>
      <c r="L179" s="3242" t="s">
        <v>3219</v>
      </c>
      <c r="M179" s="3242" t="s">
        <v>3940</v>
      </c>
      <c r="N179" s="3243">
        <v>11.3</v>
      </c>
      <c r="O179" s="3243">
        <f t="shared" si="2"/>
        <v>1367.3000000000002</v>
      </c>
      <c r="P179" s="3244">
        <v>0.11</v>
      </c>
      <c r="Q179" s="3243">
        <v>2.8</v>
      </c>
      <c r="R179" s="3243" t="s">
        <v>4033</v>
      </c>
      <c r="S179" s="3243" t="s">
        <v>4034</v>
      </c>
      <c r="T179" s="3243" t="s">
        <v>4035</v>
      </c>
      <c r="U179" s="3245" t="s">
        <v>3214</v>
      </c>
    </row>
    <row r="180" spans="1:22" s="3246" customFormat="1" ht="24" customHeight="1">
      <c r="A180" s="3234" t="s">
        <v>3201</v>
      </c>
      <c r="B180" s="3235">
        <v>178</v>
      </c>
      <c r="C180" s="3236" t="s">
        <v>3967</v>
      </c>
      <c r="D180" s="3237" t="s">
        <v>4036</v>
      </c>
      <c r="E180" s="3238">
        <v>280</v>
      </c>
      <c r="F180" s="3239" t="s">
        <v>3204</v>
      </c>
      <c r="G180" s="3240" t="s">
        <v>3205</v>
      </c>
      <c r="H180" s="3240" t="s">
        <v>3206</v>
      </c>
      <c r="I180" s="3241">
        <v>48766</v>
      </c>
      <c r="J180" s="3242" t="s">
        <v>4037</v>
      </c>
      <c r="K180" s="3242" t="s">
        <v>4038</v>
      </c>
      <c r="L180" s="3242" t="s">
        <v>3219</v>
      </c>
      <c r="M180" s="3242" t="s">
        <v>3868</v>
      </c>
      <c r="N180" s="3243">
        <v>8.8000000000000007</v>
      </c>
      <c r="O180" s="3243">
        <f t="shared" si="2"/>
        <v>2464</v>
      </c>
      <c r="P180" s="3244">
        <v>0.1</v>
      </c>
      <c r="Q180" s="3243">
        <v>2.8</v>
      </c>
      <c r="R180" s="3243" t="s">
        <v>4039</v>
      </c>
      <c r="S180" s="3243" t="s">
        <v>3370</v>
      </c>
      <c r="T180" s="3243" t="s">
        <v>3936</v>
      </c>
      <c r="U180" s="3245" t="s">
        <v>3214</v>
      </c>
    </row>
    <row r="181" spans="1:22" s="3246" customFormat="1" ht="24" customHeight="1">
      <c r="A181" s="3234" t="s">
        <v>3201</v>
      </c>
      <c r="B181" s="3235">
        <v>179</v>
      </c>
      <c r="C181" s="3236" t="s">
        <v>3967</v>
      </c>
      <c r="D181" s="3237" t="s">
        <v>4040</v>
      </c>
      <c r="E181" s="3238">
        <v>73</v>
      </c>
      <c r="F181" s="3239" t="s">
        <v>3204</v>
      </c>
      <c r="G181" s="3240" t="s">
        <v>3205</v>
      </c>
      <c r="H181" s="3240" t="s">
        <v>3206</v>
      </c>
      <c r="I181" s="3241">
        <v>71926</v>
      </c>
      <c r="J181" s="3242" t="s">
        <v>4041</v>
      </c>
      <c r="K181" s="3242" t="s">
        <v>4042</v>
      </c>
      <c r="L181" s="3242" t="s">
        <v>3219</v>
      </c>
      <c r="M181" s="3242" t="s">
        <v>3940</v>
      </c>
      <c r="N181" s="3243">
        <v>12.5</v>
      </c>
      <c r="O181" s="3243">
        <f t="shared" si="2"/>
        <v>912.5</v>
      </c>
      <c r="P181" s="3244">
        <v>0.11</v>
      </c>
      <c r="Q181" s="3243">
        <v>2.8</v>
      </c>
      <c r="R181" s="3243" t="s">
        <v>3378</v>
      </c>
      <c r="S181" s="3243" t="s">
        <v>3546</v>
      </c>
      <c r="T181" s="3243" t="s">
        <v>3752</v>
      </c>
      <c r="U181" s="3245" t="s">
        <v>3214</v>
      </c>
    </row>
    <row r="182" spans="1:22" s="3246" customFormat="1" ht="24" customHeight="1">
      <c r="A182" s="3234" t="s">
        <v>3201</v>
      </c>
      <c r="B182" s="3235">
        <v>180</v>
      </c>
      <c r="C182" s="3236" t="s">
        <v>3967</v>
      </c>
      <c r="D182" s="3237" t="s">
        <v>4043</v>
      </c>
      <c r="E182" s="3238">
        <v>137</v>
      </c>
      <c r="F182" s="3239" t="s">
        <v>3204</v>
      </c>
      <c r="G182" s="3240" t="s">
        <v>3205</v>
      </c>
      <c r="H182" s="3240" t="s">
        <v>3206</v>
      </c>
      <c r="I182" s="3241">
        <v>49484</v>
      </c>
      <c r="J182" s="3242" t="s">
        <v>4044</v>
      </c>
      <c r="K182" s="3242" t="s">
        <v>4045</v>
      </c>
      <c r="L182" s="3242" t="s">
        <v>3219</v>
      </c>
      <c r="M182" s="3242" t="s">
        <v>3940</v>
      </c>
      <c r="N182" s="3243">
        <v>11</v>
      </c>
      <c r="O182" s="3243">
        <f t="shared" si="2"/>
        <v>1507</v>
      </c>
      <c r="P182" s="3244">
        <v>0.13</v>
      </c>
      <c r="Q182" s="3243">
        <v>2.8</v>
      </c>
      <c r="R182" s="3243" t="s">
        <v>4046</v>
      </c>
      <c r="S182" s="3243" t="s">
        <v>4047</v>
      </c>
      <c r="T182" s="3243" t="s">
        <v>4048</v>
      </c>
      <c r="U182" s="3245" t="s">
        <v>3214</v>
      </c>
    </row>
    <row r="183" spans="1:22" s="3246" customFormat="1" ht="24" customHeight="1">
      <c r="A183" s="3234" t="s">
        <v>3201</v>
      </c>
      <c r="B183" s="3235">
        <v>181</v>
      </c>
      <c r="C183" s="3236" t="s">
        <v>3967</v>
      </c>
      <c r="D183" s="3237" t="s">
        <v>4049</v>
      </c>
      <c r="E183" s="3238">
        <v>9</v>
      </c>
      <c r="F183" s="3239" t="s">
        <v>3216</v>
      </c>
      <c r="G183" s="3240" t="s">
        <v>3216</v>
      </c>
      <c r="H183" s="3240" t="s">
        <v>3206</v>
      </c>
      <c r="I183" s="3241">
        <v>50223</v>
      </c>
      <c r="J183" s="3242" t="s">
        <v>4050</v>
      </c>
      <c r="K183" s="3242" t="s">
        <v>3720</v>
      </c>
      <c r="L183" s="3242" t="s">
        <v>3259</v>
      </c>
      <c r="M183" s="3242" t="s">
        <v>3614</v>
      </c>
      <c r="N183" s="3243">
        <v>4</v>
      </c>
      <c r="O183" s="3243">
        <f t="shared" si="2"/>
        <v>36</v>
      </c>
      <c r="P183" s="3244">
        <v>0</v>
      </c>
      <c r="Q183" s="3243"/>
      <c r="R183" s="3243" t="s">
        <v>3378</v>
      </c>
      <c r="S183" s="3243" t="s">
        <v>3379</v>
      </c>
      <c r="T183" s="3243" t="s">
        <v>3380</v>
      </c>
      <c r="U183" s="3245" t="s">
        <v>3214</v>
      </c>
    </row>
    <row r="184" spans="1:22" s="3246" customFormat="1" ht="24" customHeight="1">
      <c r="A184" s="3234" t="s">
        <v>3201</v>
      </c>
      <c r="B184" s="3235">
        <v>182</v>
      </c>
      <c r="C184" s="3236" t="s">
        <v>3967</v>
      </c>
      <c r="D184" s="3237" t="s">
        <v>4051</v>
      </c>
      <c r="E184" s="3238">
        <v>12.5</v>
      </c>
      <c r="F184" s="3239" t="s">
        <v>3204</v>
      </c>
      <c r="G184" s="3240" t="s">
        <v>3375</v>
      </c>
      <c r="H184" s="3240" t="s">
        <v>3206</v>
      </c>
      <c r="I184" s="3241">
        <v>50595</v>
      </c>
      <c r="J184" s="3242" t="s">
        <v>4052</v>
      </c>
      <c r="K184" s="3242" t="s">
        <v>4053</v>
      </c>
      <c r="L184" s="3242" t="s">
        <v>3219</v>
      </c>
      <c r="M184" s="3242" t="s">
        <v>3999</v>
      </c>
      <c r="N184" s="3243">
        <v>14</v>
      </c>
      <c r="O184" s="3243">
        <f t="shared" si="2"/>
        <v>175</v>
      </c>
      <c r="P184" s="3244">
        <v>0.12</v>
      </c>
      <c r="Q184" s="3243">
        <v>2.8</v>
      </c>
      <c r="R184" s="3243" t="s">
        <v>4054</v>
      </c>
      <c r="S184" s="3243" t="s">
        <v>4055</v>
      </c>
      <c r="T184" s="3243" t="s">
        <v>3255</v>
      </c>
      <c r="U184" s="3245" t="s">
        <v>3214</v>
      </c>
    </row>
    <row r="185" spans="1:22" s="3246" customFormat="1" ht="24" customHeight="1">
      <c r="A185" s="3234" t="s">
        <v>3201</v>
      </c>
      <c r="B185" s="3235">
        <v>183</v>
      </c>
      <c r="C185" s="3236" t="s">
        <v>3967</v>
      </c>
      <c r="D185" s="3237" t="s">
        <v>4056</v>
      </c>
      <c r="E185" s="3238">
        <v>173</v>
      </c>
      <c r="F185" s="3239" t="s">
        <v>3204</v>
      </c>
      <c r="G185" s="3240" t="s">
        <v>3205</v>
      </c>
      <c r="H185" s="3240" t="s">
        <v>3206</v>
      </c>
      <c r="I185" s="3241">
        <v>50810</v>
      </c>
      <c r="J185" s="3242" t="s">
        <v>4057</v>
      </c>
      <c r="K185" s="3242" t="s">
        <v>4058</v>
      </c>
      <c r="L185" s="3242" t="s">
        <v>3219</v>
      </c>
      <c r="M185" s="3242" t="s">
        <v>3788</v>
      </c>
      <c r="N185" s="3243">
        <v>10.199999999999999</v>
      </c>
      <c r="O185" s="3243">
        <f t="shared" si="2"/>
        <v>1764.6</v>
      </c>
      <c r="P185" s="3244">
        <v>0.12</v>
      </c>
      <c r="Q185" s="3243">
        <v>2.8</v>
      </c>
      <c r="R185" s="3243" t="s">
        <v>4059</v>
      </c>
      <c r="S185" s="3243" t="s">
        <v>4060</v>
      </c>
      <c r="T185" s="3243" t="s">
        <v>4061</v>
      </c>
      <c r="U185" s="3245" t="s">
        <v>3214</v>
      </c>
    </row>
    <row r="186" spans="1:22" s="3246" customFormat="1" ht="24" customHeight="1">
      <c r="A186" s="3234" t="s">
        <v>3201</v>
      </c>
      <c r="B186" s="3235">
        <v>184</v>
      </c>
      <c r="C186" s="3236" t="s">
        <v>3967</v>
      </c>
      <c r="D186" s="3237" t="s">
        <v>4062</v>
      </c>
      <c r="E186" s="3238">
        <v>375</v>
      </c>
      <c r="F186" s="3239" t="s">
        <v>3204</v>
      </c>
      <c r="G186" s="3240" t="s">
        <v>3205</v>
      </c>
      <c r="H186" s="3240" t="s">
        <v>3206</v>
      </c>
      <c r="I186" s="3241">
        <v>50962</v>
      </c>
      <c r="J186" s="3242" t="s">
        <v>4063</v>
      </c>
      <c r="K186" s="3242" t="s">
        <v>3903</v>
      </c>
      <c r="L186" s="3242" t="s">
        <v>3219</v>
      </c>
      <c r="M186" s="3242" t="s">
        <v>3904</v>
      </c>
      <c r="N186" s="3243">
        <v>10.08</v>
      </c>
      <c r="O186" s="3243">
        <f t="shared" si="2"/>
        <v>3780</v>
      </c>
      <c r="P186" s="3244">
        <v>0.105</v>
      </c>
      <c r="Q186" s="3243">
        <v>2.8</v>
      </c>
      <c r="R186" s="3243" t="s">
        <v>4064</v>
      </c>
      <c r="S186" s="3243" t="s">
        <v>3391</v>
      </c>
      <c r="T186" s="3243" t="s">
        <v>3213</v>
      </c>
      <c r="U186" s="3245" t="s">
        <v>3214</v>
      </c>
    </row>
    <row r="187" spans="1:22" s="3246" customFormat="1" ht="24" hidden="1" customHeight="1">
      <c r="A187" s="3234" t="s">
        <v>3201</v>
      </c>
      <c r="B187" s="3235">
        <v>185</v>
      </c>
      <c r="C187" s="3236" t="s">
        <v>3967</v>
      </c>
      <c r="D187" s="3237" t="s">
        <v>4065</v>
      </c>
      <c r="E187" s="3238">
        <v>10</v>
      </c>
      <c r="F187" s="3239" t="s">
        <v>3204</v>
      </c>
      <c r="G187" s="3240" t="s">
        <v>3375</v>
      </c>
      <c r="H187" s="3240" t="s">
        <v>3393</v>
      </c>
      <c r="I187" s="3241"/>
      <c r="J187" s="3242"/>
      <c r="K187" s="3242"/>
      <c r="L187" s="3242"/>
      <c r="M187" s="3242"/>
      <c r="N187" s="3243"/>
      <c r="O187" s="3243">
        <f t="shared" si="2"/>
        <v>0</v>
      </c>
      <c r="P187" s="3244"/>
      <c r="Q187" s="3243"/>
      <c r="R187" s="3243"/>
      <c r="S187" s="3243"/>
      <c r="T187" s="3243"/>
      <c r="U187" s="3245"/>
    </row>
    <row r="188" spans="1:22" s="3246" customFormat="1" ht="24" customHeight="1">
      <c r="A188" s="3234" t="s">
        <v>3201</v>
      </c>
      <c r="B188" s="3235">
        <v>186</v>
      </c>
      <c r="C188" s="3236" t="s">
        <v>3967</v>
      </c>
      <c r="D188" s="3237" t="s">
        <v>4066</v>
      </c>
      <c r="E188" s="3238">
        <v>138</v>
      </c>
      <c r="F188" s="3239" t="s">
        <v>3204</v>
      </c>
      <c r="G188" s="3240" t="s">
        <v>3205</v>
      </c>
      <c r="H188" s="3240" t="s">
        <v>3206</v>
      </c>
      <c r="I188" s="3241">
        <v>51223</v>
      </c>
      <c r="J188" s="3242" t="s">
        <v>4067</v>
      </c>
      <c r="K188" s="3242" t="s">
        <v>4068</v>
      </c>
      <c r="L188" s="3242" t="s">
        <v>3219</v>
      </c>
      <c r="M188" s="3242" t="s">
        <v>3940</v>
      </c>
      <c r="N188" s="3243">
        <v>10</v>
      </c>
      <c r="O188" s="3243">
        <f t="shared" si="2"/>
        <v>1380</v>
      </c>
      <c r="P188" s="3244">
        <v>0.12</v>
      </c>
      <c r="Q188" s="3243">
        <v>2.8</v>
      </c>
      <c r="R188" s="3243" t="s">
        <v>4069</v>
      </c>
      <c r="S188" s="3243" t="s">
        <v>4070</v>
      </c>
      <c r="T188" s="3243" t="s">
        <v>4071</v>
      </c>
      <c r="U188" s="3245" t="s">
        <v>3214</v>
      </c>
    </row>
    <row r="189" spans="1:22" s="3246" customFormat="1" ht="24" customHeight="1">
      <c r="A189" s="3234" t="s">
        <v>3201</v>
      </c>
      <c r="B189" s="3235">
        <v>187</v>
      </c>
      <c r="C189" s="3236" t="s">
        <v>3967</v>
      </c>
      <c r="D189" s="3237" t="s">
        <v>4072</v>
      </c>
      <c r="E189" s="3238">
        <v>267</v>
      </c>
      <c r="F189" s="3239" t="s">
        <v>3204</v>
      </c>
      <c r="G189" s="3240" t="s">
        <v>3205</v>
      </c>
      <c r="H189" s="3240" t="s">
        <v>3206</v>
      </c>
      <c r="I189" s="3241">
        <v>51338</v>
      </c>
      <c r="J189" s="3242" t="s">
        <v>4073</v>
      </c>
      <c r="K189" s="3242" t="s">
        <v>4074</v>
      </c>
      <c r="L189" s="3242" t="s">
        <v>3219</v>
      </c>
      <c r="M189" s="3242" t="s">
        <v>4075</v>
      </c>
      <c r="N189" s="3243">
        <v>10.8</v>
      </c>
      <c r="O189" s="3243">
        <f t="shared" si="2"/>
        <v>2883.6000000000004</v>
      </c>
      <c r="P189" s="3244">
        <v>0.11</v>
      </c>
      <c r="Q189" s="3243">
        <v>2.8</v>
      </c>
      <c r="R189" s="3243" t="s">
        <v>4076</v>
      </c>
      <c r="S189" s="3243" t="s">
        <v>3391</v>
      </c>
      <c r="T189" s="3243" t="s">
        <v>4077</v>
      </c>
      <c r="U189" s="3245" t="s">
        <v>3214</v>
      </c>
    </row>
    <row r="190" spans="1:22" s="3246" customFormat="1" ht="24" customHeight="1">
      <c r="A190" s="3234" t="s">
        <v>3201</v>
      </c>
      <c r="B190" s="3235">
        <v>188</v>
      </c>
      <c r="C190" s="3236" t="s">
        <v>3967</v>
      </c>
      <c r="D190" s="3237" t="s">
        <v>4078</v>
      </c>
      <c r="E190" s="3238">
        <v>1.5</v>
      </c>
      <c r="F190" s="3239" t="s">
        <v>3204</v>
      </c>
      <c r="G190" s="3240" t="s">
        <v>3375</v>
      </c>
      <c r="H190" s="3240" t="s">
        <v>3206</v>
      </c>
      <c r="I190" s="3241">
        <v>72264</v>
      </c>
      <c r="J190" s="3242" t="s">
        <v>4079</v>
      </c>
      <c r="K190" s="3242" t="s">
        <v>4080</v>
      </c>
      <c r="L190" s="3242" t="s">
        <v>3259</v>
      </c>
      <c r="M190" s="3242" t="s">
        <v>3312</v>
      </c>
      <c r="N190" s="3243">
        <v>42.74</v>
      </c>
      <c r="O190" s="3243">
        <f t="shared" si="2"/>
        <v>64.11</v>
      </c>
      <c r="P190" s="3244">
        <v>0</v>
      </c>
      <c r="Q190" s="3243"/>
      <c r="R190" s="3243" t="s">
        <v>3279</v>
      </c>
      <c r="S190" s="3247" t="s">
        <v>4081</v>
      </c>
      <c r="T190" s="3247" t="s">
        <v>4082</v>
      </c>
      <c r="U190" s="3245" t="s">
        <v>3214</v>
      </c>
    </row>
    <row r="191" spans="1:22" s="3246" customFormat="1" ht="24" customHeight="1">
      <c r="A191" s="3234" t="s">
        <v>3201</v>
      </c>
      <c r="B191" s="3235">
        <v>189</v>
      </c>
      <c r="C191" s="3236" t="s">
        <v>3967</v>
      </c>
      <c r="D191" s="3237" t="s">
        <v>4083</v>
      </c>
      <c r="E191" s="3238">
        <v>16</v>
      </c>
      <c r="F191" s="3239" t="s">
        <v>3204</v>
      </c>
      <c r="G191" s="3240" t="s">
        <v>3375</v>
      </c>
      <c r="H191" s="3240" t="s">
        <v>3206</v>
      </c>
      <c r="I191" s="3241">
        <v>71168</v>
      </c>
      <c r="J191" s="3242" t="s">
        <v>4084</v>
      </c>
      <c r="K191" s="3242" t="s">
        <v>4085</v>
      </c>
      <c r="L191" s="3242" t="s">
        <v>3219</v>
      </c>
      <c r="M191" s="3242" t="s">
        <v>3265</v>
      </c>
      <c r="N191" s="3243">
        <v>17.2</v>
      </c>
      <c r="O191" s="3243">
        <f t="shared" si="2"/>
        <v>275.2</v>
      </c>
      <c r="P191" s="3244">
        <v>0.15</v>
      </c>
      <c r="Q191" s="3243">
        <v>2.8</v>
      </c>
      <c r="R191" s="3243" t="s">
        <v>3279</v>
      </c>
      <c r="S191" s="3243" t="s">
        <v>3957</v>
      </c>
      <c r="T191" s="3243" t="s">
        <v>3223</v>
      </c>
      <c r="U191" s="3245" t="s">
        <v>3214</v>
      </c>
      <c r="V191" s="3248"/>
    </row>
    <row r="192" spans="1:22" s="3246" customFormat="1" ht="24" hidden="1" customHeight="1">
      <c r="A192" s="3234" t="s">
        <v>3201</v>
      </c>
      <c r="B192" s="3235">
        <v>190</v>
      </c>
      <c r="C192" s="3236" t="s">
        <v>3967</v>
      </c>
      <c r="D192" s="3237" t="s">
        <v>4078</v>
      </c>
      <c r="E192" s="3238">
        <v>1</v>
      </c>
      <c r="F192" s="3239" t="s">
        <v>3204</v>
      </c>
      <c r="G192" s="3240" t="s">
        <v>3375</v>
      </c>
      <c r="H192" s="3240" t="s">
        <v>3393</v>
      </c>
      <c r="I192" s="3241"/>
      <c r="J192" s="3242"/>
      <c r="K192" s="3242"/>
      <c r="L192" s="3242"/>
      <c r="M192" s="3242"/>
      <c r="N192" s="3243"/>
      <c r="O192" s="3243">
        <f t="shared" si="2"/>
        <v>0</v>
      </c>
      <c r="P192" s="3252"/>
      <c r="Q192" s="3243"/>
      <c r="R192" s="3243"/>
      <c r="S192" s="3243"/>
      <c r="T192" s="3243"/>
      <c r="U192" s="3245"/>
    </row>
    <row r="193" spans="1:21" s="3246" customFormat="1" ht="24" customHeight="1">
      <c r="A193" s="3234" t="s">
        <v>3201</v>
      </c>
      <c r="B193" s="3235">
        <v>191</v>
      </c>
      <c r="C193" s="3236" t="s">
        <v>3967</v>
      </c>
      <c r="D193" s="3237" t="s">
        <v>4086</v>
      </c>
      <c r="E193" s="3238">
        <v>2.5</v>
      </c>
      <c r="F193" s="3239" t="s">
        <v>3204</v>
      </c>
      <c r="G193" s="3240" t="s">
        <v>3375</v>
      </c>
      <c r="H193" s="3240" t="s">
        <v>3206</v>
      </c>
      <c r="I193" s="3241">
        <v>71522</v>
      </c>
      <c r="J193" s="3242" t="s">
        <v>4087</v>
      </c>
      <c r="K193" s="3242" t="s">
        <v>3601</v>
      </c>
      <c r="L193" s="3242" t="s">
        <v>3209</v>
      </c>
      <c r="M193" s="3242" t="s">
        <v>3312</v>
      </c>
      <c r="N193" s="3243">
        <v>30.74</v>
      </c>
      <c r="O193" s="3243">
        <f t="shared" si="2"/>
        <v>76.849999999999994</v>
      </c>
      <c r="P193" s="3243"/>
      <c r="Q193" s="3243">
        <v>2.8</v>
      </c>
      <c r="R193" s="3243" t="s">
        <v>4088</v>
      </c>
      <c r="S193" s="3253" t="s">
        <v>4089</v>
      </c>
      <c r="T193" s="3253" t="s">
        <v>3453</v>
      </c>
      <c r="U193" s="3245" t="s">
        <v>3214</v>
      </c>
    </row>
    <row r="194" spans="1:21">
      <c r="N194" s="3257">
        <f>AVERAGE(N3:N193)</f>
        <v>13.877305389221556</v>
      </c>
      <c r="O194" s="3243">
        <f>SUM(O3:O193)</f>
        <v>176523.53639999995</v>
      </c>
    </row>
    <row r="195" spans="1:21">
      <c r="E195" s="3254">
        <f>SUBTOTAL(9,E3:E193)</f>
        <v>42152.66</v>
      </c>
      <c r="N195" s="3257">
        <f>AVERAGE(N3:N194)</f>
        <v>13.877305389221554</v>
      </c>
      <c r="O195" s="3243">
        <f>O194/E195</f>
        <v>4.1877199778139724</v>
      </c>
    </row>
    <row r="196" spans="1:21">
      <c r="N196" s="3254">
        <f>ROUND(N195*E195*365,2)</f>
        <v>213512347.56</v>
      </c>
      <c r="O196" s="3243"/>
    </row>
    <row r="197" spans="1:21">
      <c r="N197" s="3254">
        <f ca="1">ROUND(N196/'收益法-商业'!$F$7/365,2)</f>
        <v>12.26</v>
      </c>
      <c r="O197" s="3243"/>
    </row>
    <row r="198" spans="1:21">
      <c r="E198" s="3259">
        <f>SUBTOTAL(9,E3:E193)</f>
        <v>42152.66</v>
      </c>
      <c r="N198" s="3257">
        <f>AVERAGE(N3:N193)</f>
        <v>13.877305389221556</v>
      </c>
      <c r="O198" s="3243"/>
    </row>
    <row r="199" spans="1:21">
      <c r="N199" s="3254">
        <f>N198*E198*365</f>
        <v>213512347.56262878</v>
      </c>
      <c r="O199" s="3243"/>
    </row>
    <row r="200" spans="1:21">
      <c r="N200" s="3254">
        <f>N199/'数据-取费表'!$K$6/365</f>
        <v>9.6473055340557536</v>
      </c>
      <c r="O200" s="3243"/>
    </row>
    <row r="202" spans="1:21">
      <c r="O202" s="3254">
        <f>O194*365/10000</f>
        <v>6443.1090785999986</v>
      </c>
    </row>
    <row r="209" spans="4:15">
      <c r="D209" s="3254" t="s">
        <v>4090</v>
      </c>
      <c r="E209" s="3257">
        <f>SUM(E3:E193)</f>
        <v>44005.16</v>
      </c>
    </row>
    <row r="210" spans="4:15">
      <c r="D210" s="3254" t="s">
        <v>4091</v>
      </c>
      <c r="E210" s="3254">
        <v>42152.66</v>
      </c>
      <c r="O210" s="3254">
        <f>O194/E210</f>
        <v>4.1877199778139724</v>
      </c>
    </row>
    <row r="217" spans="4:15">
      <c r="D217" s="3254" t="s">
        <v>4093</v>
      </c>
      <c r="E217" s="3254">
        <v>7500</v>
      </c>
    </row>
    <row r="218" spans="4:15">
      <c r="D218" s="3254" t="s">
        <v>4092</v>
      </c>
      <c r="E218" s="3254">
        <v>10000</v>
      </c>
    </row>
    <row r="219" spans="4:15">
      <c r="D219" s="3254" t="s">
        <v>4094</v>
      </c>
      <c r="E219" s="3254">
        <f>7700/11*12</f>
        <v>8400</v>
      </c>
    </row>
  </sheetData>
  <autoFilter ref="A2:U197">
    <filterColumn colId="7">
      <filters>
        <filter val="已出租"/>
      </filters>
    </filterColumn>
    <sortState ref="A2:T193">
      <sortCondition ref="D2"/>
    </sortState>
  </autoFilter>
  <mergeCells count="1">
    <mergeCell ref="A1:U1"/>
  </mergeCells>
  <phoneticPr fontId="140" type="noConversion"/>
  <conditionalFormatting sqref="D13">
    <cfRule type="duplicateValues" dxfId="19" priority="19"/>
  </conditionalFormatting>
  <conditionalFormatting sqref="D33">
    <cfRule type="duplicateValues" dxfId="18" priority="18"/>
  </conditionalFormatting>
  <conditionalFormatting sqref="D78">
    <cfRule type="duplicateValues" dxfId="17" priority="14"/>
  </conditionalFormatting>
  <conditionalFormatting sqref="D79">
    <cfRule type="duplicateValues" dxfId="16" priority="16"/>
  </conditionalFormatting>
  <conditionalFormatting sqref="D80">
    <cfRule type="duplicateValues" dxfId="15" priority="15"/>
  </conditionalFormatting>
  <conditionalFormatting sqref="D84">
    <cfRule type="duplicateValues" dxfId="14" priority="1"/>
  </conditionalFormatting>
  <conditionalFormatting sqref="D115">
    <cfRule type="duplicateValues" dxfId="13" priority="13"/>
  </conditionalFormatting>
  <conditionalFormatting sqref="D116">
    <cfRule type="duplicateValues" dxfId="12" priority="12"/>
  </conditionalFormatting>
  <conditionalFormatting sqref="D117">
    <cfRule type="duplicateValues" dxfId="11" priority="11"/>
  </conditionalFormatting>
  <conditionalFormatting sqref="D118">
    <cfRule type="duplicateValues" dxfId="10" priority="10"/>
  </conditionalFormatting>
  <conditionalFormatting sqref="D158">
    <cfRule type="duplicateValues" dxfId="9" priority="9"/>
  </conditionalFormatting>
  <conditionalFormatting sqref="D159">
    <cfRule type="duplicateValues" dxfId="8" priority="8"/>
  </conditionalFormatting>
  <conditionalFormatting sqref="D160">
    <cfRule type="duplicateValues" dxfId="7" priority="7"/>
  </conditionalFormatting>
  <conditionalFormatting sqref="D161">
    <cfRule type="duplicateValues" dxfId="6" priority="6"/>
  </conditionalFormatting>
  <conditionalFormatting sqref="D162">
    <cfRule type="duplicateValues" dxfId="5" priority="5"/>
  </conditionalFormatting>
  <conditionalFormatting sqref="D163">
    <cfRule type="duplicateValues" dxfId="4" priority="3"/>
  </conditionalFormatting>
  <conditionalFormatting sqref="D164">
    <cfRule type="duplicateValues" dxfId="3" priority="2"/>
  </conditionalFormatting>
  <conditionalFormatting sqref="D191">
    <cfRule type="duplicateValues" dxfId="2" priority="17"/>
  </conditionalFormatting>
  <conditionalFormatting sqref="D138:D139">
    <cfRule type="duplicateValues" dxfId="1" priority="4"/>
  </conditionalFormatting>
  <conditionalFormatting sqref="D3:D12 D34:D77 D14:D32 D81:D83 D119:D137 D85:D114 D140:D157 D165:D190">
    <cfRule type="duplicateValues" dxfId="0" priority="20"/>
  </conditionalFormatting>
  <dataValidations count="5">
    <dataValidation type="list" allowBlank="1" showInputMessage="1" showErrorMessage="1" sqref="G1:G17 G19:G33 G35:G1048576">
      <formula1>"固定边厅,固定中岛,多经铺位,外广场铺位,停车场铺位,库房"</formula1>
    </dataValidation>
    <dataValidation type="list" allowBlank="1" showInputMessage="1" showErrorMessage="1" sqref="H1:H1048576">
      <formula1>"已出租,空置"</formula1>
    </dataValidation>
    <dataValidation type="list" allowBlank="1" showInputMessage="1" showErrorMessage="1" sqref="U1:U1048576">
      <formula1>"有,无"</formula1>
    </dataValidation>
    <dataValidation type="list" allowBlank="1" showInputMessage="1" showErrorMessage="1" sqref="C191:C193">
      <formula1>"餐饮,零售,儿童,休闲娱乐,生活家用,老人与健康,主力店"</formula1>
    </dataValidation>
    <dataValidation type="list" allowBlank="1" showInputMessage="1" showErrorMessage="1" sqref="G18 G34 F1:F1048576">
      <formula1>"固定铺位,多经铺位,场外经营,库房"</formula1>
    </dataValidation>
  </dataValidations>
  <pageMargins left="0.70069444444444495" right="0.70069444444444495" top="0.75138888888888899" bottom="0.75138888888888899" header="0.29861111111111099" footer="0.29861111111111099"/>
  <pageSetup paperSize="8" scale="53" fitToHeight="0"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1546</v>
      </c>
      <c r="B2" s="3275" t="s">
        <v>1547</v>
      </c>
      <c r="C2" s="3275" t="s">
        <v>1548</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963" t="s">
        <v>1543</v>
      </c>
      <c r="E3" s="963" t="s">
        <v>1549</v>
      </c>
      <c r="F3" s="963" t="s">
        <v>1543</v>
      </c>
      <c r="G3" s="963" t="s">
        <v>1544</v>
      </c>
      <c r="H3" s="963" t="s">
        <v>1543</v>
      </c>
      <c r="I3" s="963" t="s">
        <v>1544</v>
      </c>
    </row>
    <row r="4" spans="1:9" ht="15">
      <c r="A4" s="1660" t="str">
        <f>项目基本情况!S2</f>
        <v>北京市房地产</v>
      </c>
      <c r="B4" s="963">
        <f>项目基本情况!C17</f>
        <v>60635.1</v>
      </c>
      <c r="C4" s="963">
        <f>项目基本情况!C18</f>
        <v>16578.400000000001</v>
      </c>
      <c r="D4" s="963">
        <f ca="1">结果表!D118</f>
        <v>100365</v>
      </c>
      <c r="E4" s="963">
        <f ca="1">结果表!E118</f>
        <v>16553</v>
      </c>
      <c r="F4" s="963">
        <f ca="1">结果表!F118</f>
        <v>31175</v>
      </c>
      <c r="G4" s="963">
        <f ca="1">结果表!G118</f>
        <v>5141</v>
      </c>
      <c r="H4" s="963">
        <f ca="1">结果表!H118</f>
        <v>131540</v>
      </c>
      <c r="I4" s="963">
        <f ca="1">结果表!I118</f>
        <v>21694</v>
      </c>
    </row>
    <row r="5" spans="1:9" ht="30" customHeight="1">
      <c r="A5" s="3276" t="s">
        <v>1545</v>
      </c>
      <c r="B5" s="3276"/>
      <c r="C5" s="3276"/>
      <c r="D5" s="3277" t="str">
        <f ca="1">结果表!D119</f>
        <v>壹拾亿零叁佰陆拾伍万元整</v>
      </c>
      <c r="E5" s="3277"/>
      <c r="F5" s="3277" t="str">
        <f ca="1">结果表!F119</f>
        <v>叁亿壹仟壹佰柒拾伍万元整</v>
      </c>
      <c r="G5" s="3277"/>
      <c r="H5" s="3277" t="str">
        <f ca="1">结果表!H119</f>
        <v>壹拾叁亿壹仟伍佰肆拾万元整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1545</v>
      </c>
      <c r="B7" s="3276"/>
      <c r="C7" s="3276"/>
      <c r="D7" s="3279" t="str">
        <f>结果表!D121</f>
        <v>零元整</v>
      </c>
      <c r="E7" s="3280"/>
      <c r="F7" s="3280"/>
      <c r="G7" s="3280"/>
      <c r="H7" s="3280"/>
      <c r="I7" s="3281"/>
    </row>
    <row r="8" spans="1:9" ht="15.75">
      <c r="A8" s="3278" t="str">
        <f>结果表!A122</f>
        <v/>
      </c>
      <c r="B8" s="3278"/>
      <c r="C8" s="3278"/>
      <c r="D8" s="3278" t="str">
        <f>结果表!D122</f>
        <v>——</v>
      </c>
      <c r="E8" s="3278"/>
      <c r="F8" s="3278"/>
      <c r="G8" s="3278"/>
      <c r="H8" s="3278"/>
      <c r="I8" s="3278"/>
    </row>
    <row r="9" spans="1:9" ht="15">
      <c r="A9" s="3276" t="s">
        <v>1545</v>
      </c>
      <c r="B9" s="3276"/>
      <c r="C9" s="3276"/>
      <c r="D9" s="3277" t="e">
        <f>结果表!D123</f>
        <v>#VALUE!</v>
      </c>
      <c r="E9" s="3277"/>
      <c r="F9" s="3277"/>
      <c r="G9" s="3277"/>
      <c r="H9" s="3277"/>
      <c r="I9" s="3277"/>
    </row>
    <row r="10" spans="1:9" ht="15.75">
      <c r="A10" s="3278" t="str">
        <f>结果表!A124</f>
        <v>抵押担保权已注销时的房地产抵押价值</v>
      </c>
      <c r="B10" s="3278"/>
      <c r="C10" s="3278"/>
      <c r="D10" s="3278">
        <f ca="1">结果表!D124</f>
        <v>131540</v>
      </c>
      <c r="E10" s="3278"/>
      <c r="F10" s="3278"/>
      <c r="G10" s="3278"/>
      <c r="H10" s="3278"/>
      <c r="I10" s="3278"/>
    </row>
    <row r="11" spans="1:9" ht="15">
      <c r="A11" s="3276" t="s">
        <v>1545</v>
      </c>
      <c r="B11" s="3276"/>
      <c r="C11" s="3276"/>
      <c r="D11" s="3277" t="str">
        <f ca="1">结果表!D125</f>
        <v>壹拾叁亿壹仟伍佰肆拾万元整</v>
      </c>
      <c r="E11" s="3277"/>
      <c r="F11" s="3277"/>
      <c r="G11" s="3277"/>
      <c r="H11" s="3277"/>
      <c r="I11" s="3277"/>
    </row>
    <row r="12" spans="1:9" ht="15.75">
      <c r="A12" s="3278" t="str">
        <f>结果表!A126</f>
        <v/>
      </c>
      <c r="B12" s="3278"/>
      <c r="C12" s="3278"/>
      <c r="D12" s="3278" t="str">
        <f>结果表!D126</f>
        <v>——</v>
      </c>
      <c r="E12" s="3278"/>
      <c r="F12" s="3278"/>
      <c r="G12" s="3278"/>
      <c r="H12" s="3278"/>
      <c r="I12" s="3278"/>
    </row>
    <row r="13" spans="1:9" ht="15.75" thickBot="1">
      <c r="A13" s="3282" t="s">
        <v>1545</v>
      </c>
      <c r="B13" s="3282"/>
      <c r="C13" s="3282"/>
      <c r="D13" s="3283" t="e">
        <f>结果表!D127</f>
        <v>#VALUE!</v>
      </c>
      <c r="E13" s="3283"/>
      <c r="F13" s="3283"/>
      <c r="G13" s="3283"/>
      <c r="H13" s="3283"/>
      <c r="I13" s="3283"/>
    </row>
    <row r="14" spans="1:9" ht="15" thickTop="1">
      <c r="A14" s="3284" t="s">
        <v>1550</v>
      </c>
      <c r="B14" s="3284"/>
      <c r="C14" s="3284"/>
      <c r="D14" s="3284"/>
      <c r="E14" s="3284"/>
      <c r="F14" s="3284"/>
      <c r="G14" s="3284"/>
      <c r="H14" s="3284"/>
      <c r="I14" s="328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5" t="s">
        <v>1567</v>
      </c>
      <c r="B1" s="3285"/>
      <c r="C1" s="3285"/>
      <c r="D1" s="3285"/>
    </row>
    <row r="2" spans="1:4" ht="18">
      <c r="A2" s="3286" t="s">
        <v>1551</v>
      </c>
      <c r="B2" s="3286"/>
      <c r="C2" s="3286"/>
      <c r="D2" s="3286"/>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86" t="s">
        <v>1557</v>
      </c>
      <c r="B6" s="3286"/>
      <c r="C6" s="3286"/>
      <c r="D6" s="328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7" t="s">
        <v>1560</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1" t="s">
        <v>1561</v>
      </c>
      <c r="B16" s="3291"/>
      <c r="C16" s="3291"/>
      <c r="D16" s="3291"/>
    </row>
    <row r="17" spans="1:4" ht="144" customHeight="1">
      <c r="A17" s="3291" t="s">
        <v>1562</v>
      </c>
      <c r="B17" s="3291"/>
      <c r="C17" s="3291"/>
      <c r="D17" s="3291"/>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1563</v>
      </c>
      <c r="B22" s="3293"/>
      <c r="C22" s="3293"/>
      <c r="D22" s="329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90">
        <v>42551</v>
      </c>
      <c r="D31" s="32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9" t="s">
        <v>1574</v>
      </c>
      <c r="B15" s="3294" t="s">
        <v>136</v>
      </c>
      <c r="C15" s="3295"/>
    </row>
    <row r="16" spans="1:7" ht="13.5">
      <c r="A16" s="3300"/>
      <c r="B16" s="3294" t="s">
        <v>69</v>
      </c>
      <c r="C16" s="3295"/>
    </row>
    <row r="17" spans="1:3" ht="13.5">
      <c r="A17" s="3300"/>
      <c r="B17" s="3297" t="s">
        <v>1575</v>
      </c>
      <c r="C17" s="1687" t="s">
        <v>1574</v>
      </c>
    </row>
    <row r="18" spans="1:3" ht="13.5">
      <c r="A18" s="3300"/>
      <c r="B18" s="3297"/>
      <c r="C18" s="1687" t="s">
        <v>1576</v>
      </c>
    </row>
    <row r="19" spans="1:3" ht="13.5">
      <c r="A19" s="3300"/>
      <c r="B19" s="3297"/>
      <c r="C19" s="1687" t="s">
        <v>1577</v>
      </c>
    </row>
    <row r="20" spans="1:3" ht="13.5">
      <c r="A20" s="3301"/>
      <c r="B20" s="3296" t="s">
        <v>1578</v>
      </c>
      <c r="C20" s="3295"/>
    </row>
    <row r="21" spans="1:3" ht="13.5">
      <c r="A21" s="1688" t="s">
        <v>1579</v>
      </c>
      <c r="B21" s="1689"/>
      <c r="C21" s="1690"/>
    </row>
    <row r="22" spans="1:3" ht="13.5">
      <c r="A22" s="3298" t="s">
        <v>1580</v>
      </c>
      <c r="B22" s="3296" t="s">
        <v>1581</v>
      </c>
      <c r="C22" s="3295"/>
    </row>
    <row r="23" spans="1:3" ht="13.5">
      <c r="A23" s="3298"/>
      <c r="B23" s="3296" t="s">
        <v>1582</v>
      </c>
      <c r="C23" s="3295"/>
    </row>
    <row r="24" spans="1:3" ht="13.5">
      <c r="A24" s="3298"/>
      <c r="B24" s="3296" t="s">
        <v>1583</v>
      </c>
      <c r="C24" s="3295"/>
    </row>
    <row r="25" spans="1:3" ht="13.5">
      <c r="A25" s="3298"/>
      <c r="B25" s="3297" t="s">
        <v>1584</v>
      </c>
      <c r="C25" s="1687" t="s">
        <v>1585</v>
      </c>
    </row>
    <row r="26" spans="1:3" ht="13.5">
      <c r="A26" s="3298"/>
      <c r="B26" s="3297"/>
      <c r="C26" s="1687" t="s">
        <v>1586</v>
      </c>
    </row>
    <row r="27" spans="1:3" ht="13.5">
      <c r="A27" s="3298"/>
      <c r="B27" s="3297"/>
      <c r="C27" s="1687" t="s">
        <v>1587</v>
      </c>
    </row>
    <row r="28" spans="1:3" ht="13.5">
      <c r="A28" s="3298"/>
      <c r="B28" s="3297"/>
      <c r="C28" s="1687" t="s">
        <v>1588</v>
      </c>
    </row>
    <row r="29" spans="1:3" ht="13.5">
      <c r="A29" s="3298"/>
      <c r="B29" s="3297"/>
      <c r="C29" s="1687" t="s">
        <v>1589</v>
      </c>
    </row>
    <row r="30" spans="1:3" ht="13.5">
      <c r="A30" s="3298"/>
      <c r="B30" s="3297"/>
      <c r="C30" s="1687" t="s">
        <v>1590</v>
      </c>
    </row>
    <row r="31" spans="1:3" ht="13.5">
      <c r="A31" s="3298"/>
      <c r="B31" s="3297"/>
      <c r="C31" s="1687" t="s">
        <v>1591</v>
      </c>
    </row>
    <row r="32" spans="1:3" ht="13.5">
      <c r="A32" s="3298"/>
      <c r="B32" s="3297"/>
      <c r="C32" s="1687" t="s">
        <v>1592</v>
      </c>
    </row>
    <row r="33" spans="1:3" ht="13.5">
      <c r="A33" s="3298"/>
      <c r="B33" s="329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44613</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2" t="s">
        <v>2840</v>
      </c>
      <c r="B17" s="3302"/>
      <c r="C17" s="3302"/>
      <c r="D17" s="3302"/>
      <c r="E17" s="3302"/>
      <c r="F17" s="3302"/>
      <c r="G17" s="3302"/>
      <c r="H17" s="3302"/>
    </row>
    <row r="18" spans="1:8" ht="24" customHeight="1">
      <c r="A18" s="3303" t="s">
        <v>2841</v>
      </c>
      <c r="B18" s="3303"/>
      <c r="C18" s="3303"/>
      <c r="D18" s="2536"/>
      <c r="E18" s="3304" t="s">
        <v>2842</v>
      </c>
      <c r="F18" s="3303"/>
      <c r="G18" s="330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明细表</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2022-02-21T03:27:29Z</dcterms:modified>
</cp:coreProperties>
</file>