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84-雁栖大街8号\"/>
    </mc:Choice>
  </mc:AlternateContent>
  <xr:revisionPtr revIDLastSave="0" documentId="13_ncr:1_{0FCE58C6-01D1-4EE4-89D5-FCD886D85FD3}" xr6:coauthVersionLast="47" xr6:coauthVersionMax="47" xr10:uidLastSave="{00000000-0000-0000-0000-000000000000}"/>
  <bookViews>
    <workbookView xWindow="105" yWindow="15" windowWidth="14760" windowHeight="12480"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费"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Sheet1" sheetId="81" r:id="rId21"/>
    <sheet name="基准地价修正" sheetId="43" state="hidden"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Q20" i="81" l="1"/>
  <c r="BQ19" i="81"/>
  <c r="H32" i="80"/>
  <c r="E5" i="40" l="1"/>
  <c r="I5" i="40" l="1"/>
  <c r="G5" i="40"/>
  <c r="D109" i="40"/>
  <c r="E109" i="40" s="1"/>
  <c r="F109" i="40" s="1"/>
  <c r="I34" i="40"/>
  <c r="G34" i="40"/>
  <c r="E34" i="40"/>
  <c r="I7" i="40"/>
  <c r="G7" i="40"/>
  <c r="E7" i="40"/>
  <c r="BO14" i="81"/>
  <c r="BQ15" i="81" s="1"/>
  <c r="BQ16" i="81" s="1"/>
  <c r="BO2" i="81" s="1"/>
  <c r="BR2" i="81" s="1"/>
  <c r="E41" i="40" l="1"/>
  <c r="BO4" i="81"/>
  <c r="BO3" i="81"/>
  <c r="H37" i="80"/>
  <c r="H39" i="80" s="1"/>
  <c r="I13" i="4"/>
  <c r="H34" i="80"/>
  <c r="D25" i="80"/>
  <c r="E25" i="80" s="1"/>
  <c r="C22" i="80"/>
  <c r="E22" i="80" s="1"/>
  <c r="A3" i="3"/>
  <c r="G13" i="80"/>
  <c r="I2" i="80" s="1"/>
  <c r="BR4" i="81" l="1"/>
  <c r="I41" i="40" s="1"/>
  <c r="N6" i="1"/>
  <c r="Y6" i="1" s="1"/>
  <c r="G14" i="80"/>
  <c r="BR3" i="81"/>
  <c r="G41" i="40" s="1"/>
  <c r="V46" i="80" l="1"/>
  <c r="U6" i="1" s="1"/>
  <c r="C50" i="80"/>
  <c r="E50" i="80" s="1"/>
  <c r="C49" i="80"/>
  <c r="E49" i="80" s="1"/>
  <c r="E51" i="80" s="1"/>
  <c r="D51" i="80" s="1"/>
  <c r="C21" i="80"/>
  <c r="I13" i="3"/>
  <c r="F19" i="6" s="1"/>
  <c r="E21" i="80" l="1"/>
  <c r="E20" i="80" s="1"/>
  <c r="C20" i="80"/>
  <c r="C23" i="80" l="1"/>
  <c r="E23" i="80" s="1"/>
  <c r="C24" i="80"/>
  <c r="E24" i="80" s="1"/>
  <c r="C26" i="80"/>
  <c r="D20" i="80"/>
  <c r="D3" i="4"/>
  <c r="G14" i="73"/>
  <c r="F14" i="73"/>
  <c r="E14" i="73"/>
  <c r="E26" i="80" l="1"/>
  <c r="D26"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26" i="80" l="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Z6" i="1" s="1"/>
  <c r="N28" i="79"/>
  <c r="S17" i="79"/>
  <c r="AD32" i="79"/>
  <c r="Z3"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D7" i="78"/>
  <c r="D6" i="78"/>
  <c r="D5" i="78"/>
  <c r="H100" i="43" l="1"/>
  <c r="H97" i="43"/>
  <c r="H95" i="43"/>
  <c r="H94" i="43"/>
  <c r="H98" i="43"/>
  <c r="H93" i="43"/>
  <c r="H101" i="43"/>
  <c r="H99" i="43"/>
  <c r="H96" i="43"/>
  <c r="G23" i="78"/>
  <c r="G24" i="78"/>
  <c r="G25"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s="1"/>
  <c r="Q38" i="71"/>
  <c r="P38" i="71"/>
  <c r="O38" i="71"/>
  <c r="Y38" i="71" s="1"/>
  <c r="Z38" i="71" s="1"/>
  <c r="N38" i="71"/>
  <c r="F38" i="71"/>
  <c r="F39" i="71" s="1"/>
  <c r="Q37" i="71"/>
  <c r="P37" i="71"/>
  <c r="O37" i="71"/>
  <c r="N37" i="71"/>
  <c r="B38" i="71" s="1"/>
  <c r="B39" i="71" s="1"/>
  <c r="B40" i="71" s="1"/>
  <c r="S40" i="71" s="1"/>
  <c r="D37" i="71"/>
  <c r="Q36" i="71"/>
  <c r="P36" i="71"/>
  <c r="O36" i="71"/>
  <c r="N36" i="71"/>
  <c r="Q35" i="71"/>
  <c r="AB35" i="71" s="1"/>
  <c r="P35" i="71"/>
  <c r="O35" i="71"/>
  <c r="N35" i="71"/>
  <c r="Q34" i="71"/>
  <c r="AB34" i="71"/>
  <c r="P34" i="71"/>
  <c r="O34" i="71"/>
  <c r="N34" i="71"/>
  <c r="Q33" i="71"/>
  <c r="F34" i="71" s="1"/>
  <c r="F35" i="71" s="1"/>
  <c r="F36" i="71" s="1"/>
  <c r="V36" i="71" s="1"/>
  <c r="P33" i="71"/>
  <c r="O33" i="71"/>
  <c r="C34" i="71" s="1"/>
  <c r="D34" i="71" s="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E34" i="71"/>
  <c r="C30" i="71"/>
  <c r="X34" i="71"/>
  <c r="C38" i="71"/>
  <c r="D38" i="71" s="1"/>
  <c r="B28" i="71"/>
  <c r="B27" i="71" s="1"/>
  <c r="B26" i="71" s="1"/>
  <c r="D3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E79" i="71"/>
  <c r="E78" i="71" s="1"/>
  <c r="D80" i="71"/>
  <c r="C87" i="71"/>
  <c r="C86" i="71" s="1"/>
  <c r="D86" i="71" s="1"/>
  <c r="F28" i="71"/>
  <c r="F27" i="71" s="1"/>
  <c r="F26" i="71" s="1"/>
  <c r="D63" i="71"/>
  <c r="C74" i="71"/>
  <c r="D74" i="71" s="1"/>
  <c r="D8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A496" i="3" s="1"/>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AZ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A511" i="3" s="1"/>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AZ532" i="3" s="1"/>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L541" i="3" s="1"/>
  <c r="AZ541" i="3" s="1"/>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A564" i="3" s="1"/>
  <c r="BF564" i="3"/>
  <c r="BG564" i="3"/>
  <c r="BH564" i="3"/>
  <c r="BI564" i="3"/>
  <c r="BJ564" i="3"/>
  <c r="BK564" i="3"/>
  <c r="BM564" i="3"/>
  <c r="BN564" i="3"/>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L572" i="3" s="1"/>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Q23" i="36"/>
  <c r="Z23" i="36"/>
  <c r="AB23" i="36"/>
  <c r="F23" i="36"/>
  <c r="AA23" i="36"/>
  <c r="Q22" i="36"/>
  <c r="Z22" i="36" s="1"/>
  <c r="J22" i="36"/>
  <c r="AC22" i="36" s="1"/>
  <c r="Q20" i="36"/>
  <c r="Z20" i="36" s="1"/>
  <c r="Q16" i="36"/>
  <c r="Z16" i="36"/>
  <c r="Q14" i="36"/>
  <c r="Z14" i="36" s="1"/>
  <c r="Q13" i="36"/>
  <c r="Z13" i="36"/>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A40" i="33"/>
  <c r="Q39" i="33"/>
  <c r="Z39" i="33" s="1"/>
  <c r="J39" i="33"/>
  <c r="W39" i="33" s="1"/>
  <c r="AC39" i="33"/>
  <c r="Q38" i="33"/>
  <c r="Z38" i="33" s="1"/>
  <c r="J38" i="33"/>
  <c r="AC38" i="33"/>
  <c r="H38" i="33"/>
  <c r="AB38" i="33" s="1"/>
  <c r="F38" i="33"/>
  <c r="AA38" i="33"/>
  <c r="Q37" i="33"/>
  <c r="Z37" i="33" s="1"/>
  <c r="Q36" i="33"/>
  <c r="Z36" i="33" s="1"/>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J44" i="21" s="1"/>
  <c r="AC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J45" i="39"/>
  <c r="W45" i="39" s="1"/>
  <c r="J44" i="39"/>
  <c r="AC44" i="39"/>
  <c r="F36" i="39"/>
  <c r="S36" i="39" s="1"/>
  <c r="H36" i="39"/>
  <c r="AB36" i="39" s="1"/>
  <c r="F35" i="39"/>
  <c r="AA35" i="39"/>
  <c r="J36" i="39"/>
  <c r="AC36" i="39" s="1"/>
  <c r="U9" i="39"/>
  <c r="W40" i="39"/>
  <c r="W31" i="37"/>
  <c r="E103" i="37"/>
  <c r="F103" i="37"/>
  <c r="G103" i="37" s="1"/>
  <c r="H103" i="37" s="1"/>
  <c r="I103" i="37" s="1"/>
  <c r="J103" i="37" s="1"/>
  <c r="K103" i="37" s="1"/>
  <c r="L103" i="37" s="1"/>
  <c r="M103" i="37" s="1"/>
  <c r="F39" i="37"/>
  <c r="S39" i="37" s="1"/>
  <c r="F29" i="36"/>
  <c r="AA29" i="36" s="1"/>
  <c r="F16" i="36"/>
  <c r="AA16" i="36" s="1"/>
  <c r="W28" i="36"/>
  <c r="H22" i="35"/>
  <c r="AB22" i="35" s="1"/>
  <c r="W28" i="35"/>
  <c r="U31" i="35"/>
  <c r="W22" i="35"/>
  <c r="S31" i="35"/>
  <c r="U34" i="35"/>
  <c r="F36" i="34"/>
  <c r="J35" i="34"/>
  <c r="H39" i="33"/>
  <c r="AB39" i="33"/>
  <c r="F26" i="33"/>
  <c r="AA26" i="33"/>
  <c r="U35" i="33"/>
  <c r="S40" i="33"/>
  <c r="H39" i="37"/>
  <c r="AB39" i="37" s="1"/>
  <c r="S27" i="35"/>
  <c r="F11" i="40"/>
  <c r="AA11" i="40" s="1"/>
  <c r="H11" i="40"/>
  <c r="AB11" i="40" s="1"/>
  <c r="W8" i="40"/>
  <c r="AA9" i="40"/>
  <c r="S38"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H11" i="39"/>
  <c r="S40" i="39"/>
  <c r="H32" i="33"/>
  <c r="AB32" i="33" s="1"/>
  <c r="H11" i="21"/>
  <c r="U11" i="21" s="1"/>
  <c r="J11" i="21"/>
  <c r="W11" i="21" s="1"/>
  <c r="H37" i="40"/>
  <c r="U37" i="40" s="1"/>
  <c r="F35" i="40"/>
  <c r="AA35" i="40"/>
  <c r="H17" i="40"/>
  <c r="U17" i="40" s="1"/>
  <c r="J15" i="40"/>
  <c r="W15" i="40" s="1"/>
  <c r="J11" i="40"/>
  <c r="W11" i="40" s="1"/>
  <c r="AB8" i="39"/>
  <c r="AC12" i="34"/>
  <c r="AB12" i="35"/>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6" i="40"/>
  <c r="AA36" i="40" s="1"/>
  <c r="H28" i="40"/>
  <c r="U28" i="40" s="1"/>
  <c r="F17" i="40"/>
  <c r="AA17" i="40" s="1"/>
  <c r="J17" i="40"/>
  <c r="W17" i="40" s="1"/>
  <c r="F15" i="40"/>
  <c r="S15" i="40" s="1"/>
  <c r="H15" i="40"/>
  <c r="AB15" i="40" s="1"/>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AA17" i="34" s="1"/>
  <c r="J17" i="34"/>
  <c r="W17" i="34" s="1"/>
  <c r="S41" i="33"/>
  <c r="H37" i="33"/>
  <c r="AB37" i="33" s="1"/>
  <c r="H15" i="33"/>
  <c r="AB15" i="33" s="1"/>
  <c r="H11" i="33"/>
  <c r="AB11" i="33" s="1"/>
  <c r="F28" i="40"/>
  <c r="AA28" i="40" s="1"/>
  <c r="AA42" i="34"/>
  <c r="S42" i="34"/>
  <c r="AC38" i="34"/>
  <c r="AA38" i="34"/>
  <c r="J37" i="34"/>
  <c r="AC37" i="34" s="1"/>
  <c r="J11" i="33"/>
  <c r="W11" i="33" s="1"/>
  <c r="S28" i="34"/>
  <c r="M123" i="21"/>
  <c r="J42" i="21"/>
  <c r="AC42" i="21"/>
  <c r="H42" i="21"/>
  <c r="U42" i="21" s="1"/>
  <c r="J44" i="34"/>
  <c r="F44" i="34"/>
  <c r="J10" i="35"/>
  <c r="AC10" i="35" s="1"/>
  <c r="H14" i="21"/>
  <c r="U14" i="21" s="1"/>
  <c r="H28" i="21"/>
  <c r="AB28" i="21" s="1"/>
  <c r="F28" i="21"/>
  <c r="AA28" i="21"/>
  <c r="J28" i="21"/>
  <c r="H44" i="21"/>
  <c r="U44" i="21" s="1"/>
  <c r="F44" i="21"/>
  <c r="AA44" i="21" s="1"/>
  <c r="H46" i="21"/>
  <c r="U46" i="21"/>
  <c r="J46" i="2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F13" i="33"/>
  <c r="S13" i="33" s="1"/>
  <c r="J29" i="33"/>
  <c r="H29" i="33"/>
  <c r="U29" i="33"/>
  <c r="F29" i="33"/>
  <c r="S29" i="33" s="1"/>
  <c r="J31" i="33"/>
  <c r="H31" i="33"/>
  <c r="F31" i="33"/>
  <c r="H45" i="33"/>
  <c r="J45" i="33"/>
  <c r="F45" i="33"/>
  <c r="AA45" i="33"/>
  <c r="J14" i="34"/>
  <c r="W14" i="34" s="1"/>
  <c r="F14" i="34"/>
  <c r="H14" i="34"/>
  <c r="H30" i="34"/>
  <c r="F30" i="34"/>
  <c r="S30" i="34" s="1"/>
  <c r="J30" i="34"/>
  <c r="H32" i="34"/>
  <c r="F32" i="34"/>
  <c r="J32" i="34"/>
  <c r="W32" i="34" s="1"/>
  <c r="H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AA14" i="33" s="1"/>
  <c r="S14" i="33"/>
  <c r="J14" i="33"/>
  <c r="J30" i="33"/>
  <c r="H44" i="33"/>
  <c r="J44" i="33"/>
  <c r="AC44" i="33"/>
  <c r="F44" i="33"/>
  <c r="H13" i="34"/>
  <c r="U13" i="34" s="1"/>
  <c r="J13" i="34"/>
  <c r="W13" i="34" s="1"/>
  <c r="F13" i="34"/>
  <c r="AA13" i="34" s="1"/>
  <c r="J29" i="34"/>
  <c r="J31" i="34"/>
  <c r="W31" i="34" s="1"/>
  <c r="AC31" i="34"/>
  <c r="H31" i="34"/>
  <c r="F31" i="34"/>
  <c r="S31" i="34" s="1"/>
  <c r="J45" i="34"/>
  <c r="W45" i="34" s="1"/>
  <c r="H47" i="34"/>
  <c r="U47" i="34" s="1"/>
  <c r="F47" i="34"/>
  <c r="S47" i="34" s="1"/>
  <c r="J47" i="34"/>
  <c r="AC47" i="34"/>
  <c r="J13" i="35"/>
  <c r="AC13" i="35" s="1"/>
  <c r="F25" i="35"/>
  <c r="S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37"/>
  <c r="J27" i="37"/>
  <c r="AC27" i="37"/>
  <c r="J36" i="37"/>
  <c r="AC36" i="37" s="1"/>
  <c r="J10" i="36"/>
  <c r="AC10" i="36" s="1"/>
  <c r="AB26" i="33"/>
  <c r="S45" i="33"/>
  <c r="F17" i="21"/>
  <c r="AA17" i="21" s="1"/>
  <c r="H17" i="21"/>
  <c r="AB17" i="21" s="1"/>
  <c r="F15" i="21"/>
  <c r="S15" i="21" s="1"/>
  <c r="J41" i="39"/>
  <c r="W41" i="39" s="1"/>
  <c r="W44" i="39"/>
  <c r="S35" i="39"/>
  <c r="G544" i="3"/>
  <c r="G536" i="3"/>
  <c r="G535" i="3"/>
  <c r="G528" i="3"/>
  <c r="G527" i="3"/>
  <c r="G514" i="3"/>
  <c r="G510" i="3"/>
  <c r="G508" i="3"/>
  <c r="G500" i="3"/>
  <c r="G496" i="3"/>
  <c r="G584" i="3"/>
  <c r="G576" i="3"/>
  <c r="G572" i="3"/>
  <c r="G568" i="3"/>
  <c r="G560" i="3"/>
  <c r="G554" i="3"/>
  <c r="G550" i="3"/>
  <c r="BL584" i="3"/>
  <c r="BL576" i="3"/>
  <c r="BL564" i="3"/>
  <c r="BL560" i="3"/>
  <c r="BL542" i="3"/>
  <c r="BL538" i="3"/>
  <c r="AZ538" i="3" s="1"/>
  <c r="BL526" i="3"/>
  <c r="BL522" i="3"/>
  <c r="AZ522" i="3" s="1"/>
  <c r="BL506" i="3"/>
  <c r="BL502" i="3"/>
  <c r="BL494" i="3"/>
  <c r="BL582" i="3"/>
  <c r="BL578" i="3"/>
  <c r="BL566" i="3"/>
  <c r="BL562" i="3"/>
  <c r="BL544" i="3"/>
  <c r="BL540" i="3"/>
  <c r="BL532" i="3"/>
  <c r="G529" i="3"/>
  <c r="BL524" i="3"/>
  <c r="BL518" i="3"/>
  <c r="BL504" i="3"/>
  <c r="BL500" i="3"/>
  <c r="G493" i="3"/>
  <c r="BA584" i="3"/>
  <c r="AZ584" i="3" s="1"/>
  <c r="BA582" i="3"/>
  <c r="AZ582" i="3" s="1"/>
  <c r="BA574" i="3"/>
  <c r="AZ574" i="3" s="1"/>
  <c r="BA568" i="3"/>
  <c r="BA566" i="3"/>
  <c r="AZ566" i="3" s="1"/>
  <c r="BA560" i="3"/>
  <c r="BA558" i="3"/>
  <c r="AZ558" i="3" s="1"/>
  <c r="BA552" i="3"/>
  <c r="BA548" i="3"/>
  <c r="BA542" i="3"/>
  <c r="AZ542" i="3" s="1"/>
  <c r="BA540" i="3"/>
  <c r="BA534" i="3"/>
  <c r="AZ534" i="3" s="1"/>
  <c r="BA530" i="3"/>
  <c r="BA524" i="3"/>
  <c r="AZ524" i="3" s="1"/>
  <c r="BA522" i="3"/>
  <c r="BA516" i="3"/>
  <c r="BA514" i="3"/>
  <c r="AZ514" i="3" s="1"/>
  <c r="BA508" i="3"/>
  <c r="BA506" i="3"/>
  <c r="BA502" i="3"/>
  <c r="BA500" i="3"/>
  <c r="BA498" i="3"/>
  <c r="AZ498" i="3" s="1"/>
  <c r="BA494" i="3"/>
  <c r="BA583" i="3"/>
  <c r="BA575" i="3"/>
  <c r="BA569" i="3"/>
  <c r="BA567" i="3"/>
  <c r="BA561" i="3"/>
  <c r="BA559" i="3"/>
  <c r="BA549" i="3"/>
  <c r="BA547" i="3"/>
  <c r="BA541" i="3"/>
  <c r="BA539" i="3"/>
  <c r="BA533" i="3"/>
  <c r="BA531" i="3"/>
  <c r="BA525" i="3"/>
  <c r="BA523" i="3"/>
  <c r="BA515" i="3"/>
  <c r="BA513" i="3"/>
  <c r="AZ513" i="3" s="1"/>
  <c r="BA505" i="3"/>
  <c r="BA503" i="3"/>
  <c r="BA499" i="3"/>
  <c r="BA497" i="3"/>
  <c r="BA495" i="3"/>
  <c r="G583" i="3"/>
  <c r="G581" i="3"/>
  <c r="G579" i="3"/>
  <c r="G577" i="3"/>
  <c r="G573" i="3"/>
  <c r="G571" i="3"/>
  <c r="G569" i="3"/>
  <c r="G567" i="3"/>
  <c r="G565" i="3"/>
  <c r="G561" i="3"/>
  <c r="BL558" i="3"/>
  <c r="BA557" i="3"/>
  <c r="AC557" i="3"/>
  <c r="BQ557" i="3"/>
  <c r="BQ583" i="3"/>
  <c r="BL583" i="3" s="1"/>
  <c r="BQ581" i="3"/>
  <c r="BL581" i="3" s="1"/>
  <c r="BQ579" i="3"/>
  <c r="BQ577" i="3"/>
  <c r="BQ575" i="3"/>
  <c r="BL575" i="3"/>
  <c r="BQ573" i="3"/>
  <c r="BQ571" i="3"/>
  <c r="BQ569" i="3"/>
  <c r="BL569" i="3" s="1"/>
  <c r="AZ569" i="3" s="1"/>
  <c r="BQ567" i="3"/>
  <c r="BQ565" i="3"/>
  <c r="BQ563" i="3"/>
  <c r="BQ561" i="3"/>
  <c r="BL561" i="3"/>
  <c r="AZ561" i="3" s="1"/>
  <c r="BQ559" i="3"/>
  <c r="BL559" i="3" s="1"/>
  <c r="G559" i="3"/>
  <c r="G555" i="3"/>
  <c r="G553" i="3"/>
  <c r="G549" i="3"/>
  <c r="G545" i="3"/>
  <c r="G543" i="3"/>
  <c r="G541" i="3"/>
  <c r="G537" i="3"/>
  <c r="BQ555" i="3"/>
  <c r="BL555" i="3"/>
  <c r="BQ553" i="3"/>
  <c r="BQ551" i="3"/>
  <c r="BL551" i="3"/>
  <c r="BQ549" i="3"/>
  <c r="BQ547" i="3"/>
  <c r="BQ545" i="3"/>
  <c r="BL545" i="3"/>
  <c r="BQ543" i="3"/>
  <c r="BL543" i="3" s="1"/>
  <c r="BQ541" i="3"/>
  <c r="BQ539" i="3"/>
  <c r="BL539" i="3" s="1"/>
  <c r="BQ537" i="3"/>
  <c r="BL537" i="3" s="1"/>
  <c r="BQ535" i="3"/>
  <c r="BQ533" i="3"/>
  <c r="BL533" i="3"/>
  <c r="AZ533" i="3" s="1"/>
  <c r="BQ531" i="3"/>
  <c r="BL531" i="3" s="1"/>
  <c r="BQ529" i="3"/>
  <c r="BQ527" i="3"/>
  <c r="BQ525" i="3"/>
  <c r="BL525" i="3" s="1"/>
  <c r="AZ525" i="3" s="1"/>
  <c r="BQ523" i="3"/>
  <c r="BL523" i="3" s="1"/>
  <c r="AC521" i="3"/>
  <c r="G521" i="3" s="1"/>
  <c r="BQ521" i="3"/>
  <c r="BL521" i="3" s="1"/>
  <c r="BL520" i="3"/>
  <c r="G515" i="3"/>
  <c r="G513" i="3"/>
  <c r="BQ519" i="3"/>
  <c r="BQ517" i="3"/>
  <c r="BL517" i="3" s="1"/>
  <c r="BQ515" i="3"/>
  <c r="BL515" i="3" s="1"/>
  <c r="AZ515" i="3" s="1"/>
  <c r="BQ513" i="3"/>
  <c r="BQ511" i="3"/>
  <c r="BL511" i="3" s="1"/>
  <c r="BA509" i="3"/>
  <c r="AC509" i="3"/>
  <c r="BQ509" i="3"/>
  <c r="BL508" i="3"/>
  <c r="G507" i="3"/>
  <c r="G503" i="3"/>
  <c r="G501" i="3"/>
  <c r="G499" i="3"/>
  <c r="G495" i="3"/>
  <c r="BQ507" i="3"/>
  <c r="BQ505" i="3"/>
  <c r="BL505" i="3" s="1"/>
  <c r="AZ505" i="3" s="1"/>
  <c r="BQ503" i="3"/>
  <c r="BQ501" i="3"/>
  <c r="BL501" i="3" s="1"/>
  <c r="BQ499" i="3"/>
  <c r="BL499" i="3" s="1"/>
  <c r="BQ497" i="3"/>
  <c r="BL497" i="3" s="1"/>
  <c r="AZ497" i="3" s="1"/>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14" i="40"/>
  <c r="W23" i="35"/>
  <c r="U39" i="37"/>
  <c r="W47" i="34"/>
  <c r="AA13"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F94" i="37"/>
  <c r="G94" i="37"/>
  <c r="H94" i="37" s="1"/>
  <c r="I94" i="37" s="1"/>
  <c r="J94" i="37" s="1"/>
  <c r="K94" i="37" s="1"/>
  <c r="L94" i="37" s="1"/>
  <c r="M94" i="37" s="1"/>
  <c r="H31" i="37"/>
  <c r="U31" i="37"/>
  <c r="J15" i="37"/>
  <c r="W15" i="37"/>
  <c r="AT6" i="3"/>
  <c r="H19" i="40"/>
  <c r="U19" i="40" s="1"/>
  <c r="F88" i="40"/>
  <c r="G88" i="40" s="1"/>
  <c r="F19" i="40"/>
  <c r="S19" i="40" s="1"/>
  <c r="AC13"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30" i="3"/>
  <c r="G546" i="3"/>
  <c r="G524" i="3"/>
  <c r="G303" i="3"/>
  <c r="BL304" i="3"/>
  <c r="G305" i="3"/>
  <c r="BL306" i="3"/>
  <c r="BA308" i="3"/>
  <c r="AZ308" i="3" s="1"/>
  <c r="BA309" i="3"/>
  <c r="BL309" i="3"/>
  <c r="G310" i="3"/>
  <c r="BA311" i="3"/>
  <c r="G319" i="3"/>
  <c r="BL320" i="3"/>
  <c r="AZ320" i="3" s="1"/>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A16" i="3"/>
  <c r="AZ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BA379" i="3"/>
  <c r="AZ379" i="3" s="1"/>
  <c r="BL380" i="3"/>
  <c r="G381" i="3"/>
  <c r="BA383" i="3"/>
  <c r="AZ383" i="3" s="1"/>
  <c r="BL384" i="3"/>
  <c r="G385" i="3"/>
  <c r="BA387" i="3"/>
  <c r="BL388" i="3"/>
  <c r="G389" i="3"/>
  <c r="BA391" i="3"/>
  <c r="AZ391" i="3" s="1"/>
  <c r="BL392" i="3"/>
  <c r="G393" i="3"/>
  <c r="BO5" i="3"/>
  <c r="BM5" i="3"/>
  <c r="BJ5" i="3"/>
  <c r="BF5" i="3"/>
  <c r="AZ325" i="3"/>
  <c r="AZ341" i="3"/>
  <c r="AC5" i="3"/>
  <c r="AZ506" i="3"/>
  <c r="AZ496" i="3"/>
  <c r="G548" i="3"/>
  <c r="G538" i="3"/>
  <c r="G520" i="3"/>
  <c r="G502" i="3"/>
  <c r="BS5" i="3"/>
  <c r="BP5" i="3"/>
  <c r="BN5" i="3"/>
  <c r="G29" i="6" s="1"/>
  <c r="BK5" i="3"/>
  <c r="BI5" i="3"/>
  <c r="BG5" i="3"/>
  <c r="BE5" i="3"/>
  <c r="BC5" i="3"/>
  <c r="G17" i="3"/>
  <c r="BA17" i="3"/>
  <c r="AZ356" i="3"/>
  <c r="BA15" i="3"/>
  <c r="BB5" i="3"/>
  <c r="BR5" i="3"/>
  <c r="AZ380" i="3"/>
  <c r="AZ392" i="3"/>
  <c r="AZ499" i="3"/>
  <c r="G509" i="3"/>
  <c r="BL493" i="3"/>
  <c r="AZ493" i="3" s="1"/>
  <c r="F83" i="43"/>
  <c r="H85" i="43" s="1"/>
  <c r="F50" i="43"/>
  <c r="H54" i="43" s="1"/>
  <c r="F72" i="43"/>
  <c r="H75" i="43" s="1"/>
  <c r="U17" i="39"/>
  <c r="S14" i="35"/>
  <c r="U43" i="21"/>
  <c r="U35" i="21"/>
  <c r="AC35" i="21"/>
  <c r="G10" i="1"/>
  <c r="AC11" i="39"/>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A32" i="36"/>
  <c r="S32" i="36"/>
  <c r="BL14" i="3"/>
  <c r="AC13" i="34"/>
  <c r="AA47" i="34"/>
  <c r="W28" i="37"/>
  <c r="S19" i="39"/>
  <c r="F12" i="33"/>
  <c r="H12" i="39"/>
  <c r="AB12" i="39" s="1"/>
  <c r="F39" i="40"/>
  <c r="BA14" i="3"/>
  <c r="B12" i="1"/>
  <c r="E12" i="1" s="1"/>
  <c r="B10" i="1"/>
  <c r="E10" i="1" s="1"/>
  <c r="K12" i="1"/>
  <c r="M12" i="1" s="1"/>
  <c r="S13" i="1"/>
  <c r="AR13" i="1" s="1"/>
  <c r="R13" i="1"/>
  <c r="J51" i="67"/>
  <c r="C42" i="1"/>
  <c r="C24" i="12" s="1"/>
  <c r="AC34" i="33"/>
  <c r="AA34" i="33"/>
  <c r="B41" i="1"/>
  <c r="F48" i="9" s="1"/>
  <c r="O52" i="9" s="1"/>
  <c r="S35" i="40"/>
  <c r="U35" i="40"/>
  <c r="W38" i="40"/>
  <c r="S17" i="40"/>
  <c r="AB27" i="40"/>
  <c r="S28" i="40"/>
  <c r="AA27" i="40"/>
  <c r="U37" i="39"/>
  <c r="S43"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AA26" i="36"/>
  <c r="AA34" i="36"/>
  <c r="AC26" i="36"/>
  <c r="AA22" i="36"/>
  <c r="W14" i="36"/>
  <c r="AB14" i="36"/>
  <c r="U22" i="36"/>
  <c r="S16" i="36"/>
  <c r="AA25" i="36"/>
  <c r="U24" i="36"/>
  <c r="U23" i="36"/>
  <c r="AB20" i="36"/>
  <c r="U16" i="36"/>
  <c r="S14" i="36"/>
  <c r="AA25" i="35"/>
  <c r="S23" i="35"/>
  <c r="W24"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25" i="34"/>
  <c r="U28" i="34"/>
  <c r="S17"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43" i="33"/>
  <c r="S43" i="33"/>
  <c r="F91" i="33"/>
  <c r="H27" i="33"/>
  <c r="U27" i="33" s="1"/>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D120" i="9"/>
  <c r="D121" i="9" s="1"/>
  <c r="D7" i="52" s="1"/>
  <c r="F34" i="67"/>
  <c r="F62" i="67" s="1"/>
  <c r="M20" i="67"/>
  <c r="F34" i="15"/>
  <c r="F62" i="15" s="1"/>
  <c r="G13" i="3"/>
  <c r="BA13" i="3"/>
  <c r="BL17" i="3"/>
  <c r="AZ17" i="3"/>
  <c r="J56" i="9"/>
  <c r="J57" i="9" s="1"/>
  <c r="J59" i="9" s="1"/>
  <c r="J61" i="9" s="1"/>
  <c r="A24" i="51"/>
  <c r="B18" i="72" s="1"/>
  <c r="E5" i="6"/>
  <c r="E32" i="6"/>
  <c r="G1" i="68"/>
  <c r="K1" i="12"/>
  <c r="E19" i="69"/>
  <c r="E19" i="68"/>
  <c r="E19" i="11"/>
  <c r="G22" i="69"/>
  <c r="G22" i="68"/>
  <c r="G26" i="12"/>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U32" i="40"/>
  <c r="AB31" i="40"/>
  <c r="AB28" i="40"/>
  <c r="W28" i="40"/>
  <c r="W27"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S23" i="39"/>
  <c r="AB39" i="39"/>
  <c r="W34" i="39"/>
  <c r="U38" i="39"/>
  <c r="S8" i="39"/>
  <c r="S20" i="36"/>
  <c r="AC25" i="36"/>
  <c r="U32" i="36"/>
  <c r="W29" i="36"/>
  <c r="AC20" i="36"/>
  <c r="U25" i="36"/>
  <c r="AB28" i="36"/>
  <c r="AA13" i="36"/>
  <c r="W9" i="36"/>
  <c r="W22" i="36"/>
  <c r="AB20"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U39" i="33"/>
  <c r="U38" i="33"/>
  <c r="S33" i="33"/>
  <c r="AB34" i="33"/>
  <c r="U44" i="33"/>
  <c r="AB44" i="33"/>
  <c r="AC14"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W17" i="21" s="1"/>
  <c r="AC19" i="21"/>
  <c r="W39"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W13" i="21"/>
  <c r="W42" i="21"/>
  <c r="AC45" i="21"/>
  <c r="F10" i="21"/>
  <c r="AA10" i="21" s="1"/>
  <c r="K145" i="21"/>
  <c r="W25" i="21"/>
  <c r="W31" i="21"/>
  <c r="S17" i="21"/>
  <c r="AA15" i="21"/>
  <c r="AC27" i="21"/>
  <c r="AC26" i="21"/>
  <c r="AB29" i="21"/>
  <c r="S28" i="21"/>
  <c r="AC34" i="21"/>
  <c r="AB36" i="21"/>
  <c r="C19" i="39"/>
  <c r="C15" i="40"/>
  <c r="C17" i="40"/>
  <c r="C21"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U21" i="39"/>
  <c r="AA21" i="39"/>
  <c r="S21" i="39"/>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J23" i="21"/>
  <c r="AC23" i="21" s="1"/>
  <c r="F85" i="21"/>
  <c r="G85" i="21" s="1"/>
  <c r="H23" i="21"/>
  <c r="AB23" i="21" s="1"/>
  <c r="AP7" i="1"/>
  <c r="AB45" i="21"/>
  <c r="AA32" i="21"/>
  <c r="S32" i="21"/>
  <c r="AB32" i="21"/>
  <c r="U32" i="21"/>
  <c r="U32" i="39"/>
  <c r="AC32" i="39"/>
  <c r="J63" i="37"/>
  <c r="K63" i="37" s="1"/>
  <c r="L63" i="37" s="1"/>
  <c r="M63" i="37" s="1"/>
  <c r="J11" i="37"/>
  <c r="AC11" i="37" s="1"/>
  <c r="J11" i="34"/>
  <c r="W11" i="34" s="1"/>
  <c r="AB36" i="33"/>
  <c r="W25" i="33"/>
  <c r="AC25" i="33"/>
  <c r="AB19" i="33"/>
  <c r="H109" i="9"/>
  <c r="AD3" i="71"/>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6" i="67"/>
  <c r="F7" i="73"/>
  <c r="M29" i="67"/>
  <c r="F38" i="67"/>
  <c r="F6" i="15"/>
  <c r="F43" i="15"/>
  <c r="E10" i="76"/>
  <c r="B11" i="76"/>
  <c r="F43" i="67"/>
  <c r="F16" i="15"/>
  <c r="F9" i="67"/>
  <c r="C76" i="67"/>
  <c r="L47" i="15"/>
  <c r="F4" i="73"/>
  <c r="M22" i="67"/>
  <c r="F13" i="67"/>
  <c r="J15" i="67"/>
  <c r="F8" i="67"/>
  <c r="B10" i="76"/>
  <c r="L48" i="67"/>
  <c r="M9" i="15"/>
  <c r="B8" i="76"/>
  <c r="F7" i="67"/>
  <c r="F38" i="15"/>
  <c r="M9" i="67"/>
  <c r="M8" i="67"/>
  <c r="E9" i="76"/>
  <c r="F6" i="73"/>
  <c r="E8" i="76"/>
  <c r="B13" i="76"/>
  <c r="F42" i="67"/>
  <c r="E7" i="76"/>
  <c r="M23" i="67"/>
  <c r="E13" i="76"/>
  <c r="F36" i="67"/>
  <c r="B7" i="76"/>
  <c r="F5" i="73"/>
  <c r="F20" i="31"/>
  <c r="M24" i="15"/>
  <c r="F42" i="15"/>
  <c r="B9" i="76"/>
  <c r="E11" i="76"/>
  <c r="F13" i="15"/>
  <c r="E2" i="69"/>
  <c r="F40" i="67"/>
  <c r="F6" i="67"/>
  <c r="M23" i="15"/>
  <c r="F3" i="73"/>
  <c r="E12" i="76"/>
  <c r="M24" i="67"/>
  <c r="L48" i="15"/>
  <c r="F37" i="67"/>
  <c r="M6" i="67"/>
  <c r="B12" i="76"/>
  <c r="M26" i="67"/>
  <c r="M29" i="15"/>
  <c r="M6" i="15"/>
  <c r="L47" i="67"/>
  <c r="M28" i="67"/>
  <c r="AO13" i="1"/>
  <c r="F26" i="67"/>
  <c r="AZ359" i="3" l="1"/>
  <c r="U15" i="21"/>
  <c r="AZ369" i="3"/>
  <c r="AZ390" i="3"/>
  <c r="AZ351" i="3"/>
  <c r="AZ159" i="3"/>
  <c r="W12" i="37"/>
  <c r="AC12" i="37"/>
  <c r="AZ559" i="3"/>
  <c r="BA587" i="3"/>
  <c r="BA586" i="3"/>
  <c r="J14" i="21"/>
  <c r="F14" i="21"/>
  <c r="H30" i="21"/>
  <c r="F30" i="21"/>
  <c r="J30" i="21"/>
  <c r="AC33" i="33"/>
  <c r="W33" i="33"/>
  <c r="BL567" i="3"/>
  <c r="BL563" i="3"/>
  <c r="AZ563" i="3" s="1"/>
  <c r="AZ556" i="3"/>
  <c r="AZ554" i="3"/>
  <c r="H5" i="3"/>
  <c r="AZ543" i="3"/>
  <c r="AZ536" i="3"/>
  <c r="AZ528" i="3"/>
  <c r="AZ512" i="3"/>
  <c r="AZ510" i="3"/>
  <c r="AZ163" i="3"/>
  <c r="S44" i="33"/>
  <c r="AA44" i="33"/>
  <c r="W11" i="35"/>
  <c r="AC11" i="35"/>
  <c r="U46" i="34"/>
  <c r="AB46" i="34"/>
  <c r="W45" i="33"/>
  <c r="AC45" i="33"/>
  <c r="W28" i="21"/>
  <c r="AC28" i="21"/>
  <c r="AB34" i="21"/>
  <c r="U34" i="21"/>
  <c r="H33" i="36"/>
  <c r="J33" i="36"/>
  <c r="AC33" i="36" s="1"/>
  <c r="AB38" i="40"/>
  <c r="U38" i="40"/>
  <c r="J14" i="40"/>
  <c r="F14" i="40"/>
  <c r="J32" i="40"/>
  <c r="F32" i="40"/>
  <c r="BA581" i="3"/>
  <c r="AZ572" i="3"/>
  <c r="AZ570" i="3"/>
  <c r="AC17" i="21"/>
  <c r="U12" i="39"/>
  <c r="AZ345" i="3"/>
  <c r="AZ389" i="3"/>
  <c r="AZ336" i="3"/>
  <c r="AZ376" i="3"/>
  <c r="AZ309" i="3"/>
  <c r="F9" i="33"/>
  <c r="AA9" i="33" s="1"/>
  <c r="H9" i="33"/>
  <c r="H28" i="33"/>
  <c r="J28" i="33"/>
  <c r="AB34" i="34"/>
  <c r="U34" i="34"/>
  <c r="H36" i="35"/>
  <c r="J36" i="35"/>
  <c r="AC36" i="35" s="1"/>
  <c r="W27" i="35"/>
  <c r="AC27" i="35"/>
  <c r="W23" i="21"/>
  <c r="S15" i="37"/>
  <c r="AZ372" i="3"/>
  <c r="AZ347" i="3"/>
  <c r="AZ560" i="3"/>
  <c r="S12" i="36"/>
  <c r="AA12" i="36"/>
  <c r="B97" i="43"/>
  <c r="B75" i="43"/>
  <c r="AB40" i="33"/>
  <c r="U40" i="33"/>
  <c r="J12" i="33"/>
  <c r="H12" i="33"/>
  <c r="U12" i="33" s="1"/>
  <c r="H30" i="33"/>
  <c r="F30" i="33"/>
  <c r="J46" i="33"/>
  <c r="F46" i="33"/>
  <c r="H46" i="33"/>
  <c r="F29" i="34"/>
  <c r="H29" i="34"/>
  <c r="F45" i="34"/>
  <c r="H45" i="34"/>
  <c r="H13" i="35"/>
  <c r="F13" i="35"/>
  <c r="H25" i="35"/>
  <c r="J25" i="35"/>
  <c r="U12" i="36"/>
  <c r="AB12" i="36"/>
  <c r="H45" i="39"/>
  <c r="F45" i="39"/>
  <c r="AB9" i="40"/>
  <c r="U9" i="40"/>
  <c r="AZ511" i="3"/>
  <c r="AZ521" i="3"/>
  <c r="AZ516" i="3"/>
  <c r="AZ552" i="3"/>
  <c r="G582" i="3"/>
  <c r="G574" i="3"/>
  <c r="AZ342" i="3"/>
  <c r="AZ337" i="3"/>
  <c r="AZ183" i="3"/>
  <c r="BL509" i="3"/>
  <c r="AZ509" i="3" s="1"/>
  <c r="BL519" i="3"/>
  <c r="AZ519" i="3" s="1"/>
  <c r="BL527" i="3"/>
  <c r="AZ527" i="3" s="1"/>
  <c r="BL565" i="3"/>
  <c r="AZ565" i="3" s="1"/>
  <c r="BL571" i="3"/>
  <c r="BL577" i="3"/>
  <c r="AZ577" i="3" s="1"/>
  <c r="BL557" i="3"/>
  <c r="AZ557" i="3" s="1"/>
  <c r="C25" i="39"/>
  <c r="J25" i="37"/>
  <c r="BL495" i="3"/>
  <c r="BL503" i="3"/>
  <c r="AZ503" i="3" s="1"/>
  <c r="BL529" i="3"/>
  <c r="BL535" i="3"/>
  <c r="BL547" i="3"/>
  <c r="BL553" i="3"/>
  <c r="AZ553" i="3" s="1"/>
  <c r="BL573" i="3"/>
  <c r="AZ573" i="3" s="1"/>
  <c r="BL579" i="3"/>
  <c r="AZ579" i="3" s="1"/>
  <c r="G557" i="3"/>
  <c r="F24" i="36"/>
  <c r="F37" i="39"/>
  <c r="H36" i="40"/>
  <c r="AB36" i="40" s="1"/>
  <c r="J35" i="39"/>
  <c r="AC35" i="39" s="1"/>
  <c r="W41" i="33"/>
  <c r="AC41" i="33"/>
  <c r="BA585" i="3"/>
  <c r="F9" i="1"/>
  <c r="G9" i="1" s="1"/>
  <c r="B11" i="78"/>
  <c r="F11" i="78" s="1"/>
  <c r="BP14" i="81"/>
  <c r="BL400" i="3"/>
  <c r="G403" i="3"/>
  <c r="G408" i="3"/>
  <c r="G409" i="3"/>
  <c r="BL412" i="3"/>
  <c r="G413" i="3"/>
  <c r="G419" i="3"/>
  <c r="BA419" i="3"/>
  <c r="AZ419" i="3" s="1"/>
  <c r="BA424" i="3"/>
  <c r="BL427" i="3"/>
  <c r="G429" i="3"/>
  <c r="BL433" i="3"/>
  <c r="BL434" i="3"/>
  <c r="G436" i="3"/>
  <c r="G441" i="3"/>
  <c r="BA448" i="3"/>
  <c r="BL455" i="3"/>
  <c r="BL462" i="3"/>
  <c r="BA465" i="3"/>
  <c r="AZ465" i="3" s="1"/>
  <c r="BL472" i="3"/>
  <c r="BA473" i="3"/>
  <c r="BA477" i="3"/>
  <c r="BA481" i="3"/>
  <c r="BA489" i="3"/>
  <c r="BA225" i="3"/>
  <c r="BA228" i="3"/>
  <c r="BL230" i="3"/>
  <c r="G231" i="3"/>
  <c r="BL237" i="3"/>
  <c r="BL238" i="3"/>
  <c r="G239" i="3"/>
  <c r="G246" i="3"/>
  <c r="BA254" i="3"/>
  <c r="AZ254" i="3" s="1"/>
  <c r="G256" i="3"/>
  <c r="BA257" i="3"/>
  <c r="G260" i="3"/>
  <c r="P65" i="71"/>
  <c r="P66" i="71"/>
  <c r="BL399" i="3"/>
  <c r="G400" i="3"/>
  <c r="BA402" i="3"/>
  <c r="AZ402" i="3" s="1"/>
  <c r="G407" i="3"/>
  <c r="BL408" i="3"/>
  <c r="BA413" i="3"/>
  <c r="AZ413" i="3" s="1"/>
  <c r="BL416" i="3"/>
  <c r="G417" i="3"/>
  <c r="BL417" i="3"/>
  <c r="BL418" i="3"/>
  <c r="BL420" i="3"/>
  <c r="G422" i="3"/>
  <c r="BA431" i="3"/>
  <c r="BL431" i="3"/>
  <c r="G433" i="3"/>
  <c r="BL440" i="3"/>
  <c r="BA441" i="3"/>
  <c r="G444" i="3"/>
  <c r="G445" i="3"/>
  <c r="BL445" i="3"/>
  <c r="BA451" i="3"/>
  <c r="BA458" i="3"/>
  <c r="AZ458" i="3" s="1"/>
  <c r="BA462" i="3"/>
  <c r="G466" i="3"/>
  <c r="G471" i="3"/>
  <c r="BL471" i="3"/>
  <c r="BA476" i="3"/>
  <c r="G479" i="3"/>
  <c r="BA480" i="3"/>
  <c r="BA487" i="3"/>
  <c r="AZ487" i="3" s="1"/>
  <c r="BA488" i="3"/>
  <c r="AZ488" i="3" s="1"/>
  <c r="G492" i="3"/>
  <c r="BL340" i="3"/>
  <c r="AZ340" i="3" s="1"/>
  <c r="BA348" i="3"/>
  <c r="BA350" i="3"/>
  <c r="AZ350" i="3" s="1"/>
  <c r="BA354" i="3"/>
  <c r="BL381" i="3"/>
  <c r="AZ381" i="3" s="1"/>
  <c r="BA214" i="3"/>
  <c r="AZ214" i="3" s="1"/>
  <c r="BL216" i="3"/>
  <c r="AZ400" i="3"/>
  <c r="AZ406" i="3"/>
  <c r="BL490" i="3"/>
  <c r="BA491" i="3"/>
  <c r="BA331" i="3"/>
  <c r="AZ331" i="3" s="1"/>
  <c r="BA335" i="3"/>
  <c r="AZ335" i="3" s="1"/>
  <c r="BA339" i="3"/>
  <c r="AZ339" i="3" s="1"/>
  <c r="BL359" i="3"/>
  <c r="BL367" i="3"/>
  <c r="BL375" i="3"/>
  <c r="AZ375" i="3" s="1"/>
  <c r="BL386" i="3"/>
  <c r="G392" i="3"/>
  <c r="BL395" i="3"/>
  <c r="G396" i="3"/>
  <c r="BA397" i="3"/>
  <c r="AZ397" i="3" s="1"/>
  <c r="BL397" i="3"/>
  <c r="BL214" i="3"/>
  <c r="G216" i="3"/>
  <c r="G218" i="3"/>
  <c r="G227" i="3"/>
  <c r="G229" i="3"/>
  <c r="BA233" i="3"/>
  <c r="AZ233" i="3" s="1"/>
  <c r="BL233" i="3"/>
  <c r="BA249" i="3"/>
  <c r="BL249" i="3"/>
  <c r="G255" i="3"/>
  <c r="BA255" i="3"/>
  <c r="G258" i="3"/>
  <c r="BL259" i="3"/>
  <c r="BL262" i="3"/>
  <c r="BA269" i="3"/>
  <c r="AZ269" i="3" s="1"/>
  <c r="BA276" i="3"/>
  <c r="BL280" i="3"/>
  <c r="BH5" i="3"/>
  <c r="BD5" i="3"/>
  <c r="BT5" i="3"/>
  <c r="A15" i="62"/>
  <c r="B61" i="72" s="1"/>
  <c r="G398" i="3"/>
  <c r="G399" i="3"/>
  <c r="BL409" i="3"/>
  <c r="BL413" i="3"/>
  <c r="G416" i="3"/>
  <c r="BA420" i="3"/>
  <c r="BL423" i="3"/>
  <c r="G424" i="3"/>
  <c r="G438" i="3"/>
  <c r="BA443" i="3"/>
  <c r="AZ443" i="3" s="1"/>
  <c r="G448" i="3"/>
  <c r="BA449" i="3"/>
  <c r="BL451" i="3"/>
  <c r="G452" i="3"/>
  <c r="G453" i="3"/>
  <c r="BL453" i="3"/>
  <c r="BL454" i="3"/>
  <c r="G459" i="3"/>
  <c r="BA459" i="3"/>
  <c r="G463" i="3"/>
  <c r="BA470" i="3"/>
  <c r="G478" i="3"/>
  <c r="BA478" i="3"/>
  <c r="BL484" i="3"/>
  <c r="G486" i="3"/>
  <c r="G490" i="3"/>
  <c r="G307" i="3"/>
  <c r="BA319" i="3"/>
  <c r="AZ319" i="3" s="1"/>
  <c r="BL324" i="3"/>
  <c r="AZ324" i="3" s="1"/>
  <c r="BL328" i="3"/>
  <c r="AZ328" i="3" s="1"/>
  <c r="G329" i="3"/>
  <c r="G349" i="3"/>
  <c r="BA366" i="3"/>
  <c r="AZ366" i="3" s="1"/>
  <c r="BA385" i="3"/>
  <c r="BL385" i="3"/>
  <c r="BL208" i="3"/>
  <c r="G209" i="3"/>
  <c r="BA210" i="3"/>
  <c r="AZ210" i="3" s="1"/>
  <c r="BL210" i="3"/>
  <c r="BA212" i="3"/>
  <c r="BL212" i="3"/>
  <c r="G214" i="3"/>
  <c r="BA217" i="3"/>
  <c r="G220" i="3"/>
  <c r="G221" i="3"/>
  <c r="BL224" i="3"/>
  <c r="G225" i="3"/>
  <c r="BA229" i="3"/>
  <c r="BL229" i="3"/>
  <c r="BA231" i="3"/>
  <c r="BL231" i="3"/>
  <c r="G233" i="3"/>
  <c r="G241" i="3"/>
  <c r="G247" i="3"/>
  <c r="BA248" i="3"/>
  <c r="G251" i="3"/>
  <c r="BA258" i="3"/>
  <c r="BA291" i="3"/>
  <c r="BA296" i="3"/>
  <c r="BA302" i="3"/>
  <c r="BL122" i="3"/>
  <c r="BA126" i="3"/>
  <c r="BA145" i="3"/>
  <c r="BL146" i="3"/>
  <c r="BL157" i="3"/>
  <c r="BL159" i="3"/>
  <c r="BA177" i="3"/>
  <c r="AZ177" i="3" s="1"/>
  <c r="BL198" i="3"/>
  <c r="BA62" i="3"/>
  <c r="BL64" i="3"/>
  <c r="BA67" i="3"/>
  <c r="BA77" i="3"/>
  <c r="BA80" i="3"/>
  <c r="BL84" i="3"/>
  <c r="BL91" i="3"/>
  <c r="BA94" i="3"/>
  <c r="BL103" i="3"/>
  <c r="AZ103" i="3" s="1"/>
  <c r="BA104" i="3"/>
  <c r="BL110" i="3"/>
  <c r="BL111" i="3"/>
  <c r="C60" i="71"/>
  <c r="Y26" i="71"/>
  <c r="Z26" i="71" s="1"/>
  <c r="AB36" i="71"/>
  <c r="AA37" i="71"/>
  <c r="BA263" i="3"/>
  <c r="G268" i="3"/>
  <c r="G276" i="3"/>
  <c r="BA281" i="3"/>
  <c r="G285" i="3"/>
  <c r="BL289" i="3"/>
  <c r="G290" i="3"/>
  <c r="G291" i="3"/>
  <c r="BL127" i="3"/>
  <c r="AZ127" i="3" s="1"/>
  <c r="G128" i="3"/>
  <c r="BA129" i="3"/>
  <c r="G138" i="3"/>
  <c r="G146" i="3"/>
  <c r="BL163" i="3"/>
  <c r="BL169" i="3"/>
  <c r="G170" i="3"/>
  <c r="BL173" i="3"/>
  <c r="BL183" i="3"/>
  <c r="BA186" i="3"/>
  <c r="BA190" i="3"/>
  <c r="G199" i="3"/>
  <c r="BL201" i="3"/>
  <c r="BL203" i="3"/>
  <c r="AZ203" i="3" s="1"/>
  <c r="BA204" i="3"/>
  <c r="AZ204" i="3" s="1"/>
  <c r="BA18" i="3"/>
  <c r="G21" i="3"/>
  <c r="BL21" i="3"/>
  <c r="G23" i="3"/>
  <c r="G26" i="3"/>
  <c r="G27" i="3"/>
  <c r="G31" i="3"/>
  <c r="BL35" i="3"/>
  <c r="G36" i="3"/>
  <c r="G37" i="3"/>
  <c r="G40" i="3"/>
  <c r="G41" i="3"/>
  <c r="G45" i="3"/>
  <c r="G56" i="3"/>
  <c r="BL56" i="3"/>
  <c r="BA58" i="3"/>
  <c r="BL59" i="3"/>
  <c r="BL60" i="3"/>
  <c r="BA61" i="3"/>
  <c r="G69" i="3"/>
  <c r="BA70" i="3"/>
  <c r="G78" i="3"/>
  <c r="BL86" i="3"/>
  <c r="G87" i="3"/>
  <c r="G88" i="3"/>
  <c r="BA89" i="3"/>
  <c r="G98" i="3"/>
  <c r="G102" i="3"/>
  <c r="G103" i="3"/>
  <c r="BA103" i="3"/>
  <c r="G110" i="3"/>
  <c r="AA3" i="71"/>
  <c r="AA34" i="71"/>
  <c r="C43" i="71"/>
  <c r="E51" i="71"/>
  <c r="E52" i="71" s="1"/>
  <c r="U52" i="71" s="1"/>
  <c r="C51" i="71"/>
  <c r="B71" i="71"/>
  <c r="B70" i="71" s="1"/>
  <c r="F79" i="71"/>
  <c r="F78" i="71" s="1"/>
  <c r="P27" i="6"/>
  <c r="BA265" i="3"/>
  <c r="BA267" i="3"/>
  <c r="AZ267" i="3" s="1"/>
  <c r="G269" i="3"/>
  <c r="BA271" i="3"/>
  <c r="BL271" i="3"/>
  <c r="BA275" i="3"/>
  <c r="BA279" i="3"/>
  <c r="G282" i="3"/>
  <c r="BA283" i="3"/>
  <c r="BA286" i="3"/>
  <c r="AZ286" i="3" s="1"/>
  <c r="BL286" i="3"/>
  <c r="G294" i="3"/>
  <c r="BL298" i="3"/>
  <c r="G116" i="3"/>
  <c r="BA117" i="3"/>
  <c r="BL133" i="3"/>
  <c r="AZ133" i="3" s="1"/>
  <c r="G143" i="3"/>
  <c r="G150" i="3"/>
  <c r="G154" i="3"/>
  <c r="BL166" i="3"/>
  <c r="G167" i="3"/>
  <c r="G172" i="3"/>
  <c r="BL181" i="3"/>
  <c r="BL186" i="3"/>
  <c r="BA188" i="3"/>
  <c r="AZ188" i="3" s="1"/>
  <c r="BL195" i="3"/>
  <c r="AZ195" i="3" s="1"/>
  <c r="G196" i="3"/>
  <c r="BA197" i="3"/>
  <c r="BA201" i="3"/>
  <c r="BL23" i="3"/>
  <c r="G48" i="3"/>
  <c r="BL48" i="3"/>
  <c r="G59" i="3"/>
  <c r="G62" i="3"/>
  <c r="G63" i="3"/>
  <c r="BL65" i="3"/>
  <c r="BL66" i="3"/>
  <c r="G68" i="3"/>
  <c r="BA72" i="3"/>
  <c r="BL74" i="3"/>
  <c r="G75" i="3"/>
  <c r="BL79" i="3"/>
  <c r="G89" i="3"/>
  <c r="BA92" i="3"/>
  <c r="BL93" i="3"/>
  <c r="G95" i="3"/>
  <c r="BL99" i="3"/>
  <c r="BA105" i="3"/>
  <c r="BA109" i="3"/>
  <c r="U21" i="34"/>
  <c r="Y27" i="71"/>
  <c r="Z27" i="71" s="1"/>
  <c r="Y29" i="71"/>
  <c r="Z29" i="71" s="1"/>
  <c r="C31" i="71"/>
  <c r="X25" i="71"/>
  <c r="AA35" i="71"/>
  <c r="Y35" i="71"/>
  <c r="Z35" i="71" s="1"/>
  <c r="X36" i="71"/>
  <c r="F37" i="40"/>
  <c r="AA37" i="40" s="1"/>
  <c r="AC36" i="40"/>
  <c r="W37" i="40"/>
  <c r="AB37" i="40"/>
  <c r="S36" i="40"/>
  <c r="U36" i="40"/>
  <c r="U30" i="40"/>
  <c r="S30" i="40"/>
  <c r="W30" i="40"/>
  <c r="AC25" i="40"/>
  <c r="F92" i="40"/>
  <c r="J23" i="40"/>
  <c r="F90" i="40"/>
  <c r="G90" i="40" s="1"/>
  <c r="J21" i="40"/>
  <c r="H21" i="40"/>
  <c r="F21" i="40"/>
  <c r="AA21" i="40" s="1"/>
  <c r="AA15" i="40"/>
  <c r="S21" i="40"/>
  <c r="AC17" i="40"/>
  <c r="AB17" i="40"/>
  <c r="U15" i="40"/>
  <c r="AB19" i="40"/>
  <c r="AA19" i="40"/>
  <c r="W19" i="40"/>
  <c r="AC15" i="40"/>
  <c r="C23" i="40"/>
  <c r="C29" i="39"/>
  <c r="B68" i="43"/>
  <c r="AC11" i="40"/>
  <c r="D22" i="15"/>
  <c r="D23" i="15"/>
  <c r="G22" i="11"/>
  <c r="E1" i="73"/>
  <c r="BL13" i="3"/>
  <c r="H112" i="9"/>
  <c r="D21" i="53" s="1"/>
  <c r="B39" i="72" s="1"/>
  <c r="H111" i="9"/>
  <c r="D126" i="9" s="1"/>
  <c r="J1" i="73"/>
  <c r="U23" i="21"/>
  <c r="AA17" i="33"/>
  <c r="AC27" i="33"/>
  <c r="AC23" i="37"/>
  <c r="AC9" i="21"/>
  <c r="U9" i="21"/>
  <c r="D6" i="52"/>
  <c r="S17" i="37"/>
  <c r="S13" i="21"/>
  <c r="AC17" i="37"/>
  <c r="S43" i="34"/>
  <c r="AZ14" i="3"/>
  <c r="F29" i="6"/>
  <c r="AZ318" i="3"/>
  <c r="AZ364" i="3"/>
  <c r="AZ329" i="3"/>
  <c r="AZ304" i="3"/>
  <c r="AZ394" i="3"/>
  <c r="AZ535" i="3"/>
  <c r="AZ575" i="3"/>
  <c r="U33" i="40"/>
  <c r="AB33" i="40"/>
  <c r="AC36" i="34"/>
  <c r="W36" i="34"/>
  <c r="S29" i="35"/>
  <c r="AA29" i="35"/>
  <c r="AB26" i="37"/>
  <c r="U26" i="37"/>
  <c r="AZ523" i="3"/>
  <c r="AZ547" i="3"/>
  <c r="AZ508" i="3"/>
  <c r="AZ540" i="3"/>
  <c r="AZ502" i="3"/>
  <c r="S14" i="34"/>
  <c r="AA14" i="34"/>
  <c r="W31" i="33"/>
  <c r="AC31" i="33"/>
  <c r="AZ571" i="3"/>
  <c r="AA14" i="40"/>
  <c r="S14" i="40"/>
  <c r="AA14" i="37"/>
  <c r="S14" i="37"/>
  <c r="U45" i="33"/>
  <c r="AB45" i="33"/>
  <c r="AZ387" i="3"/>
  <c r="AZ338" i="3"/>
  <c r="AZ371" i="3"/>
  <c r="AZ305" i="3"/>
  <c r="AZ306" i="3"/>
  <c r="S25" i="21"/>
  <c r="AA25" i="21"/>
  <c r="AZ520" i="3"/>
  <c r="S44" i="34"/>
  <c r="AA44" i="34"/>
  <c r="W28" i="34"/>
  <c r="AC28" i="34"/>
  <c r="U17" i="34"/>
  <c r="AB17" i="34"/>
  <c r="BL585" i="3"/>
  <c r="AZ585" i="3" s="1"/>
  <c r="AZ448" i="3"/>
  <c r="AZ360" i="3"/>
  <c r="AZ539" i="3"/>
  <c r="AZ529" i="3"/>
  <c r="AZ537" i="3"/>
  <c r="AZ518" i="3"/>
  <c r="AZ526" i="3"/>
  <c r="AZ546" i="3"/>
  <c r="AZ564" i="3"/>
  <c r="AZ580" i="3"/>
  <c r="S11" i="36"/>
  <c r="H27" i="21"/>
  <c r="W8" i="34"/>
  <c r="F33" i="36"/>
  <c r="J31" i="39"/>
  <c r="U33" i="33"/>
  <c r="B79" i="43"/>
  <c r="J9" i="33"/>
  <c r="H9" i="34"/>
  <c r="F12" i="34"/>
  <c r="S12" i="34" s="1"/>
  <c r="H23" i="35"/>
  <c r="J23" i="36"/>
  <c r="H25" i="37"/>
  <c r="G566" i="3"/>
  <c r="AZ462" i="3"/>
  <c r="G585" i="3"/>
  <c r="BL587" i="3"/>
  <c r="AZ587" i="3" s="1"/>
  <c r="BL586" i="3"/>
  <c r="AZ586" i="3" s="1"/>
  <c r="J9" i="34"/>
  <c r="H12" i="34"/>
  <c r="J39" i="40"/>
  <c r="H39" i="40"/>
  <c r="AZ466" i="3"/>
  <c r="AZ531" i="3"/>
  <c r="AZ583" i="3"/>
  <c r="AZ568" i="3"/>
  <c r="AZ576" i="3"/>
  <c r="U36" i="39"/>
  <c r="F27" i="21"/>
  <c r="C15" i="39"/>
  <c r="W31" i="40"/>
  <c r="U31" i="36"/>
  <c r="U30" i="37"/>
  <c r="G587" i="3"/>
  <c r="J12" i="35"/>
  <c r="BA551" i="3"/>
  <c r="AZ551" i="3" s="1"/>
  <c r="BA550" i="3"/>
  <c r="BL548" i="3"/>
  <c r="AZ548" i="3" s="1"/>
  <c r="G558" i="3"/>
  <c r="BL424" i="3"/>
  <c r="G427" i="3"/>
  <c r="BL428" i="3"/>
  <c r="BL429" i="3"/>
  <c r="BL432" i="3"/>
  <c r="BL435" i="3"/>
  <c r="BL436" i="3"/>
  <c r="BA439" i="3"/>
  <c r="AZ439" i="3" s="1"/>
  <c r="BA440" i="3"/>
  <c r="AZ440" i="3" s="1"/>
  <c r="BA442" i="3"/>
  <c r="BA445" i="3"/>
  <c r="BL459" i="3"/>
  <c r="AZ459" i="3" s="1"/>
  <c r="G462" i="3"/>
  <c r="G551" i="3"/>
  <c r="BL550" i="3"/>
  <c r="G542" i="3"/>
  <c r="BL398" i="3"/>
  <c r="G402" i="3"/>
  <c r="BL403" i="3"/>
  <c r="G405" i="3"/>
  <c r="G406" i="3"/>
  <c r="BA408" i="3"/>
  <c r="BA409" i="3"/>
  <c r="AZ409" i="3" s="1"/>
  <c r="BA411" i="3"/>
  <c r="AZ411" i="3" s="1"/>
  <c r="BL414" i="3"/>
  <c r="BL415" i="3"/>
  <c r="BA417" i="3"/>
  <c r="BL421" i="3"/>
  <c r="BL422" i="3"/>
  <c r="BL425" i="3"/>
  <c r="BL426" i="3"/>
  <c r="BA428" i="3"/>
  <c r="AZ428" i="3" s="1"/>
  <c r="BA429" i="3"/>
  <c r="BA430" i="3"/>
  <c r="AZ430" i="3" s="1"/>
  <c r="BA432" i="3"/>
  <c r="BA434" i="3"/>
  <c r="AZ434" i="3" s="1"/>
  <c r="BA436" i="3"/>
  <c r="BA438" i="3"/>
  <c r="G442" i="3"/>
  <c r="G443" i="3"/>
  <c r="BA446" i="3"/>
  <c r="BA450" i="3"/>
  <c r="BA453" i="3"/>
  <c r="AZ453" i="3" s="1"/>
  <c r="BA455" i="3"/>
  <c r="AZ455" i="3" s="1"/>
  <c r="BL457" i="3"/>
  <c r="AZ457" i="3" s="1"/>
  <c r="BL460" i="3"/>
  <c r="BL461" i="3"/>
  <c r="BL463" i="3"/>
  <c r="AZ463" i="3" s="1"/>
  <c r="G465" i="3"/>
  <c r="BA469" i="3"/>
  <c r="AZ469" i="3" s="1"/>
  <c r="BA471" i="3"/>
  <c r="AZ471" i="3" s="1"/>
  <c r="AZ476" i="3"/>
  <c r="BL15" i="3"/>
  <c r="AZ15" i="3" s="1"/>
  <c r="BA398" i="3"/>
  <c r="BA399" i="3"/>
  <c r="BL401" i="3"/>
  <c r="BL404" i="3"/>
  <c r="BL405" i="3"/>
  <c r="BL407" i="3"/>
  <c r="AZ407" i="3" s="1"/>
  <c r="BA412" i="3"/>
  <c r="AZ412" i="3" s="1"/>
  <c r="BA414" i="3"/>
  <c r="AZ414" i="3" s="1"/>
  <c r="BA415" i="3"/>
  <c r="AZ415" i="3" s="1"/>
  <c r="BA416" i="3"/>
  <c r="AZ416" i="3" s="1"/>
  <c r="BA418" i="3"/>
  <c r="AZ418" i="3" s="1"/>
  <c r="BA421" i="3"/>
  <c r="BA423" i="3"/>
  <c r="AZ423" i="3" s="1"/>
  <c r="BA425" i="3"/>
  <c r="BA426" i="3"/>
  <c r="BA427" i="3"/>
  <c r="AZ427" i="3" s="1"/>
  <c r="BA433" i="3"/>
  <c r="AZ433" i="3" s="1"/>
  <c r="BA435" i="3"/>
  <c r="BL437" i="3"/>
  <c r="AZ437" i="3" s="1"/>
  <c r="BL441" i="3"/>
  <c r="BL442" i="3"/>
  <c r="BL444" i="3"/>
  <c r="AZ444" i="3" s="1"/>
  <c r="G446" i="3"/>
  <c r="BL448" i="3"/>
  <c r="G450" i="3"/>
  <c r="BA454" i="3"/>
  <c r="BA460" i="3"/>
  <c r="AZ460" i="3" s="1"/>
  <c r="AZ461" i="3"/>
  <c r="BL464" i="3"/>
  <c r="BL466" i="3"/>
  <c r="G467" i="3"/>
  <c r="BL467" i="3"/>
  <c r="BA401" i="3"/>
  <c r="BA403" i="3"/>
  <c r="BA404" i="3"/>
  <c r="AZ404" i="3" s="1"/>
  <c r="BA405" i="3"/>
  <c r="AZ405" i="3" s="1"/>
  <c r="BL410" i="3"/>
  <c r="G412" i="3"/>
  <c r="G418" i="3"/>
  <c r="BA422" i="3"/>
  <c r="AZ422" i="3" s="1"/>
  <c r="BL438" i="3"/>
  <c r="BL439" i="3"/>
  <c r="BL446" i="3"/>
  <c r="AZ446" i="3" s="1"/>
  <c r="BL449" i="3"/>
  <c r="BL450" i="3"/>
  <c r="BL452" i="3"/>
  <c r="G454" i="3"/>
  <c r="G455" i="3"/>
  <c r="BL456" i="3"/>
  <c r="BA464" i="3"/>
  <c r="BA467" i="3"/>
  <c r="AZ467" i="3" s="1"/>
  <c r="BA468"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47" i="3"/>
  <c r="BL247" i="3"/>
  <c r="BA251" i="3"/>
  <c r="BL251" i="3"/>
  <c r="BA253" i="3"/>
  <c r="BL260" i="3"/>
  <c r="G262" i="3"/>
  <c r="BL263" i="3"/>
  <c r="G264" i="3"/>
  <c r="BL270" i="3"/>
  <c r="AZ270" i="3" s="1"/>
  <c r="BA272" i="3"/>
  <c r="AZ272" i="3" s="1"/>
  <c r="BL275" i="3"/>
  <c r="G277" i="3"/>
  <c r="G280" i="3"/>
  <c r="BA116" i="3"/>
  <c r="AZ116" i="3" s="1"/>
  <c r="BA121" i="3"/>
  <c r="BL121" i="3"/>
  <c r="G127" i="3"/>
  <c r="BA157" i="3"/>
  <c r="AZ157" i="3" s="1"/>
  <c r="BL225" i="3"/>
  <c r="BL226" i="3"/>
  <c r="BA239" i="3"/>
  <c r="BL239" i="3"/>
  <c r="BA241" i="3"/>
  <c r="BL241" i="3"/>
  <c r="BA244" i="3"/>
  <c r="BL244" i="3"/>
  <c r="BA246" i="3"/>
  <c r="BL264" i="3"/>
  <c r="BL266" i="3"/>
  <c r="BA268" i="3"/>
  <c r="BL273" i="3"/>
  <c r="G274" i="3"/>
  <c r="BA277" i="3"/>
  <c r="BL277" i="3"/>
  <c r="BA282" i="3"/>
  <c r="BL282" i="3"/>
  <c r="BA284" i="3"/>
  <c r="BL290" i="3"/>
  <c r="BL291" i="3"/>
  <c r="AZ291" i="3" s="1"/>
  <c r="BL293" i="3"/>
  <c r="BL294" i="3"/>
  <c r="BA297" i="3"/>
  <c r="BL297" i="3"/>
  <c r="BA301" i="3"/>
  <c r="G126" i="3"/>
  <c r="BA132" i="3"/>
  <c r="AZ132" i="3" s="1"/>
  <c r="BL135" i="3"/>
  <c r="AZ135" i="3" s="1"/>
  <c r="BA156" i="3"/>
  <c r="AZ156"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59" i="3"/>
  <c r="AZ259" i="3" s="1"/>
  <c r="BL261" i="3"/>
  <c r="G299" i="3"/>
  <c r="BL300" i="3"/>
  <c r="G468" i="3"/>
  <c r="G469" i="3"/>
  <c r="BL476" i="3"/>
  <c r="BL477" i="3"/>
  <c r="BL478" i="3"/>
  <c r="BL480" i="3"/>
  <c r="AZ480" i="3" s="1"/>
  <c r="BA483" i="3"/>
  <c r="BL483" i="3"/>
  <c r="BA486" i="3"/>
  <c r="BL489" i="3"/>
  <c r="AZ489" i="3" s="1"/>
  <c r="BL491" i="3"/>
  <c r="AZ491" i="3" s="1"/>
  <c r="BL492" i="3"/>
  <c r="BA315" i="3"/>
  <c r="AZ315" i="3" s="1"/>
  <c r="BA333" i="3"/>
  <c r="BL346" i="3"/>
  <c r="AZ346"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AZ255" i="3" s="1"/>
  <c r="G257" i="3"/>
  <c r="BL257" i="3"/>
  <c r="BL258" i="3"/>
  <c r="G259" i="3"/>
  <c r="BA262" i="3"/>
  <c r="BL265" i="3"/>
  <c r="AZ265" i="3" s="1"/>
  <c r="BA273" i="3"/>
  <c r="BA278" i="3"/>
  <c r="AZ278" i="3" s="1"/>
  <c r="BA280" i="3"/>
  <c r="AZ280" i="3" s="1"/>
  <c r="BL283" i="3"/>
  <c r="AZ283" i="3" s="1"/>
  <c r="BL284" i="3"/>
  <c r="G288" i="3"/>
  <c r="BA124" i="3"/>
  <c r="AZ124" i="3" s="1"/>
  <c r="BA134" i="3"/>
  <c r="C47" i="71"/>
  <c r="D47" i="71" s="1"/>
  <c r="D46" i="71"/>
  <c r="BL292" i="3"/>
  <c r="BA294" i="3"/>
  <c r="AZ294" i="3" s="1"/>
  <c r="BL295" i="3"/>
  <c r="BA298" i="3"/>
  <c r="AZ298" i="3" s="1"/>
  <c r="BL301" i="3"/>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A41" i="3"/>
  <c r="BA42" i="3"/>
  <c r="BL45" i="3"/>
  <c r="BA48" i="3"/>
  <c r="BA49" i="3"/>
  <c r="BA68" i="3"/>
  <c r="D31" i="71"/>
  <c r="C32" i="71"/>
  <c r="C55" i="71"/>
  <c r="D54" i="71"/>
  <c r="N67" i="71"/>
  <c r="B66" i="71"/>
  <c r="F66" i="71"/>
  <c r="Q66" i="71" s="1"/>
  <c r="Q67" i="71"/>
  <c r="BL285" i="3"/>
  <c r="BL287" i="3"/>
  <c r="BA290" i="3"/>
  <c r="AZ290" i="3" s="1"/>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AZ28" i="3" s="1"/>
  <c r="BA31" i="3"/>
  <c r="AZ31" i="3" s="1"/>
  <c r="BA32" i="3"/>
  <c r="BA38" i="3"/>
  <c r="BL40" i="3"/>
  <c r="BL41" i="3"/>
  <c r="BA52" i="3"/>
  <c r="AZ52" i="3" s="1"/>
  <c r="BA53" i="3"/>
  <c r="BA54" i="3"/>
  <c r="BL57" i="3"/>
  <c r="BL62" i="3"/>
  <c r="BL63" i="3"/>
  <c r="BA65" i="3"/>
  <c r="AZ65" i="3" s="1"/>
  <c r="BL69"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BA43" i="3"/>
  <c r="BL47" i="3"/>
  <c r="AZ47" i="3" s="1"/>
  <c r="G49" i="3"/>
  <c r="BL54" i="3"/>
  <c r="BL55" i="3"/>
  <c r="AZ55" i="3" s="1"/>
  <c r="G57" i="3"/>
  <c r="G58" i="3"/>
  <c r="BA59" i="3"/>
  <c r="G61" i="3"/>
  <c r="BL61" i="3"/>
  <c r="AZ61" i="3" s="1"/>
  <c r="G64" i="3"/>
  <c r="BL67" i="3"/>
  <c r="AZ67" i="3" s="1"/>
  <c r="C44" i="71"/>
  <c r="D43" i="71"/>
  <c r="C52" i="71"/>
  <c r="D51" i="71"/>
  <c r="V24" i="71"/>
  <c r="E23" i="71"/>
  <c r="E22" i="71" s="1"/>
  <c r="E21" i="71" s="1"/>
  <c r="E20" i="71" s="1"/>
  <c r="V20" i="71" s="1"/>
  <c r="BA64" i="3"/>
  <c r="AZ64" i="3" s="1"/>
  <c r="G67" i="3"/>
  <c r="BL68" i="3"/>
  <c r="BA69" i="3"/>
  <c r="G72" i="3"/>
  <c r="BL73" i="3"/>
  <c r="BA74" i="3"/>
  <c r="AZ74" i="3" s="1"/>
  <c r="BA75" i="3"/>
  <c r="G81" i="3"/>
  <c r="G85" i="3"/>
  <c r="BL85" i="3"/>
  <c r="BA86" i="3"/>
  <c r="AZ86" i="3" s="1"/>
  <c r="BA87" i="3"/>
  <c r="AZ87" i="3" s="1"/>
  <c r="BA91" i="3"/>
  <c r="AZ91" i="3" s="1"/>
  <c r="G96" i="3"/>
  <c r="BL97" i="3"/>
  <c r="AZ97" i="3" s="1"/>
  <c r="BL101" i="3"/>
  <c r="BL102" i="3"/>
  <c r="G104" i="3"/>
  <c r="G105" i="3"/>
  <c r="BL106" i="3"/>
  <c r="AZ106" i="3" s="1"/>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AZ45" i="3" s="1"/>
  <c r="BA46" i="3"/>
  <c r="BL49" i="3"/>
  <c r="BL50" i="3"/>
  <c r="AZ50" i="3" s="1"/>
  <c r="BL51" i="3"/>
  <c r="AZ51" i="3" s="1"/>
  <c r="G53" i="3"/>
  <c r="BL53" i="3"/>
  <c r="BA56" i="3"/>
  <c r="AZ56" i="3" s="1"/>
  <c r="BA57" i="3"/>
  <c r="BL58" i="3"/>
  <c r="AZ58" i="3" s="1"/>
  <c r="G60" i="3"/>
  <c r="BA60" i="3"/>
  <c r="AZ60" i="3" s="1"/>
  <c r="BA63" i="3"/>
  <c r="AZ63" i="3" s="1"/>
  <c r="BA66" i="3"/>
  <c r="AZ66" i="3" s="1"/>
  <c r="BA71" i="3"/>
  <c r="G76" i="3"/>
  <c r="BL77" i="3"/>
  <c r="AZ77" i="3" s="1"/>
  <c r="BA79" i="3"/>
  <c r="G82" i="3"/>
  <c r="G83" i="3"/>
  <c r="BA84" i="3"/>
  <c r="AZ84" i="3" s="1"/>
  <c r="BL88" i="3"/>
  <c r="AZ88" i="3" s="1"/>
  <c r="G90" i="3"/>
  <c r="BL90" i="3"/>
  <c r="AZ90" i="3" s="1"/>
  <c r="BL92" i="3"/>
  <c r="G101" i="3"/>
  <c r="BA101" i="3"/>
  <c r="G108" i="3"/>
  <c r="G109" i="3"/>
  <c r="BL112" i="3"/>
  <c r="AB21" i="33"/>
  <c r="S21" i="34"/>
  <c r="B88" i="43"/>
  <c r="BL70" i="3"/>
  <c r="BL71" i="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AZ470" i="3"/>
  <c r="W35" i="39"/>
  <c r="F27" i="34"/>
  <c r="C21" i="39"/>
  <c r="U9" i="36"/>
  <c r="U14" i="37"/>
  <c r="H12" i="21"/>
  <c r="G526" i="3"/>
  <c r="AZ420" i="3"/>
  <c r="AZ424" i="3"/>
  <c r="AZ436" i="3"/>
  <c r="AZ438" i="3"/>
  <c r="AZ450" i="3"/>
  <c r="G28" i="6"/>
  <c r="U26" i="21"/>
  <c r="W36" i="39"/>
  <c r="AA39" i="37"/>
  <c r="AC16" i="36"/>
  <c r="AB12" i="33"/>
  <c r="C27" i="39"/>
  <c r="U40" i="40"/>
  <c r="AC9" i="40"/>
  <c r="W36" i="35"/>
  <c r="J12" i="21"/>
  <c r="B73" i="43"/>
  <c r="B76" i="43"/>
  <c r="F9" i="36"/>
  <c r="J40" i="40"/>
  <c r="G562" i="3"/>
  <c r="AZ426"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AZ193" i="3"/>
  <c r="BL202" i="3"/>
  <c r="AZ202" i="3" s="1"/>
  <c r="BL36" i="3"/>
  <c r="AZ36" i="3" s="1"/>
  <c r="AZ40" i="3"/>
  <c r="AZ48" i="3"/>
  <c r="AZ68" i="3"/>
  <c r="AZ73"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71" i="15"/>
  <c r="F66" i="67"/>
  <c r="L59" i="15"/>
  <c r="N59" i="15"/>
  <c r="L58" i="15"/>
  <c r="M59" i="15"/>
  <c r="F66" i="15"/>
  <c r="Q71" i="67"/>
  <c r="C27" i="67"/>
  <c r="F71" i="67"/>
  <c r="N59" i="67"/>
  <c r="L59" i="67"/>
  <c r="L58" i="67"/>
  <c r="M59" i="67"/>
  <c r="B13" i="70"/>
  <c r="M7" i="67"/>
  <c r="J6" i="67" s="1"/>
  <c r="F50" i="67"/>
  <c r="F68" i="67"/>
  <c r="F64" i="67"/>
  <c r="D9" i="69"/>
  <c r="C36" i="69"/>
  <c r="C16" i="67"/>
  <c r="D5" i="73"/>
  <c r="M8" i="15"/>
  <c r="D7" i="73"/>
  <c r="F7" i="15"/>
  <c r="M28" i="15"/>
  <c r="D4" i="73"/>
  <c r="F37" i="15"/>
  <c r="D9" i="68"/>
  <c r="F9" i="15"/>
  <c r="J15" i="15"/>
  <c r="F26" i="15"/>
  <c r="F36" i="15"/>
  <c r="D3" i="73"/>
  <c r="C76" i="15"/>
  <c r="M22" i="15"/>
  <c r="F8" i="15"/>
  <c r="F40" i="15"/>
  <c r="D6" i="73"/>
  <c r="C16" i="15"/>
  <c r="M26" i="15"/>
  <c r="T60" i="71" l="1"/>
  <c r="D60" i="71"/>
  <c r="AZ451" i="3"/>
  <c r="C18" i="78"/>
  <c r="C15" i="78"/>
  <c r="B15" i="78"/>
  <c r="B18" i="78"/>
  <c r="AA24" i="36"/>
  <c r="S24" i="36"/>
  <c r="U13" i="35"/>
  <c r="AB13" i="35"/>
  <c r="S29" i="34"/>
  <c r="AA29" i="34"/>
  <c r="S30" i="33"/>
  <c r="AA30" i="33"/>
  <c r="AC32" i="40"/>
  <c r="W32" i="40"/>
  <c r="U30" i="21"/>
  <c r="AB30" i="21"/>
  <c r="Q65" i="71"/>
  <c r="AZ333" i="3"/>
  <c r="AZ101" i="3"/>
  <c r="AZ75" i="3"/>
  <c r="AZ69" i="3"/>
  <c r="AZ173" i="3"/>
  <c r="AZ273" i="3"/>
  <c r="AZ218" i="3"/>
  <c r="AZ454" i="3"/>
  <c r="AZ435" i="3"/>
  <c r="AZ425" i="3"/>
  <c r="AZ399" i="3"/>
  <c r="AZ417" i="3"/>
  <c r="AZ201" i="3"/>
  <c r="AZ229" i="3"/>
  <c r="S45" i="39"/>
  <c r="AA45" i="39"/>
  <c r="W25" i="35"/>
  <c r="AC25" i="35"/>
  <c r="U45" i="34"/>
  <c r="AB45" i="34"/>
  <c r="AB46" i="33"/>
  <c r="U46" i="33"/>
  <c r="AB30" i="33"/>
  <c r="U30" i="33"/>
  <c r="W28" i="33"/>
  <c r="AC28" i="33"/>
  <c r="S14" i="21"/>
  <c r="AA14" i="21"/>
  <c r="F15" i="71"/>
  <c r="F14" i="71" s="1"/>
  <c r="F13" i="71" s="1"/>
  <c r="F12" i="71" s="1"/>
  <c r="F11" i="71" s="1"/>
  <c r="F10" i="71" s="1"/>
  <c r="F9" i="71" s="1"/>
  <c r="F8" i="71" s="1"/>
  <c r="F7" i="71" s="1"/>
  <c r="F6" i="71" s="1"/>
  <c r="F5" i="71" s="1"/>
  <c r="M23" i="43"/>
  <c r="AZ37" i="3"/>
  <c r="AZ215" i="3"/>
  <c r="AZ70" i="3"/>
  <c r="AZ79" i="3"/>
  <c r="AZ257" i="3"/>
  <c r="AZ483" i="3"/>
  <c r="AZ223" i="3"/>
  <c r="AZ301" i="3"/>
  <c r="AZ401" i="3"/>
  <c r="AZ398" i="3"/>
  <c r="AZ408" i="3"/>
  <c r="AZ271" i="3"/>
  <c r="AZ186" i="3"/>
  <c r="AZ249" i="3"/>
  <c r="AC25" i="37"/>
  <c r="W25" i="37"/>
  <c r="U45" i="39"/>
  <c r="AB45" i="39"/>
  <c r="AB25" i="35"/>
  <c r="U25" i="35"/>
  <c r="S45" i="34"/>
  <c r="AA45" i="34"/>
  <c r="AA46" i="33"/>
  <c r="S46" i="33"/>
  <c r="AB36" i="35"/>
  <c r="U36" i="35"/>
  <c r="U28" i="33"/>
  <c r="AB28" i="33"/>
  <c r="W14" i="40"/>
  <c r="AC14" i="40"/>
  <c r="AB33" i="36"/>
  <c r="U33" i="36"/>
  <c r="W30" i="21"/>
  <c r="AC30" i="21"/>
  <c r="W14" i="21"/>
  <c r="AC14" i="21"/>
  <c r="AZ138" i="3"/>
  <c r="AZ268" i="3"/>
  <c r="AZ59" i="3"/>
  <c r="AZ62" i="3"/>
  <c r="AZ262" i="3"/>
  <c r="AZ275" i="3"/>
  <c r="AZ263" i="3"/>
  <c r="AZ441" i="3"/>
  <c r="AA37" i="39"/>
  <c r="S37" i="39"/>
  <c r="AB29" i="34"/>
  <c r="U29" i="34"/>
  <c r="AC46" i="33"/>
  <c r="W46" i="33"/>
  <c r="W12" i="33"/>
  <c r="AC12" i="33"/>
  <c r="AB9" i="33"/>
  <c r="U9" i="33"/>
  <c r="S32" i="40"/>
  <c r="AA32" i="40"/>
  <c r="S30" i="21"/>
  <c r="AA30" i="21"/>
  <c r="S37" i="40"/>
  <c r="AC23" i="40"/>
  <c r="W23" i="40"/>
  <c r="G92" i="40"/>
  <c r="H23" i="40"/>
  <c r="F23" i="40"/>
  <c r="AB21" i="40"/>
  <c r="U21" i="40"/>
  <c r="W21" i="40"/>
  <c r="AC21" i="40"/>
  <c r="F26" i="43"/>
  <c r="H26" i="43"/>
  <c r="P6" i="1"/>
  <c r="C13" i="12" s="1"/>
  <c r="Q16" i="1"/>
  <c r="F27" i="69" s="1"/>
  <c r="C47" i="69" s="1"/>
  <c r="D45" i="69" s="1"/>
  <c r="N370" i="46"/>
  <c r="E26" i="43"/>
  <c r="G26" i="43"/>
  <c r="N94" i="46"/>
  <c r="E28" i="6"/>
  <c r="K14" i="1" s="1"/>
  <c r="K16" i="1" s="1"/>
  <c r="B29" i="1" s="1"/>
  <c r="H16" i="1"/>
  <c r="G16" i="1"/>
  <c r="F10" i="39" s="1"/>
  <c r="S10" i="39" s="1"/>
  <c r="E59" i="40"/>
  <c r="D20" i="53"/>
  <c r="B40" i="72" s="1"/>
  <c r="F51" i="15"/>
  <c r="C6" i="15"/>
  <c r="C32" i="15" s="1"/>
  <c r="F50" i="15"/>
  <c r="F31" i="15"/>
  <c r="M7" i="15"/>
  <c r="J6" i="15" s="1"/>
  <c r="J18" i="15" s="1"/>
  <c r="F65" i="15"/>
  <c r="C27" i="15"/>
  <c r="Q71" i="15"/>
  <c r="F68" i="15"/>
  <c r="F64" i="15"/>
  <c r="G5" i="3"/>
  <c r="B3" i="3" s="1"/>
  <c r="AE6" i="3" s="1"/>
  <c r="AZ71" i="3"/>
  <c r="C40" i="71"/>
  <c r="D39" i="71"/>
  <c r="C56" i="71"/>
  <c r="D55" i="71"/>
  <c r="AZ49" i="3"/>
  <c r="AZ41" i="3"/>
  <c r="AC39" i="40"/>
  <c r="W39" i="40"/>
  <c r="U25" i="37"/>
  <c r="AB25" i="37"/>
  <c r="AB9" i="34"/>
  <c r="U9" i="34"/>
  <c r="W31" i="39"/>
  <c r="AC31" i="39"/>
  <c r="C70" i="71"/>
  <c r="D70" i="71" s="1"/>
  <c r="D71" i="71"/>
  <c r="D44" i="71"/>
  <c r="T44" i="71"/>
  <c r="N65" i="71"/>
  <c r="N66" i="71"/>
  <c r="T32" i="71"/>
  <c r="D32" i="71"/>
  <c r="AZ39" i="3"/>
  <c r="AZ368" i="3"/>
  <c r="AZ353" i="3"/>
  <c r="AZ282" i="3"/>
  <c r="AZ241" i="3"/>
  <c r="AZ121" i="3"/>
  <c r="AZ247" i="3"/>
  <c r="AZ464" i="3"/>
  <c r="AZ432" i="3"/>
  <c r="W12" i="35"/>
  <c r="AC12" i="35"/>
  <c r="AB12" i="34"/>
  <c r="U12" i="34"/>
  <c r="AC23" i="36"/>
  <c r="W23" i="36"/>
  <c r="AC9" i="33"/>
  <c r="W9" i="33"/>
  <c r="AA33" i="36"/>
  <c r="S33" i="36"/>
  <c r="AZ174" i="3"/>
  <c r="AZ57" i="3"/>
  <c r="T28" i="71"/>
  <c r="D28" i="71"/>
  <c r="U28" i="71" s="1"/>
  <c r="C27" i="71"/>
  <c r="D79" i="71"/>
  <c r="C78" i="71"/>
  <c r="D78" i="71" s="1"/>
  <c r="AZ19" i="3"/>
  <c r="AZ5" i="3" s="1"/>
  <c r="AZ53" i="3"/>
  <c r="AZ27" i="3"/>
  <c r="AZ118" i="3"/>
  <c r="AZ38" i="3"/>
  <c r="AZ297" i="3"/>
  <c r="AZ332" i="3"/>
  <c r="AZ403" i="3"/>
  <c r="AZ421" i="3"/>
  <c r="AC9" i="34"/>
  <c r="W9" i="34"/>
  <c r="U23" i="35"/>
  <c r="AB23" i="35"/>
  <c r="J7" i="36"/>
  <c r="D83" i="71"/>
  <c r="C82" i="71"/>
  <c r="D82" i="71" s="1"/>
  <c r="O65" i="71"/>
  <c r="D66" i="71"/>
  <c r="O66" i="71"/>
  <c r="C36" i="71"/>
  <c r="D35" i="71"/>
  <c r="T52" i="71"/>
  <c r="D52" i="71"/>
  <c r="AZ130" i="3"/>
  <c r="AZ150" i="3"/>
  <c r="AZ284" i="3"/>
  <c r="AZ277" i="3"/>
  <c r="AZ244" i="3"/>
  <c r="AZ239" i="3"/>
  <c r="AZ251" i="3"/>
  <c r="AZ429" i="3"/>
  <c r="AZ550" i="3"/>
  <c r="AA27" i="21"/>
  <c r="S27" i="21"/>
  <c r="U39" i="40"/>
  <c r="AB39" i="40"/>
  <c r="AB27" i="21"/>
  <c r="U27" i="21"/>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67" i="39"/>
  <c r="E69" i="39"/>
  <c r="F59" i="67"/>
  <c r="H7" i="37"/>
  <c r="AB7" i="37" s="1"/>
  <c r="T42" i="37" s="1"/>
  <c r="G42" i="37" s="1"/>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60" i="15"/>
  <c r="Q73" i="15"/>
  <c r="Q61" i="67"/>
  <c r="Q74" i="67"/>
  <c r="Q74" i="15"/>
  <c r="Q61" i="15"/>
  <c r="AE11" i="1"/>
  <c r="AE9" i="1"/>
  <c r="AE7" i="1"/>
  <c r="AE8" i="1"/>
  <c r="AE12" i="1"/>
  <c r="AE10" i="1"/>
  <c r="F27" i="68"/>
  <c r="AE6" i="1"/>
  <c r="F41" i="67"/>
  <c r="G1" i="73"/>
  <c r="S7" i="36" l="1"/>
  <c r="D26" i="43"/>
  <c r="C25" i="43" s="1"/>
  <c r="K26" i="6"/>
  <c r="M26" i="6" s="1"/>
  <c r="I26" i="6" s="1"/>
  <c r="S26" i="6" s="1"/>
  <c r="J10" i="15"/>
  <c r="J5" i="15" s="1"/>
  <c r="J24" i="15" s="1"/>
  <c r="AB23" i="40"/>
  <c r="U23" i="40"/>
  <c r="AA23" i="40"/>
  <c r="S23" i="40"/>
  <c r="F27" i="11"/>
  <c r="C29" i="11" s="1"/>
  <c r="D27" i="11" s="1"/>
  <c r="F45" i="69"/>
  <c r="C29" i="69"/>
  <c r="D27" i="69" s="1"/>
  <c r="AA10" i="39"/>
  <c r="S10" i="40"/>
  <c r="H10" i="39"/>
  <c r="U10" i="39" s="1"/>
  <c r="J10" i="39"/>
  <c r="W10" i="39" s="1"/>
  <c r="M14" i="1"/>
  <c r="AB10" i="40"/>
  <c r="AC10" i="40"/>
  <c r="E579" i="3"/>
  <c r="E183" i="3"/>
  <c r="E583" i="3"/>
  <c r="E531" i="3"/>
  <c r="E555" i="3"/>
  <c r="E396" i="3"/>
  <c r="E172" i="3"/>
  <c r="E545" i="3"/>
  <c r="E279" i="3"/>
  <c r="E132" i="3"/>
  <c r="E171" i="3"/>
  <c r="E476" i="3"/>
  <c r="E394" i="3"/>
  <c r="E189" i="3"/>
  <c r="E268" i="3"/>
  <c r="E485" i="3"/>
  <c r="E468" i="3"/>
  <c r="E347" i="3"/>
  <c r="E216" i="3"/>
  <c r="E343" i="3"/>
  <c r="E414" i="3"/>
  <c r="E450" i="3"/>
  <c r="E382" i="3"/>
  <c r="E125" i="3"/>
  <c r="E539" i="3"/>
  <c r="E292" i="3"/>
  <c r="E18" i="3"/>
  <c r="E140" i="3"/>
  <c r="E13" i="3"/>
  <c r="E225" i="3"/>
  <c r="E78" i="3"/>
  <c r="E49" i="3"/>
  <c r="E326" i="3"/>
  <c r="E223" i="3"/>
  <c r="E543" i="3"/>
  <c r="E422" i="3"/>
  <c r="AH6" i="3"/>
  <c r="E401" i="3"/>
  <c r="E108" i="3"/>
  <c r="E276" i="3"/>
  <c r="L6" i="3"/>
  <c r="E473" i="3"/>
  <c r="E38" i="3"/>
  <c r="E234" i="3"/>
  <c r="E392" i="3"/>
  <c r="E112" i="3"/>
  <c r="E340" i="3"/>
  <c r="E62" i="3"/>
  <c r="E365" i="3"/>
  <c r="E141" i="3"/>
  <c r="E460" i="3"/>
  <c r="E58" i="3"/>
  <c r="E24" i="3"/>
  <c r="E484" i="3"/>
  <c r="E235" i="3"/>
  <c r="E173" i="3"/>
  <c r="E452" i="3"/>
  <c r="E243" i="3"/>
  <c r="E220" i="3"/>
  <c r="E232" i="3"/>
  <c r="E83" i="3"/>
  <c r="E105"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63" i="3"/>
  <c r="E251" i="3"/>
  <c r="E469" i="3"/>
  <c r="E26" i="3"/>
  <c r="E428" i="3"/>
  <c r="E324" i="3"/>
  <c r="E370" i="3"/>
  <c r="E16" i="3"/>
  <c r="E3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309" i="3"/>
  <c r="E412" i="3"/>
  <c r="E493" i="3"/>
  <c r="E25" i="3"/>
  <c r="E79" i="3"/>
  <c r="E289" i="3"/>
  <c r="E566"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578" i="3"/>
  <c r="E453" i="3"/>
  <c r="E45" i="3"/>
  <c r="E527"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02" i="3"/>
  <c r="E342" i="3"/>
  <c r="E507" i="3"/>
  <c r="E226" i="3"/>
  <c r="E194" i="3"/>
  <c r="E20" i="3"/>
  <c r="E348" i="3"/>
  <c r="E416" i="3"/>
  <c r="E354" i="3"/>
  <c r="E436" i="3"/>
  <c r="E542" i="3"/>
  <c r="E179" i="3"/>
  <c r="E413" i="3"/>
  <c r="E461" i="3"/>
  <c r="E529" i="3"/>
  <c r="E54" i="3"/>
  <c r="E196" i="3"/>
  <c r="E367" i="3"/>
  <c r="E291" i="3"/>
  <c r="E426" i="3"/>
  <c r="S6" i="3"/>
  <c r="E237" i="3"/>
  <c r="E159" i="3"/>
  <c r="E238" i="3"/>
  <c r="E437" i="3"/>
  <c r="E73" i="3"/>
  <c r="E236" i="3"/>
  <c r="E558" i="3"/>
  <c r="E316" i="3"/>
  <c r="N6" i="3"/>
  <c r="E559" i="3"/>
  <c r="E114" i="3"/>
  <c r="E290" i="3"/>
  <c r="E293" i="3"/>
  <c r="E85" i="3"/>
  <c r="E193" i="3"/>
  <c r="E562"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62" i="3"/>
  <c r="W6" i="3"/>
  <c r="U6" i="3"/>
  <c r="E53" i="3"/>
  <c r="E338" i="3"/>
  <c r="E408" i="3"/>
  <c r="E158" i="3"/>
  <c r="E376" i="3"/>
  <c r="E372" i="3"/>
  <c r="E325" i="3"/>
  <c r="E265" i="3"/>
  <c r="E386"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245" i="3"/>
  <c r="E336" i="3"/>
  <c r="E314" i="3"/>
  <c r="E573" i="3"/>
  <c r="E571"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104" i="3"/>
  <c r="E188" i="3"/>
  <c r="E419" i="3"/>
  <c r="E540" i="3"/>
  <c r="E36" i="3"/>
  <c r="E165" i="3"/>
  <c r="E222" i="3"/>
  <c r="E110" i="3"/>
  <c r="E323" i="3"/>
  <c r="E266" i="3"/>
  <c r="E195" i="3"/>
  <c r="E307" i="3"/>
  <c r="E157" i="3"/>
  <c r="E357" i="3"/>
  <c r="E71" i="3"/>
  <c r="E359" i="3"/>
  <c r="E17" i="3"/>
  <c r="AI6" i="3"/>
  <c r="AB6" i="3"/>
  <c r="E572" i="3"/>
  <c r="E204" i="3"/>
  <c r="E406" i="3"/>
  <c r="E586" i="3"/>
  <c r="E538" i="3"/>
  <c r="E44" i="3"/>
  <c r="E107" i="3"/>
  <c r="E458" i="3"/>
  <c r="E550" i="3"/>
  <c r="E88" i="3"/>
  <c r="E120" i="3"/>
  <c r="E100" i="3"/>
  <c r="E142" i="3"/>
  <c r="E240" i="3"/>
  <c r="E483" i="3"/>
  <c r="E135" i="3"/>
  <c r="E311" i="3"/>
  <c r="E182" i="3"/>
  <c r="E74" i="3"/>
  <c r="E133" i="3"/>
  <c r="E91" i="3"/>
  <c r="E270" i="3"/>
  <c r="E186" i="3"/>
  <c r="E567" i="3"/>
  <c r="E99" i="3"/>
  <c r="E320" i="3"/>
  <c r="AG6" i="3"/>
  <c r="E353" i="3"/>
  <c r="AY6" i="3"/>
  <c r="E499" i="3"/>
  <c r="E115" i="3"/>
  <c r="E420" i="3"/>
  <c r="E497" i="3"/>
  <c r="E405" i="3"/>
  <c r="E22" i="3"/>
  <c r="E34" i="3"/>
  <c r="AL6" i="3"/>
  <c r="E33" i="3"/>
  <c r="E479" i="3"/>
  <c r="E564" i="3"/>
  <c r="E116" i="3"/>
  <c r="E329" i="3"/>
  <c r="E80" i="3"/>
  <c r="E35" i="3"/>
  <c r="E190" i="3"/>
  <c r="E356" i="3"/>
  <c r="E41" i="3"/>
  <c r="E470" i="3"/>
  <c r="E360" i="3"/>
  <c r="E534" i="3"/>
  <c r="E287" i="3"/>
  <c r="E522" i="3"/>
  <c r="E198" i="3"/>
  <c r="E249" i="3"/>
  <c r="E255" i="3"/>
  <c r="E451" i="3"/>
  <c r="E456" i="3"/>
  <c r="E525" i="3"/>
  <c r="E205" i="3"/>
  <c r="E113" i="3"/>
  <c r="E206" i="3"/>
  <c r="E383" i="3"/>
  <c r="E96" i="3"/>
  <c r="E42" i="3"/>
  <c r="E281" i="3"/>
  <c r="E513" i="3"/>
  <c r="E81" i="3"/>
  <c r="E233" i="3"/>
  <c r="E310" i="3"/>
  <c r="E64" i="3"/>
  <c r="E389" i="3"/>
  <c r="E95" i="3"/>
  <c r="E554" i="3"/>
  <c r="E442" i="3"/>
  <c r="E536" i="3"/>
  <c r="E556" i="3"/>
  <c r="E512" i="3"/>
  <c r="T6" i="3"/>
  <c r="E197" i="3"/>
  <c r="E308" i="3"/>
  <c r="AF6" i="3"/>
  <c r="E86" i="3"/>
  <c r="E174" i="3"/>
  <c r="E482" i="3"/>
  <c r="E391" i="3"/>
  <c r="E494" i="3"/>
  <c r="E283" i="3"/>
  <c r="E381" i="3"/>
  <c r="E67" i="3"/>
  <c r="E267" i="3"/>
  <c r="E409" i="3"/>
  <c r="E241" i="3"/>
  <c r="E417" i="3"/>
  <c r="E449" i="3"/>
  <c r="E575" i="3"/>
  <c r="E3" i="6"/>
  <c r="D3" i="21" s="1"/>
  <c r="E129" i="3"/>
  <c r="E75" i="3"/>
  <c r="E332" i="3"/>
  <c r="E21" i="3"/>
  <c r="E264" i="3"/>
  <c r="E355" i="3"/>
  <c r="E492" i="3"/>
  <c r="E46" i="3"/>
  <c r="E544" i="3"/>
  <c r="E152" i="3"/>
  <c r="E517" i="3"/>
  <c r="E466" i="3"/>
  <c r="E212" i="3"/>
  <c r="C49" i="15"/>
  <c r="C53" i="15" s="1"/>
  <c r="C48" i="15" s="1"/>
  <c r="C66" i="15" s="1"/>
  <c r="E144" i="3"/>
  <c r="E23" i="3"/>
  <c r="E300" i="3"/>
  <c r="E103" i="3"/>
  <c r="E425" i="3"/>
  <c r="E76" i="3"/>
  <c r="E363" i="3"/>
  <c r="E192" i="3"/>
  <c r="E56" i="3"/>
  <c r="E435" i="3"/>
  <c r="I3" i="6"/>
  <c r="E541" i="3"/>
  <c r="R6" i="3"/>
  <c r="E199" i="3"/>
  <c r="E510" i="3"/>
  <c r="T36" i="71"/>
  <c r="D36" i="71"/>
  <c r="D56" i="71"/>
  <c r="T56" i="71"/>
  <c r="C26" i="71"/>
  <c r="D26" i="71" s="1"/>
  <c r="D27" i="71"/>
  <c r="E68" i="3"/>
  <c r="E184" i="3"/>
  <c r="E84" i="3"/>
  <c r="E371" i="3"/>
  <c r="E160" i="3"/>
  <c r="E467" i="3"/>
  <c r="E59" i="3"/>
  <c r="E349" i="3"/>
  <c r="E258" i="3"/>
  <c r="E37" i="3"/>
  <c r="E491" i="3"/>
  <c r="AP6" i="3"/>
  <c r="E430" i="3"/>
  <c r="E502" i="3"/>
  <c r="E286"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M18" i="9"/>
  <c r="B118" i="9" s="1"/>
  <c r="D19" i="11"/>
  <c r="C19" i="11" s="1"/>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10" i="15"/>
  <c r="C5" i="15" s="1"/>
  <c r="C38" i="15" s="1"/>
  <c r="M27" i="15"/>
  <c r="M27" i="67"/>
  <c r="F41" i="15"/>
  <c r="D3" i="33" l="1"/>
  <c r="D3" i="34"/>
  <c r="E6" i="6"/>
  <c r="B1" i="74"/>
  <c r="B14" i="74"/>
  <c r="D33" i="43"/>
  <c r="D1" i="43" s="1"/>
  <c r="C34" i="40"/>
  <c r="AC6" i="3"/>
  <c r="H6" i="3"/>
  <c r="F24" i="67"/>
  <c r="C24" i="67" s="1"/>
  <c r="F25" i="12"/>
  <c r="C26" i="12" s="1"/>
  <c r="D25" i="12" s="1"/>
  <c r="F22" i="68"/>
  <c r="C44" i="68" s="1"/>
  <c r="D41" i="68" s="1"/>
  <c r="F22" i="11"/>
  <c r="C44" i="11" s="1"/>
  <c r="D41" i="11" s="1"/>
  <c r="G54" i="34"/>
  <c r="H54" i="34" s="1"/>
  <c r="F24" i="15"/>
  <c r="C24" i="15" s="1"/>
  <c r="F22" i="69"/>
  <c r="F41" i="69"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34" i="68"/>
  <c r="D10" i="68"/>
  <c r="C14" i="67"/>
  <c r="C17" i="15"/>
  <c r="C17" i="67"/>
  <c r="C14" i="74" l="1"/>
  <c r="B2" i="74" s="1"/>
  <c r="H34" i="40"/>
  <c r="J34" i="40"/>
  <c r="F34" i="40"/>
  <c r="E6" i="3"/>
  <c r="H21" i="6"/>
  <c r="D30" i="6"/>
  <c r="H24" i="6"/>
  <c r="C26" i="68"/>
  <c r="D22" i="68" s="1"/>
  <c r="C26" i="69"/>
  <c r="D22" i="69" s="1"/>
  <c r="H25" i="6"/>
  <c r="R25" i="6" s="1"/>
  <c r="R12" i="1" s="1"/>
  <c r="F41" i="68"/>
  <c r="C25" i="11"/>
  <c r="C23" i="11"/>
  <c r="C24" i="11"/>
  <c r="C26" i="11"/>
  <c r="D22" i="11" s="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C34" i="68"/>
  <c r="E6" i="76"/>
  <c r="C36" i="68"/>
  <c r="D8" i="74" l="1"/>
  <c r="D7" i="74"/>
  <c r="AC34" i="40"/>
  <c r="W34" i="40"/>
  <c r="AB34" i="40"/>
  <c r="U34" i="40"/>
  <c r="AA34" i="40"/>
  <c r="S34" i="40"/>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E2" i="68"/>
  <c r="L51" i="15"/>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8" i="1"/>
  <c r="AO12" i="1"/>
  <c r="AO11"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8" i="68" l="1"/>
  <c r="C27" i="68" s="1"/>
  <c r="C25" i="68"/>
  <c r="C22" i="68" s="1"/>
  <c r="C31" i="68" l="1"/>
  <c r="C52" i="68" s="1"/>
  <c r="C57" i="68" s="1"/>
  <c r="C56" i="68" s="1"/>
  <c r="B2" i="68" l="1"/>
  <c r="C19" i="9"/>
  <c r="B3" i="68"/>
  <c r="D35" i="9"/>
  <c r="C20" i="9"/>
  <c r="D34" i="9"/>
  <c r="C21" i="9" l="1"/>
  <c r="G19" i="9"/>
  <c r="G21" i="9" s="1"/>
  <c r="D22" i="9"/>
  <c r="C102" i="9"/>
  <c r="C103" i="9"/>
  <c r="G20" i="9"/>
  <c r="C32" i="9" s="1"/>
  <c r="C35" i="9" s="1"/>
  <c r="C34" i="9" s="1"/>
  <c r="D118" i="9" s="1"/>
  <c r="D119" i="9" s="1"/>
  <c r="D5" i="52" s="1"/>
  <c r="B49" i="72" s="1"/>
  <c r="H118" i="9" l="1"/>
  <c r="D14" i="74" s="1"/>
  <c r="G14" i="74" s="1"/>
  <c r="B6" i="74" s="1"/>
  <c r="D6" i="74" s="1"/>
  <c r="F118" i="9"/>
  <c r="F4" i="52" s="1"/>
  <c r="B51" i="72" s="1"/>
  <c r="D4" i="52"/>
  <c r="B47" i="72" s="1"/>
  <c r="H119" i="9" l="1"/>
  <c r="H5" i="52" s="1"/>
  <c r="H4" i="52"/>
  <c r="B5" i="74"/>
  <c r="D5" i="74" s="1"/>
  <c r="E14" i="74"/>
  <c r="F14" i="74"/>
  <c r="F119" i="9"/>
  <c r="F5" i="52" s="1"/>
  <c r="B53" i="72" s="1"/>
  <c r="G118" i="9"/>
  <c r="G4" i="52" s="1"/>
  <c r="B52" i="72" s="1"/>
  <c r="C104" i="9"/>
  <c r="I118" i="9"/>
  <c r="H101" i="9"/>
  <c r="H102" i="9" l="1"/>
  <c r="I4" i="52"/>
  <c r="C105" i="9"/>
  <c r="E118" i="9"/>
  <c r="E4" i="52" s="1"/>
  <c r="B48" i="72" s="1"/>
  <c r="H107" i="9"/>
  <c r="D45" i="9"/>
  <c r="D5" i="53"/>
  <c r="M48" i="9"/>
  <c r="B20" i="72" l="1"/>
  <c r="D6" i="53"/>
  <c r="B22" i="72" s="1"/>
  <c r="C64" i="9"/>
  <c r="C63" i="9" s="1"/>
  <c r="C67" i="9" s="1"/>
  <c r="D53" i="9"/>
  <c r="C93" i="9"/>
  <c r="C86" i="9" s="1"/>
  <c r="C72" i="9"/>
  <c r="C78" i="9"/>
  <c r="C73" i="9" s="1"/>
  <c r="C85" i="9"/>
  <c r="D52" i="9"/>
  <c r="D55" i="9"/>
  <c r="M53" i="9" s="1"/>
  <c r="M49" i="9"/>
  <c r="D13" i="53"/>
  <c r="H108" i="9"/>
  <c r="D122" i="9"/>
  <c r="C5" i="74"/>
  <c r="D7" i="53"/>
  <c r="B21" i="72" s="1"/>
  <c r="C95" i="9" l="1"/>
  <c r="C96" i="9" s="1"/>
  <c r="E96" i="9" s="1"/>
  <c r="E97" i="9" s="1"/>
  <c r="B30" i="72"/>
  <c r="D14" i="53"/>
  <c r="B32" i="72" s="1"/>
  <c r="L65" i="9"/>
  <c r="M65" i="9" s="1"/>
  <c r="L67" i="9"/>
  <c r="M67" i="9" s="1"/>
  <c r="L63" i="9"/>
  <c r="M63" i="9" s="1"/>
  <c r="L66" i="9"/>
  <c r="M66" i="9" s="1"/>
  <c r="L64" i="9"/>
  <c r="M64" i="9" s="1"/>
  <c r="L68" i="9"/>
  <c r="M68" i="9" s="1"/>
  <c r="D59" i="9"/>
  <c r="M55" i="9" s="1"/>
  <c r="C68" i="9"/>
  <c r="D54" i="9" s="1"/>
  <c r="D123" i="9"/>
  <c r="D9" i="52" s="1"/>
  <c r="D8" i="52"/>
  <c r="C79" i="9"/>
  <c r="D15" i="53"/>
  <c r="B31" i="72" s="1"/>
  <c r="C6" i="74"/>
  <c r="C80" i="9" l="1"/>
  <c r="E80" i="9" s="1"/>
  <c r="E81" i="9" s="1"/>
  <c r="M69" i="9"/>
  <c r="N69" i="9" s="1"/>
  <c r="C97" i="9"/>
  <c r="D58" i="9" s="1"/>
  <c r="D56" i="9" s="1"/>
  <c r="M54" i="9" s="1"/>
  <c r="N57"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<sst xmlns="http://schemas.openxmlformats.org/spreadsheetml/2006/main" count="8143" uniqueCount="3583">
  <si>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</si>
  <si>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</si>
  <si>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</si>
  <si>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</si>
  <si>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</si>
  <si>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</si>
  <si>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</si>
  <si>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</si>
  <si>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</si>
  <si>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</si>
  <si>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</si>
  <si>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</si>
  <si>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</si>
  <si>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</si>
  <si>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</si>
  <si>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</si>
  <si>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</si>
  <si>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</si>
  <si>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</si>
  <si>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</si>
  <si>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</si>
  <si>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</si>
  <si>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</si>
  <si>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</si>
  <si>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</si>
  <si>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</si>
  <si>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</si>
  <si>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</si>
  <si>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</si>
  <si>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</si>
  <si>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</si>
  <si>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</si>
  <si>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</si>
  <si>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</si>
  <si>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</si>
  <si>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</si>
  <si>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</si>
  <si>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</si>
  <si>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</si>
  <si>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</si>
  <si>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</si>
  <si>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</si>
  <si>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</si>
  <si>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</si>
  <si>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</si>
  <si>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</si>
  <si>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</si>
  <si>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</si>
  <si>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</si>
  <si>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</si>
  <si>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</si>
  <si>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</si>
  <si>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</si>
  <si>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</si>
  <si>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</si>
  <si>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</si>
  <si>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</si>
  <si>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</si>
  <si>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</si>
  <si>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</si>
  <si>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</si>
  <si>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</si>
  <si>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</si>
  <si>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</si>
  <si>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</si>
  <si>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</si>
  <si>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</si>
  <si>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</si>
  <si>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</si>
  <si>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</si>
  <si>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</si>
  <si>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</si>
  <si>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</si>
  <si>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</si>
  <si>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</si>
  <si>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</si>
  <si>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</si>
  <si>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</si>
  <si>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</si>
  <si>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</si>
  <si>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</si>
  <si>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</si>
  <si>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</si>
  <si>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</si>
  <si>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</si>
  <si>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</si>
  <si>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</si>
  <si>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</si>
  <si>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</si>
  <si>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</si>
  <si>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</si>
  <si>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</si>
  <si>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</si>
  <si>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</si>
  <si>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</si>
  <si>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</si>
  <si>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</si>
  <si>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</si>
  <si>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</si>
  <si>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</si>
  <si>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</si>
  <si>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</si>
  <si>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</si>
  <si>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</si>
  <si>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</si>
  <si>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</si>
  <si>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</si>
  <si>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</si>
  <si>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</si>
  <si>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</si>
  <si>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</si>
  <si>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</si>
  <si>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</si>
  <si>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</si>
  <si>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</si>
  <si>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</si>
  <si>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</si>
  <si>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</si>
  <si>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</si>
  <si>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</si>
  <si>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</si>
  <si>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</si>
  <si>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</si>
  <si>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</si>
  <si>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</si>
  <si>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</si>
  <si>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</si>
  <si>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</si>
  <si>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</si>
  <si>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</si>
  <si>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</si>
  <si>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</si>
  <si>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</si>
  <si>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</si>
  <si>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</si>
  <si>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</si>
  <si>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</si>
  <si>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</si>
  <si>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</si>
  <si>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</si>
  <si>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</si>
  <si>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</si>
  <si>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</si>
  <si>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</si>
  <si>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</si>
  <si>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</si>
  <si>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</si>
  <si>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</si>
  <si>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</si>
  <si>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</si>
  <si>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</si>
  <si>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</si>
  <si>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</si>
  <si>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</si>
  <si>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</si>
  <si>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</si>
  <si>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</si>
  <si>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</si>
  <si>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</si>
  <si>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</si>
  <si>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</si>
  <si>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</si>
  <si>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</si>
  <si>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</si>
  <si>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</si>
  <si>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</si>
  <si>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</si>
  <si>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</si>
  <si>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</si>
  <si>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</si>
  <si>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</si>
  <si>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</si>
  <si>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</si>
  <si>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</si>
  <si>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</si>
  <si>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</si>
  <si>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</si>
  <si>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</si>
  <si>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</si>
  <si>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</si>
  <si>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</si>
  <si>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</si>
  <si>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</si>
  <si>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</si>
  <si>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</si>
  <si>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</si>
  <si>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</si>
  <si>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</si>
  <si>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</si>
  <si>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</si>
  <si>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</si>
  <si>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</si>
  <si>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</si>
  <si>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</si>
  <si>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</si>
  <si>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</si>
  <si>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</si>
  <si>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</si>
  <si>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</si>
  <si>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</si>
  <si>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</si>
  <si>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</si>
  <si>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</si>
  <si>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</si>
  <si>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</si>
  <si>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</si>
  <si>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</si>
  <si>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</si>
  <si>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</si>
  <si>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</si>
  <si>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</si>
  <si>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</si>
  <si>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</si>
  <si>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</si>
  <si>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</si>
  <si>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</si>
  <si>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</si>
  <si>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</si>
  <si>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</si>
  <si>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</si>
  <si>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</si>
  <si>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</si>
  <si>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</si>
  <si>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</si>
  <si>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</si>
  <si>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</si>
  <si>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</si>
  <si>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</si>
  <si>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</si>
  <si>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</si>
  <si>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</si>
  <si>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</si>
  <si>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</si>
  <si>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</si>
  <si>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</si>
  <si>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</si>
  <si>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</si>
  <si>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</si>
  <si>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</si>
  <si>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</si>
  <si>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</si>
  <si>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</si>
  <si>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</si>
  <si>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</si>
  <si>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</si>
  <si>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</si>
  <si>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</si>
  <si>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</si>
  <si>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</si>
  <si>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</si>
  <si>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</si>
  <si>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</si>
  <si>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</si>
  <si>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</si>
  <si>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</si>
  <si>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</si>
  <si>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</si>
  <si>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</si>
  <si>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</si>
  <si>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</si>
  <si>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</si>
  <si>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</si>
  <si>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</si>
  <si>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</si>
  <si>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</si>
  <si>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</si>
  <si>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</si>
  <si>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</si>
  <si>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</si>
  <si>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</si>
  <si>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</si>
  <si>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</si>
  <si>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</si>
  <si>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</si>
  <si>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</si>
  <si>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</si>
  <si>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</si>
  <si>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</si>
  <si>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</si>
  <si>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</si>
  <si>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</si>
  <si>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</si>
  <si>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</si>
  <si>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</si>
  <si>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</si>
  <si>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</si>
  <si>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</si>
  <si>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</si>
  <si>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</si>
  <si>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</si>
  <si>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</si>
  <si>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</si>
  <si>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</si>
  <si>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</si>
  <si>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</si>
  <si>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</si>
  <si>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</si>
  <si>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</si>
  <si>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</si>
  <si>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</si>
  <si>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</si>
  <si>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</si>
  <si>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</si>
  <si>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</si>
  <si>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</si>
  <si>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</si>
  <si>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</si>
  <si>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</si>
  <si>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</si>
  <si>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</si>
  <si>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</si>
  <si>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</si>
  <si>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</si>
  <si>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</si>
  <si>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</si>
  <si>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</si>
  <si>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</si>
  <si>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</si>
  <si>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</si>
  <si>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</si>
  <si>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</si>
  <si>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</si>
  <si>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</si>
  <si>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</si>
  <si>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</si>
  <si>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</si>
  <si>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</si>
  <si>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</si>
  <si>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</si>
  <si>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</si>
  <si>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</si>
  <si>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</si>
  <si>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</si>
  <si>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</si>
  <si>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</si>
  <si>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</si>
  <si>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</si>
  <si>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</si>
  <si>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</si>
  <si>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</si>
  <si>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</si>
  <si>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</si>
  <si>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</si>
  <si>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</si>
  <si>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</si>
  <si>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</si>
  <si>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</si>
  <si>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</si>
  <si>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</si>
  <si>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</si>
  <si>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</si>
  <si>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</si>
  <si>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</si>
  <si>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</si>
  <si>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</si>
  <si>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</si>
  <si>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</si>
  <si>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</si>
  <si>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</si>
  <si>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</si>
  <si>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</si>
  <si>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</si>
  <si>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</si>
  <si>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</si>
  <si>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</si>
  <si>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</si>
  <si>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</si>
  <si>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</si>
  <si>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</si>
  <si>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</si>
  <si>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</si>
  <si>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</si>
  <si>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</si>
  <si>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</si>
  <si>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</si>
  <si>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</si>
  <si>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</si>
  <si>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</si>
  <si>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</si>
  <si>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</si>
  <si>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</si>
  <si>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</si>
  <si>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</si>
  <si>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</si>
  <si>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</si>
  <si>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</si>
  <si>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</si>
  <si>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</si>
  <si>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</si>
  <si>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</si>
  <si>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</si>
  <si>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</si>
  <si>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</si>
  <si>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</si>
  <si>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</si>
  <si>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</si>
  <si>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</si>
  <si>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</si>
  <si>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</si>
  <si>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</si>
  <si>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</si>
  <si>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</si>
  <si>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</si>
  <si>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</si>
  <si>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</si>
  <si>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</si>
  <si>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</si>
  <si>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</si>
  <si>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</si>
  <si>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</si>
  <si>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</si>
  <si>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</si>
  <si>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</si>
  <si>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</si>
  <si>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</si>
  <si>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</si>
  <si>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</si>
  <si>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</si>
  <si>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</si>
  <si>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</si>
  <si>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</si>
  <si>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</si>
  <si>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</si>
  <si>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</si>
  <si>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</si>
  <si>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</si>
  <si>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</si>
  <si>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</si>
  <si>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</si>
  <si>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</si>
  <si>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</si>
  <si>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</si>
  <si>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</si>
  <si>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</si>
  <si>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</si>
  <si>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</si>
  <si>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</si>
  <si>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</si>
  <si>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</si>
  <si>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</si>
  <si>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</si>
  <si>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</si>
  <si>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</si>
  <si>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</si>
  <si>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</si>
  <si>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</si>
  <si>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</si>
  <si>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</si>
  <si>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</si>
  <si>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</si>
  <si>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</si>
  <si>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</si>
  <si>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</si>
  <si>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</si>
  <si>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</si>
  <si>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</si>
  <si>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</si>
  <si>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</si>
  <si>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</si>
  <si>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</si>
  <si>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</si>
  <si>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</si>
  <si>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</si>
  <si>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</si>
  <si>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</si>
  <si>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</si>
  <si>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</si>
  <si>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</si>
  <si>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</si>
  <si>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</si>
  <si>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</si>
  <si>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</si>
  <si>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</si>
  <si>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</si>
  <si>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</si>
  <si>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</si>
  <si>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</si>
  <si>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</si>
  <si>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</si>
  <si>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</si>
  <si>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</si>
  <si>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</si>
  <si>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</si>
  <si>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</si>
  <si>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</si>
  <si>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</si>
  <si>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</si>
  <si>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</si>
  <si>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</si>
  <si>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</si>
  <si>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</si>
  <si>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</si>
  <si>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</si>
  <si>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</si>
  <si>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</si>
  <si>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</si>
  <si>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</si>
  <si>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</si>
  <si>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</si>
  <si>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</si>
  <si>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</si>
  <si>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</si>
  <si>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</si>
  <si>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</si>
  <si>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</si>
  <si>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</si>
  <si>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</si>
  <si>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</si>
  <si>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</si>
  <si>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</si>
  <si>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</si>
  <si>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</si>
  <si>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</si>
  <si>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</si>
  <si>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</si>
  <si>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</si>
  <si>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</si>
  <si>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</si>
  <si>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</si>
  <si>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</si>
  <si>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</si>
  <si>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</si>
  <si>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</si>
  <si>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</si>
  <si>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</si>
  <si>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</si>
  <si>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</si>
  <si>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</si>
  <si>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</si>
  <si>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</si>
  <si>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</si>
  <si>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</si>
  <si>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</si>
  <si>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</si>
  <si>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</si>
  <si>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</si>
  <si>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</si>
  <si>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</si>
  <si>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</si>
  <si>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</si>
  <si>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</si>
  <si>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</si>
  <si>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</si>
  <si>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</si>
  <si>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</si>
  <si>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</si>
  <si>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</si>
  <si>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</si>
  <si>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</si>
  <si>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</si>
  <si>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</si>
  <si>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</si>
  <si>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</si>
  <si>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</si>
  <si>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</si>
  <si>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</si>
  <si>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</si>
  <si>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</si>
  <si>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</si>
  <si>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</si>
  <si>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</si>
  <si>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</si>
  <si>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</si>
  <si>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</si>
  <si>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</si>
  <si>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</si>
  <si>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</si>
  <si>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</si>
  <si>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</si>
  <si>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</si>
  <si>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</si>
  <si>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</si>
  <si>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</si>
  <si>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</si>
  <si>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</si>
  <si>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</si>
  <si>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</si>
  <si>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</si>
  <si>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</si>
  <si>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</si>
  <si>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</si>
  <si>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</si>
  <si>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</si>
  <si>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</si>
  <si>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</si>
  <si>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</si>
  <si>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</si>
  <si>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</si>
  <si>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</si>
  <si>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</si>
  <si>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</si>
  <si>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</si>
  <si>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</si>
  <si>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</si>
  <si>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</si>
  <si>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</si>
  <si>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</si>
  <si>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</si>
  <si>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</si>
  <si>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</si>
  <si>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</si>
  <si>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</si>
  <si>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</si>
  <si>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</si>
  <si>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</si>
  <si>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</si>
  <si>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</si>
  <si>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</si>
  <si>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</si>
  <si>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</si>
  <si>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</si>
  <si>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</si>
  <si>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</si>
  <si>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</si>
  <si>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</si>
  <si>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</si>
  <si>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</si>
  <si>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</si>
  <si>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</si>
  <si>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</si>
  <si>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</si>
  <si>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</si>
  <si>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</si>
  <si>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</si>
  <si>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</si>
  <si>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</si>
  <si>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</si>
  <si>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</si>
  <si>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</si>
  <si>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</si>
  <si>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</si>
  <si>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</si>
  <si>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</si>
  <si>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</si>
  <si>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</si>
  <si>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</si>
  <si>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</si>
  <si>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</si>
  <si>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</si>
  <si>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</si>
  <si>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</si>
  <si>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</si>
  <si>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</si>
  <si>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</si>
  <si>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</si>
  <si>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</si>
  <si>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</si>
  <si>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</si>
  <si>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</si>
  <si>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</si>
  <si>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</si>
  <si>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</si>
  <si>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</si>
  <si>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</si>
  <si>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</si>
  <si>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</si>
  <si>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</si>
  <si>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</si>
  <si>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</si>
  <si>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</si>
  <si>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</si>
  <si>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</si>
  <si>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</si>
  <si>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</si>
  <si>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</si>
  <si>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</si>
  <si>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</si>
  <si>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</si>
  <si>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</si>
  <si>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</si>
  <si>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</si>
  <si>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</si>
  <si>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</si>
  <si>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</si>
  <si>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</si>
  <si>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</si>
  <si>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</si>
  <si>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</si>
  <si>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</si>
  <si>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</si>
  <si>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</si>
  <si>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</si>
  <si>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</si>
  <si>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</si>
  <si>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</si>
  <si>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</si>
  <si>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</si>
  <si>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</si>
  <si>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</si>
  <si>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</si>
  <si>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</si>
  <si>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</si>
  <si>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</si>
  <si>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</si>
  <si>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</si>
  <si>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</si>
  <si>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</si>
  <si>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</si>
  <si>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</si>
  <si>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</si>
  <si>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</si>
  <si>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</si>
  <si>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</si>
  <si>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</si>
  <si>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</si>
  <si>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</si>
  <si>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</si>
  <si>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</si>
  <si>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</si>
  <si>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</si>
  <si>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</si>
  <si>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</si>
  <si>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</si>
  <si>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</si>
  <si>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</si>
  <si>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</si>
  <si>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</si>
  <si>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</si>
  <si>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</si>
  <si>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</si>
  <si>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</si>
  <si>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</si>
  <si>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</si>
  <si>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</si>
  <si>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</si>
  <si>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</si>
  <si>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</si>
  <si>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</si>
  <si>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</si>
  <si>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</si>
  <si>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</si>
  <si>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</si>
  <si>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</si>
  <si>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</si>
  <si>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</si>
  <si>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</si>
  <si>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</si>
  <si>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</si>
  <si>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</si>
  <si>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</si>
  <si>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</si>
  <si>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</si>
  <si>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</si>
  <si>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</si>
  <si>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</si>
  <si>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</si>
  <si>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</si>
  <si>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</si>
  <si>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</si>
  <si>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</si>
  <si>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</si>
  <si>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</si>
  <si>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</si>
  <si>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</si>
  <si>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</si>
  <si>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</si>
  <si>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</si>
  <si>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</si>
  <si>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</si>
  <si>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</si>
  <si>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</si>
  <si>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</si>
  <si>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</si>
  <si>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</si>
  <si>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</si>
  <si>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</si>
  <si>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</si>
  <si>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</si>
  <si>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</si>
  <si>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</si>
  <si>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</si>
  <si>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</si>
  <si>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</si>
  <si>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</si>
  <si>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</si>
  <si>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</si>
  <si>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</si>
  <si>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</si>
  <si>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</si>
  <si>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</si>
  <si>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</si>
  <si>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</si>
  <si>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</si>
  <si>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</si>
  <si>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</si>
  <si>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</si>
  <si>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</si>
  <si>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</si>
  <si>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</si>
  <si>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</si>
  <si>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</si>
  <si>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</si>
  <si>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</si>
  <si>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</si>
  <si>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</si>
  <si>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</si>
  <si>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</si>
  <si>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</si>
  <si>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</si>
  <si>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</si>
  <si>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</si>
  <si>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</si>
  <si>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</si>
  <si>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</si>
  <si>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</si>
  <si>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</si>
  <si>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</si>
  <si>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</si>
  <si>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</si>
  <si>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</si>
  <si>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</si>
  <si>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</si>
  <si>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</si>
  <si>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</si>
  <si>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</si>
  <si>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</si>
  <si>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</si>
  <si>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</si>
  <si>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</si>
  <si>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</si>
  <si>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</si>
  <si>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</si>
  <si>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</si>
  <si>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</si>
  <si>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</si>
  <si>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</si>
  <si>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</si>
  <si>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</si>
  <si>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</si>
  <si>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</si>
  <si>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</si>
  <si>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</si>
  <si>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</si>
  <si>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</si>
  <si>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</si>
  <si>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</si>
  <si>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</si>
  <si>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</si>
  <si>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</si>
  <si>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</si>
  <si>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</si>
  <si>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</si>
  <si>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</si>
  <si>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</si>
  <si>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</si>
  <si>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</si>
  <si>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</si>
  <si>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</si>
  <si>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</si>
  <si>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</si>
  <si>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</si>
  <si>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</si>
  <si>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</si>
  <si>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</si>
  <si>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</si>
  <si>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</si>
  <si>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</si>
  <si>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</si>
  <si>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</si>
  <si>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</si>
  <si>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</si>
  <si>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</si>
  <si>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</si>
  <si>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</si>
  <si>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</si>
  <si>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</si>
  <si>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</si>
  <si>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</si>
  <si>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</si>
  <si>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</si>
  <si>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</si>
  <si>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</si>
  <si>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</si>
  <si>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</si>
  <si>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</si>
  <si>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</si>
  <si>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</si>
  <si>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</si>
  <si>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</si>
  <si>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</si>
  <si>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</si>
  <si>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</si>
  <si>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</si>
  <si>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</si>
  <si>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</si>
  <si>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</si>
  <si>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</si>
  <si>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</si>
  <si>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</si>
  <si>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</si>
  <si>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</si>
  <si>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</si>
  <si>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</si>
  <si>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</si>
  <si>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</si>
  <si>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</si>
  <si>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</si>
  <si>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</si>
  <si>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</si>
  <si>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</si>
  <si>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</si>
  <si>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</si>
  <si>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</si>
  <si>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</si>
  <si>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</si>
  <si>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</si>
  <si>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</si>
  <si>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</si>
  <si>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</si>
  <si>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</si>
  <si>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</si>
  <si>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</si>
  <si>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</si>
  <si>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</si>
  <si>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</si>
  <si>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</si>
  <si>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</si>
  <si>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</si>
  <si>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</si>
  <si>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</si>
  <si>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</si>
  <si>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</si>
  <si>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</si>
  <si>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</si>
  <si>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</si>
  <si>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</si>
  <si>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</si>
  <si>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</si>
  <si>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</si>
  <si>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</si>
  <si>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</si>
  <si>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</si>
  <si>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</si>
  <si>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</si>
  <si>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</si>
  <si>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</si>
  <si>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</si>
  <si>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</si>
  <si>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</si>
  <si>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</si>
  <si>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</si>
  <si>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</si>
  <si>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</si>
  <si>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</si>
  <si>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</si>
  <si>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</si>
  <si>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</si>
  <si>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</si>
  <si>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</si>
  <si>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</si>
  <si>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</si>
  <si>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</si>
  <si>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</si>
  <si>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</si>
  <si>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</si>
  <si>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</si>
  <si>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</si>
  <si>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</si>
  <si>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</si>
  <si>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</si>
  <si>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</si>
  <si>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</si>
  <si>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</si>
  <si>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</si>
  <si>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</si>
  <si>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</si>
  <si>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</si>
  <si>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</si>
  <si>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</si>
  <si>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</si>
  <si>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</si>
  <si>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</si>
  <si>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</si>
  <si>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</si>
  <si>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</si>
  <si>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</si>
  <si>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</si>
  <si>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</si>
  <si>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</si>
  <si>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</si>
  <si>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</si>
  <si>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</si>
  <si>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</si>
  <si>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</si>
  <si>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</si>
  <si>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</si>
  <si>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</si>
  <si>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</si>
  <si>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</si>
  <si>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</si>
  <si>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</si>
  <si>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</si>
  <si>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</si>
  <si>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</si>
  <si>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</si>
  <si>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</si>
  <si>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</si>
  <si>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</si>
  <si>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</si>
  <si>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</si>
  <si>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</si>
  <si>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</si>
  <si>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</si>
  <si>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</si>
  <si>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</si>
  <si>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</si>
  <si>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</si>
  <si>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</si>
  <si>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</si>
  <si>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</si>
  <si>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</si>
  <si>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</si>
  <si>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</si>
  <si>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</si>
  <si>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</si>
  <si>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</si>
  <si>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</si>
  <si>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</si>
  <si>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</si>
  <si>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</si>
  <si>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</si>
  <si>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</si>
  <si>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</si>
  <si>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</si>
  <si>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</si>
  <si>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</si>
  <si>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</si>
  <si>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</si>
  <si>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</si>
  <si>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</si>
  <si>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</si>
  <si>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</si>
  <si>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</si>
  <si>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</si>
  <si>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</si>
  <si>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</si>
  <si>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</si>
  <si>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</si>
  <si>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</si>
  <si>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</si>
  <si>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</si>
  <si>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</si>
  <si>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</si>
  <si>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</si>
  <si>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</si>
  <si>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</si>
  <si>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</si>
  <si>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</si>
  <si>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</si>
  <si>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</si>
  <si>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</si>
  <si>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</si>
  <si>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</si>
  <si>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</si>
  <si>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</si>
  <si>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</si>
  <si>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</si>
  <si>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</si>
  <si>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</si>
  <si>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</si>
  <si>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</si>
  <si>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</si>
  <si>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</si>
  <si>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</si>
  <si>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</si>
  <si>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</si>
  <si>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</si>
  <si>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</si>
  <si>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</si>
  <si>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</si>
  <si>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</si>
  <si>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</si>
  <si>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</si>
  <si>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</si>
  <si>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</si>
  <si>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</si>
  <si>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</si>
  <si>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</si>
  <si>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</si>
  <si>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</si>
  <si>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</si>
  <si>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</si>
  <si>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</si>
  <si>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</si>
  <si>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</si>
  <si>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</si>
  <si>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</si>
  <si>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</si>
  <si>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</si>
  <si>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</si>
  <si>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</si>
  <si>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</si>
  <si>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</si>
  <si>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</si>
  <si>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</si>
  <si>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</si>
  <si>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</si>
  <si>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</si>
  <si>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</si>
  <si>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</si>
  <si>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</si>
  <si>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</si>
  <si>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</si>
  <si>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</si>
  <si>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</si>
  <si>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</si>
  <si>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</si>
  <si>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</si>
  <si>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</si>
  <si>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</si>
  <si>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</si>
  <si>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</si>
  <si>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</si>
  <si>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</si>
  <si>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</si>
  <si>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</si>
  <si>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</si>
  <si>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</si>
  <si>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</si>
  <si>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</si>
  <si>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</si>
  <si>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</si>
  <si>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</si>
  <si>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</si>
  <si>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</si>
  <si>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</si>
  <si>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</si>
  <si>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</si>
  <si>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</si>
  <si>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</si>
  <si>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</si>
  <si>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</si>
  <si>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</si>
  <si>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</si>
  <si>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</si>
  <si>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</si>
  <si>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</si>
  <si>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</si>
  <si>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</si>
  <si>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</si>
  <si>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</si>
  <si>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</si>
  <si>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</si>
  <si>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</si>
  <si>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</si>
  <si>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</si>
  <si>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</si>
  <si>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</si>
  <si>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</si>
  <si>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</si>
  <si>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</si>
  <si>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</si>
  <si>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</si>
  <si>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</si>
  <si>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</si>
  <si>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</si>
  <si>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</si>
  <si>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</si>
  <si>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</si>
  <si>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</si>
  <si>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</si>
  <si>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</si>
  <si>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</si>
  <si>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</si>
  <si>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</si>
  <si>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</si>
  <si>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</si>
  <si>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</si>
  <si>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</si>
  <si>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</si>
  <si>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</si>
  <si>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</si>
  <si>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</si>
  <si>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</si>
  <si>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</si>
  <si>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</si>
  <si>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</si>
  <si>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</si>
  <si>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</si>
  <si>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</si>
  <si>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</si>
  <si>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</si>
  <si>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</si>
  <si>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</si>
  <si>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</si>
  <si>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</si>
  <si>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</si>
  <si>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</si>
  <si>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</si>
  <si>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</si>
  <si>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</si>
  <si>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</si>
  <si>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</si>
  <si>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</si>
  <si>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</si>
  <si>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</si>
  <si>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</si>
  <si>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</si>
  <si>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</si>
  <si>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</si>
  <si>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</si>
  <si>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</si>
  <si>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</si>
  <si>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</si>
  <si>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</si>
  <si>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</si>
  <si>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</si>
  <si>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</si>
  <si>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</si>
  <si>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</si>
  <si>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</si>
  <si>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</si>
  <si>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</si>
  <si>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</si>
  <si>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</si>
  <si>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</si>
  <si>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</si>
  <si>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</si>
  <si>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</si>
  <si>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</si>
  <si>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</si>
  <si>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</si>
  <si>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</si>
  <si>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</si>
  <si>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</si>
  <si>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</si>
  <si>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</si>
  <si>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</si>
  <si>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</si>
  <si>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</si>
  <si>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</si>
  <si>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</si>
  <si>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</si>
  <si>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</si>
  <si>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</si>
  <si>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</si>
  <si>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</si>
  <si>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</si>
  <si>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</si>
  <si>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</si>
  <si>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</si>
  <si>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</si>
  <si>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</si>
  <si>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</si>
  <si>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</si>
  <si>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</si>
  <si>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</si>
  <si>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</si>
  <si>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</si>
  <si>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</si>
  <si>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</si>
  <si>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</si>
  <si>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</si>
  <si>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</si>
  <si>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</si>
  <si>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</si>
  <si>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</si>
  <si>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</si>
  <si>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</si>
  <si>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</si>
  <si>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</si>
  <si>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</si>
  <si>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</si>
  <si>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</si>
  <si>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</si>
  <si>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</si>
  <si>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</si>
  <si>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</si>
  <si>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</si>
  <si>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</si>
  <si>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</si>
  <si>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</si>
  <si>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</si>
  <si>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</si>
  <si>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</si>
  <si>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</si>
  <si>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</si>
  <si>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</si>
  <si>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</si>
  <si>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</si>
  <si>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</si>
  <si>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</si>
  <si>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</si>
  <si>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</si>
  <si>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</si>
  <si>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</si>
  <si>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</si>
  <si>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</si>
  <si>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</si>
  <si>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</si>
  <si>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</si>
  <si>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</si>
  <si>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</si>
  <si>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</si>
  <si>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</si>
  <si>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</si>
  <si>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</si>
  <si>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</si>
  <si>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</si>
  <si>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</si>
  <si>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</si>
  <si>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</si>
  <si>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</si>
  <si>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</si>
  <si>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</si>
  <si>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</si>
  <si>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</si>
  <si>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</si>
  <si>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</si>
  <si>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</si>
  <si>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</si>
  <si>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</si>
  <si>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</si>
  <si>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</si>
  <si>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</si>
  <si>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</si>
  <si>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</si>
  <si>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</si>
  <si>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</si>
  <si>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</si>
  <si>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</si>
  <si>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</si>
  <si>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</si>
  <si>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</si>
  <si>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</si>
  <si>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</si>
  <si>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</si>
  <si>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</si>
  <si>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</si>
  <si>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</si>
  <si>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</si>
  <si>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</si>
  <si>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</si>
  <si>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</si>
  <si>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</si>
  <si>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</si>
  <si>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</si>
  <si>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</si>
  <si>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</si>
  <si>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</si>
  <si>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</si>
  <si>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</si>
  <si>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</si>
  <si>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</si>
  <si>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</si>
  <si>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</si>
  <si>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</si>
  <si>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</si>
  <si>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</si>
  <si>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</si>
  <si>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</si>
  <si>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</si>
  <si>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</si>
  <si>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</si>
  <si>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</si>
  <si>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</si>
  <si>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</si>
  <si>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</si>
  <si>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</si>
  <si>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</si>
  <si>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</si>
  <si>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</si>
  <si>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</si>
  <si>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</si>
  <si>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</si>
  <si>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</si>
  <si>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</si>
  <si>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</si>
  <si>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</si>
  <si>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</si>
  <si>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</si>
  <si>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</si>
  <si>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</si>
  <si>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</si>
  <si>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</si>
  <si>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</si>
  <si>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</si>
  <si>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</si>
  <si>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</si>
  <si>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</si>
  <si>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</si>
  <si>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</si>
  <si>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</si>
  <si>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</si>
  <si>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</si>
  <si>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</si>
  <si>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</si>
  <si>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</si>
  <si>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</si>
  <si>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</si>
  <si>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</si>
  <si>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</si>
  <si>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</si>
  <si>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</si>
  <si>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</si>
  <si>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</si>
  <si>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</si>
  <si>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</si>
  <si>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</si>
  <si>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</si>
  <si>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</si>
  <si>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</si>
  <si>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</si>
  <si>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</si>
  <si>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</si>
  <si>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</si>
  <si>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</si>
  <si>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</si>
  <si>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</si>
  <si>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</si>
  <si>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</si>
  <si>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</si>
  <si>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</si>
  <si>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</si>
  <si>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</si>
  <si>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</si>
  <si>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</si>
  <si>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</si>
  <si>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</si>
  <si>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</si>
  <si>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</si>
  <si>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</si>
  <si>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</si>
  <si>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</si>
  <si>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</si>
  <si>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</si>
  <si>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</si>
  <si>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</si>
  <si>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</si>
  <si>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</si>
  <si>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</si>
  <si>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</si>
  <si>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</si>
  <si>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</si>
  <si>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</si>
  <si>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</si>
  <si>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</si>
  <si>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</si>
  <si>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</si>
  <si>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</si>
  <si>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</si>
  <si>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</si>
  <si>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</si>
  <si>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</si>
  <si>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</si>
  <si>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</si>
  <si>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</si>
  <si>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</si>
  <si>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</si>
  <si>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</si>
  <si>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</si>
  <si>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</si>
  <si>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</si>
  <si>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</si>
  <si>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</si>
  <si>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</si>
  <si>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</si>
  <si>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</si>
  <si>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</si>
  <si>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</si>
  <si>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</si>
  <si>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</si>
  <si>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</si>
  <si>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</si>
  <si>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</si>
  <si>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</si>
  <si>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</si>
  <si>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</si>
  <si>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</si>
  <si>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</si>
  <si>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</si>
  <si>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</si>
  <si>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</si>
  <si>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</si>
  <si>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</si>
  <si>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</si>
  <si>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</si>
  <si>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</si>
  <si>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</si>
  <si>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</si>
  <si>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</si>
  <si>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</si>
  <si>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</si>
  <si>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</si>
  <si>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</si>
  <si>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</si>
  <si>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</si>
  <si>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</si>
  <si>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</si>
  <si>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</si>
  <si>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</si>
  <si>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</si>
  <si>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</si>
  <si>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</si>
  <si>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</si>
  <si>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</si>
  <si>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</si>
  <si>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</si>
  <si>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</si>
  <si>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</si>
  <si>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</si>
  <si>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</si>
  <si>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</si>
  <si>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</si>
  <si>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</si>
  <si>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</si>
  <si>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</si>
  <si>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</si>
  <si>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</si>
  <si>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</si>
  <si>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</si>
  <si>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</si>
  <si>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</si>
  <si>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</si>
  <si>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</si>
  <si>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</si>
  <si>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</si>
  <si>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</si>
  <si>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</si>
  <si>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</si>
  <si>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</si>
  <si>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</si>
  <si>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</si>
  <si>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</si>
  <si>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</si>
  <si>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</si>
  <si>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</si>
  <si>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</si>
  <si>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</si>
  <si>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</si>
  <si>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</si>
  <si>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</si>
  <si>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</si>
  <si>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</si>
  <si>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</si>
  <si>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</si>
  <si>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</si>
  <si>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</si>
  <si>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</si>
  <si>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</si>
  <si>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</si>
  <si>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</si>
  <si>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</si>
  <si>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</si>
  <si>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</si>
  <si>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</si>
  <si>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</si>
  <si>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</si>
  <si>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</si>
  <si>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</si>
  <si>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</si>
  <si>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</si>
  <si>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</si>
  <si>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</si>
  <si>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</si>
  <si>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</si>
  <si>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</si>
  <si>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</si>
  <si>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</si>
  <si>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</si>
  <si>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</si>
  <si>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</si>
  <si>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</si>
  <si>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</si>
  <si>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</si>
  <si>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</si>
  <si>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</si>
  <si>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</si>
  <si>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</si>
  <si>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</si>
  <si>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</si>
  <si>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</si>
  <si>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</si>
  <si>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</si>
  <si>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</si>
  <si>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</si>
  <si>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</si>
  <si>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</si>
  <si>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</si>
  <si>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</si>
  <si>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</si>
  <si>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</si>
  <si>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</si>
  <si>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</si>
  <si>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</si>
  <si>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</si>
  <si>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</si>
  <si>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</si>
  <si>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</si>
  <si>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</si>
  <si>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</si>
  <si>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</si>
  <si>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</si>
  <si>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</si>
  <si>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</si>
  <si>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</si>
  <si>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</si>
  <si>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</si>
  <si>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</si>
  <si>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</si>
  <si>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</si>
  <si>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</si>
  <si>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</si>
  <si>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</si>
  <si>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</si>
  <si>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</si>
  <si>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</si>
  <si>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</si>
  <si>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</si>
  <si>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</si>
  <si>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</si>
  <si>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</si>
  <si>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</si>
  <si>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</si>
  <si>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</si>
  <si>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</si>
  <si>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</si>
  <si>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</si>
  <si>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</si>
  <si>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</si>
  <si>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</si>
  <si>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</si>
  <si>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</si>
  <si>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</si>
  <si>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</si>
  <si>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</si>
  <si>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</si>
  <si>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</si>
  <si>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</si>
  <si>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</si>
  <si>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</si>
  <si>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</si>
  <si>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</si>
  <si>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</si>
  <si>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</si>
  <si>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</si>
  <si>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</si>
  <si>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</si>
  <si>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</si>
  <si>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</si>
  <si>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</si>
  <si>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</si>
  <si>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</si>
  <si>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</si>
  <si>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</si>
  <si>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</si>
  <si>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</si>
  <si>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</si>
  <si>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</si>
  <si>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</si>
  <si>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</si>
  <si>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</si>
  <si>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</si>
  <si>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</si>
  <si>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</si>
  <si>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</si>
  <si>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</si>
  <si>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</si>
  <si>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</si>
  <si>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</si>
  <si>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</si>
  <si>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</si>
  <si>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</si>
  <si>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</si>
  <si>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</si>
  <si>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</si>
  <si>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</si>
  <si>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</si>
  <si>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</si>
  <si>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</si>
  <si>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</si>
  <si>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</si>
  <si>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</si>
  <si>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</si>
  <si>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</si>
  <si>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</si>
  <si>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</si>
  <si>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</si>
  <si>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</si>
  <si>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</si>
  <si>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</si>
  <si>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</si>
  <si>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</si>
  <si>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</si>
  <si>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</si>
  <si>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</si>
  <si>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</si>
  <si>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</si>
  <si>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</si>
  <si>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</si>
  <si>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</si>
  <si>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</si>
  <si>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</si>
  <si>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</si>
  <si>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</si>
  <si>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</si>
  <si>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</si>
  <si>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</si>
  <si>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</si>
  <si>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</si>
  <si>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</si>
  <si>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</si>
  <si>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</si>
  <si>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</si>
  <si>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</si>
  <si>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</si>
  <si>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</si>
  <si>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</si>
  <si>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</si>
  <si>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</si>
  <si>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</si>
  <si>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</si>
  <si>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</si>
  <si>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</si>
  <si>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</si>
  <si>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</si>
  <si>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</si>
  <si>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</si>
  <si>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</si>
  <si>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</si>
  <si>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</si>
  <si>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</si>
  <si>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</si>
  <si>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</si>
  <si>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</si>
  <si>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</si>
  <si>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</si>
  <si>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</si>
  <si>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</si>
  <si>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</si>
  <si>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</si>
  <si>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</si>
  <si>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</si>
  <si>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</si>
  <si>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</si>
  <si>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</si>
  <si>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</si>
  <si>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</si>
  <si>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</si>
  <si>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</si>
  <si>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</si>
  <si>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</si>
  <si>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</si>
  <si>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</si>
  <si>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</si>
  <si>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</si>
  <si>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</si>
  <si>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</si>
  <si>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</si>
  <si>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</si>
  <si>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</si>
  <si>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</si>
  <si>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</si>
  <si>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</si>
  <si>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</si>
  <si>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</si>
  <si>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</si>
  <si>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</si>
  <si>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</si>
  <si>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</si>
  <si>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</si>
  <si>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</si>
  <si>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</si>
  <si>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</si>
  <si>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</si>
  <si>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</si>
  <si>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</si>
  <si>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</si>
  <si>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</si>
  <si>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</si>
  <si>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</si>
  <si>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</si>
  <si>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</si>
  <si>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</si>
  <si>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</si>
  <si>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</si>
  <si>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</si>
  <si>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</si>
  <si>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</si>
  <si>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</si>
  <si>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</si>
  <si>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</si>
  <si>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</si>
  <si>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</si>
  <si>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</si>
  <si>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</si>
  <si>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</si>
  <si>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</si>
  <si>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</si>
  <si>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</si>
  <si>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</si>
  <si>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</si>
  <si>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</si>
  <si>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</si>
  <si>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</si>
  <si>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</si>
  <si>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</si>
  <si>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</si>
  <si>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</si>
  <si>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</si>
  <si>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</si>
  <si>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</si>
  <si>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</si>
  <si>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</si>
  <si>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</si>
  <si>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</si>
  <si>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</si>
  <si>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</si>
  <si>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</si>
  <si>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</si>
  <si>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</si>
  <si>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</si>
  <si>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</si>
  <si>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</si>
  <si>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</si>
  <si>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</si>
  <si>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</si>
  <si>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</si>
  <si>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</si>
  <si>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</si>
  <si>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</si>
  <si>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</si>
  <si>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</si>
  <si>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</si>
  <si>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</si>
  <si>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</si>
  <si>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</si>
  <si>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</si>
  <si>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</si>
  <si>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</si>
  <si>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</si>
  <si>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</si>
  <si>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</si>
  <si>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</si>
  <si>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</si>
  <si>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</si>
  <si>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</si>
  <si>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</si>
  <si>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</si>
  <si>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</si>
  <si>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</si>
  <si>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</si>
  <si>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</si>
  <si>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</si>
  <si>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</si>
  <si>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</si>
  <si>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</si>
  <si>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</si>
  <si>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</si>
  <si>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</si>
  <si>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</si>
  <si>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</si>
  <si>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</si>
  <si>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</si>
  <si>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</si>
  <si>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</si>
  <si>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</si>
  <si>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</si>
  <si>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</si>
  <si>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</si>
  <si>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</si>
  <si>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</si>
  <si>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</si>
  <si>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</si>
  <si>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</si>
  <si>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</si>
  <si>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</si>
  <si>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</si>
  <si>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</si>
  <si>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</si>
  <si>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</si>
  <si>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</si>
  <si>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</si>
  <si>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</si>
  <si>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</si>
  <si>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</si>
  <si>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</si>
  <si>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</si>
  <si>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</si>
  <si>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</si>
  <si>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</si>
  <si>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</si>
  <si>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</si>
  <si>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</si>
  <si>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</si>
  <si>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</si>
  <si>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</si>
  <si>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</si>
  <si>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</si>
  <si>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</si>
  <si>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</si>
  <si>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</si>
  <si>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</si>
  <si>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</si>
  <si>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</si>
  <si>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</si>
  <si>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</si>
  <si>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</si>
  <si>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</si>
  <si>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</si>
  <si>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</si>
  <si>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</si>
  <si>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</si>
  <si>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</si>
  <si>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</si>
  <si>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</si>
  <si>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</si>
  <si>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</si>
  <si>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</si>
  <si>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</si>
  <si>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</si>
  <si>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</si>
  <si>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</si>
  <si>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</si>
  <si>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</si>
  <si>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</si>
  <si>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</si>
  <si>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</si>
  <si>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</si>
  <si>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</si>
  <si>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</si>
  <si>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</si>
  <si>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</si>
  <si>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</si>
  <si>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</si>
  <si>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</si>
  <si>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</si>
  <si>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</si>
  <si>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</si>
  <si>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</si>
  <si>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</si>
  <si>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</si>
  <si>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</si>
  <si>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</si>
  <si>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</si>
  <si>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</si>
  <si>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</si>
  <si>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</si>
  <si>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</si>
  <si>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</si>
  <si>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</si>
  <si>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</si>
  <si>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</si>
  <si>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</si>
  <si>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</si>
  <si>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</si>
  <si>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</si>
  <si>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</si>
  <si>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</si>
  <si>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</si>
  <si>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</si>
  <si>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</si>
  <si>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</si>
  <si>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</si>
  <si>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</si>
  <si>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</si>
  <si>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</si>
  <si>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</si>
  <si>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</si>
  <si>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</si>
  <si>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</si>
  <si>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</si>
  <si>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</si>
  <si>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</si>
  <si>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</si>
  <si>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</si>
  <si>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</si>
  <si>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</si>
  <si>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</si>
  <si>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</si>
  <si>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</si>
  <si>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</si>
  <si>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</si>
  <si>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</si>
  <si>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</si>
  <si>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</si>
  <si>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</si>
  <si>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</si>
  <si>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</si>
  <si>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</si>
  <si>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</si>
  <si>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</si>
  <si>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</si>
  <si>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</si>
  <si>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</si>
  <si>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</si>
  <si>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</si>
  <si>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</si>
  <si>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</si>
  <si>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</si>
  <si>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</si>
  <si>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</si>
  <si>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</si>
  <si>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</si>
  <si>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</si>
  <si>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</si>
  <si>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</si>
  <si>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</si>
  <si>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</si>
  <si>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</si>
  <si>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</si>
  <si>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</si>
  <si>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</si>
  <si>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</si>
  <si>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</si>
  <si>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</si>
  <si>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</si>
  <si>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</si>
  <si>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</si>
  <si>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</si>
  <si>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</si>
  <si>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</si>
  <si>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</si>
  <si>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</si>
  <si>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</si>
  <si>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</si>
  <si>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</si>
  <si>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</si>
  <si>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</si>
  <si>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</si>
  <si>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</si>
  <si>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</si>
  <si>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</si>
  <si>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</si>
  <si>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</si>
  <si>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</si>
  <si>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</si>
  <si>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</si>
  <si>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</si>
  <si>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</si>
  <si>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</si>
  <si>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</si>
  <si>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</si>
  <si>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</si>
  <si>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</si>
  <si>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</si>
  <si>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</si>
  <si>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</si>
  <si>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</si>
  <si>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</si>
  <si>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</si>
  <si>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</si>
  <si>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</si>
  <si>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</si>
  <si>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</si>
  <si>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</si>
  <si>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</si>
  <si>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</si>
  <si>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</si>
  <si>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</si>
  <si>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</si>
  <si>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</si>
  <si>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</si>
  <si>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</si>
  <si>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</si>
  <si>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</si>
  <si>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</si>
  <si>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</si>
  <si>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</si>
  <si>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</si>
  <si>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</si>
  <si>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</si>
  <si>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</si>
  <si>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</si>
  <si>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</si>
  <si>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</si>
  <si>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</si>
  <si>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</si>
  <si>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</si>
  <si>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</si>
  <si>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</si>
  <si>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</si>
  <si>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</si>
  <si>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</si>
  <si>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</si>
  <si>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</si>
  <si>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</si>
  <si>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</si>
  <si>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</si>
  <si>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</si>
  <si>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</si>
  <si>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</si>
  <si>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</si>
  <si>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</si>
  <si>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</si>
  <si>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</si>
  <si>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</si>
  <si>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</si>
  <si>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</si>
  <si>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</si>
  <si>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</si>
  <si>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</si>
  <si>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</si>
  <si>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</si>
  <si>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</si>
  <si>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</si>
  <si>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</si>
  <si>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</si>
  <si>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</si>
  <si>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</si>
  <si>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</si>
  <si>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</si>
  <si>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</si>
  <si>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</si>
  <si>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</si>
  <si>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</si>
  <si>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</si>
  <si>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</si>
  <si>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</si>
  <si>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</si>
  <si>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</si>
  <si>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</si>
  <si>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</si>
  <si>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</si>
  <si>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</si>
  <si>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</si>
  <si>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</si>
  <si>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</si>
  <si>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</si>
  <si>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</si>
  <si>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</si>
  <si>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</si>
  <si>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</si>
  <si>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</si>
  <si>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</si>
  <si>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</si>
  <si>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</si>
  <si>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</si>
  <si>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</si>
  <si>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</si>
  <si>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</si>
  <si>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</si>
  <si>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</si>
  <si>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</si>
  <si>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</si>
  <si>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</si>
  <si>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</si>
  <si>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</si>
  <si>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</si>
  <si>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</si>
  <si>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</si>
  <si>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</si>
  <si>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</si>
  <si>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</si>
  <si>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</si>
  <si>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</si>
  <si>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</si>
  <si>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</si>
  <si>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</si>
  <si>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</si>
  <si>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</si>
  <si>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</si>
  <si>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</si>
  <si>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</si>
  <si>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</si>
  <si>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</si>
  <si>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</si>
  <si>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</si>
  <si>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</si>
  <si>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</si>
  <si>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</si>
  <si>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</si>
  <si>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</si>
  <si>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</si>
  <si>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</si>
  <si>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</si>
  <si>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</si>
  <si>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</si>
  <si>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</si>
  <si>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</si>
  <si>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</si>
  <si>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</si>
  <si>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</si>
  <si>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</si>
  <si>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</si>
  <si>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</si>
  <si>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</si>
  <si>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</si>
  <si>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</si>
  <si>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</si>
  <si>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</si>
  <si>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</si>
  <si>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</si>
  <si>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</si>
  <si>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</si>
  <si>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</si>
  <si>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</si>
  <si>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</si>
  <si>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</si>
  <si>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</si>
  <si>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</si>
  <si>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</si>
  <si>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</si>
  <si>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</si>
  <si>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</si>
  <si>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</si>
  <si>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</si>
  <si>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</si>
  <si>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</si>
  <si>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</si>
  <si>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</si>
  <si>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</si>
  <si>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</si>
  <si>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</si>
  <si>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</si>
  <si>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</si>
  <si>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</si>
  <si>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</si>
  <si>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</si>
  <si>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</si>
  <si>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</si>
  <si>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</si>
  <si>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</si>
  <si>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</si>
  <si>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</si>
  <si>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</si>
  <si>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</si>
  <si>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</si>
  <si>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</si>
  <si>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</si>
  <si>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</si>
  <si>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</si>
  <si>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</si>
  <si>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</si>
  <si>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</si>
  <si>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</si>
  <si>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</si>
  <si>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</si>
  <si>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</si>
  <si>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</si>
  <si>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</si>
  <si>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</si>
  <si>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</si>
  <si>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</si>
  <si>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</si>
  <si>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</si>
  <si>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</si>
  <si>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</si>
  <si>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</si>
  <si>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</si>
  <si>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</si>
  <si>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</si>
  <si>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</si>
  <si>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</si>
  <si>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</si>
  <si>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</si>
  <si>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</si>
  <si>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</si>
  <si>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</si>
  <si>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</si>
  <si>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</si>
  <si>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</si>
  <si>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</si>
  <si>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</si>
  <si>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</si>
  <si>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</si>
  <si>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</si>
  <si>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</si>
  <si>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</si>
  <si>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</si>
  <si>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</si>
  <si>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</si>
  <si>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</si>
  <si>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</si>
  <si>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</si>
  <si>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</si>
  <si>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</si>
  <si>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</si>
  <si>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</si>
  <si>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</si>
  <si>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</si>
  <si>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</si>
  <si>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</si>
  <si>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</si>
  <si>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</si>
  <si>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</si>
  <si>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</si>
  <si>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</si>
  <si>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</si>
  <si>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</si>
  <si>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</si>
  <si>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</si>
  <si>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</si>
  <si>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</si>
  <si>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</si>
  <si>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</si>
  <si>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</si>
  <si>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</si>
  <si>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</si>
  <si>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</si>
  <si>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</si>
  <si>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</si>
  <si>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</si>
  <si>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</si>
  <si>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</si>
  <si>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</si>
  <si>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</si>
  <si>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</si>
  <si>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</si>
  <si>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</si>
  <si>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</si>
  <si>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</si>
  <si>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</si>
  <si>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</si>
  <si>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</si>
  <si>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</si>
  <si>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</si>
  <si>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</si>
  <si>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</si>
  <si>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</si>
  <si>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</si>
  <si>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</si>
  <si>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</si>
  <si>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</si>
  <si>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</si>
  <si>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</si>
  <si>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</si>
  <si>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</si>
  <si>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</si>
  <si>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</si>
  <si>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</si>
  <si>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</si>
  <si>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</si>
  <si>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</si>
  <si>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</si>
  <si>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</si>
  <si>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</si>
  <si>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</si>
  <si>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</si>
  <si>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</si>
  <si>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</si>
  <si>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</si>
  <si>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</si>
  <si>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</si>
  <si>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</si>
  <si>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</si>
  <si>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</si>
  <si>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</si>
  <si>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</si>
  <si>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</si>
  <si>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</si>
  <si>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</si>
  <si>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</si>
  <si>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</si>
  <si>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</si>
  <si>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</si>
  <si>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</si>
  <si>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</si>
  <si>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</si>
  <si>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</si>
  <si>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</si>
  <si>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</si>
  <si>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</si>
  <si>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</si>
  <si>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</si>
  <si>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</si>
  <si>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</si>
  <si>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</si>
  <si>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</si>
  <si>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</si>
  <si>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</si>
  <si>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</si>
  <si>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</si>
  <si>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</si>
  <si>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</si>
  <si>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</si>
  <si>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</si>
  <si>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</si>
  <si>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</si>
  <si>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</si>
  <si>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</si>
  <si>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</si>
  <si>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</si>
  <si>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</si>
  <si>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</si>
  <si>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</si>
  <si>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</si>
  <si>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</si>
  <si>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</si>
  <si>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</si>
  <si>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</si>
  <si>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</si>
  <si>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</si>
  <si>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</si>
  <si>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</si>
  <si>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</si>
  <si>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</si>
  <si>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</si>
  <si>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</si>
  <si>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</si>
  <si>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</si>
  <si>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</si>
  <si>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</si>
  <si>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</si>
  <si>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</si>
  <si>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</si>
  <si>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</si>
  <si>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</si>
  <si>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</si>
  <si>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</si>
  <si>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</si>
  <si>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</si>
  <si>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</si>
  <si>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</si>
  <si>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</si>
  <si>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</si>
  <si>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</si>
  <si>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</si>
  <si>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</si>
  <si>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</si>
  <si>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</si>
  <si>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</si>
  <si>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</si>
  <si>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</si>
  <si>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</si>
  <si>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</si>
  <si>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</si>
  <si>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</si>
  <si>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</si>
  <si>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</si>
  <si>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</si>
  <si>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</si>
  <si>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</si>
  <si>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</si>
  <si>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</si>
  <si>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</si>
  <si>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</si>
  <si>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</si>
  <si>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</si>
  <si>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</si>
  <si>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</si>
  <si>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</si>
  <si>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</si>
  <si>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</si>
  <si>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</si>
  <si>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</si>
  <si>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</si>
  <si>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</si>
  <si>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</si>
  <si>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</si>
  <si>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</si>
  <si>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</si>
  <si>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</si>
  <si>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</si>
  <si>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</si>
  <si>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</si>
  <si>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</si>
  <si>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</si>
  <si>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</si>
  <si>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</si>
  <si>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</si>
  <si>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</si>
  <si>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</si>
  <si>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</si>
  <si>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</si>
  <si>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</si>
  <si>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</si>
  <si>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</si>
  <si>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</si>
  <si>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</si>
  <si>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</si>
  <si>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</si>
  <si>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</si>
  <si>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</si>
  <si>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</si>
  <si>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</si>
  <si>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</si>
  <si>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</si>
  <si>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</si>
  <si>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</si>
  <si>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</si>
  <si>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</si>
  <si>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</si>
  <si>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</si>
  <si>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</si>
  <si>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</si>
  <si>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</si>
  <si>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</si>
  <si>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</si>
  <si>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</si>
  <si>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</si>
  <si>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</si>
  <si>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</si>
  <si>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</si>
  <si>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</si>
  <si>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</si>
  <si>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</si>
  <si>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</si>
  <si>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</si>
  <si>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</si>
  <si>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</si>
  <si>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</si>
  <si>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</si>
  <si>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</si>
  <si>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</si>
  <si>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</si>
  <si>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</si>
  <si>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</si>
  <si>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</si>
  <si>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</si>
  <si>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</si>
  <si>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</si>
  <si>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</si>
  <si>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</si>
  <si>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</si>
  <si>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</si>
  <si>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</si>
  <si>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</si>
  <si>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</si>
  <si>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</si>
  <si>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</si>
  <si>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</si>
  <si>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</si>
  <si>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</si>
  <si>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</si>
  <si>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</si>
  <si>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</si>
  <si>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</si>
  <si>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</si>
  <si>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</si>
  <si>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</si>
  <si>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</si>
  <si>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</si>
  <si>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</si>
  <si>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</si>
  <si>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</si>
  <si>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</si>
  <si>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</si>
  <si>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</si>
  <si>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</si>
  <si>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</si>
  <si>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</si>
  <si>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</si>
  <si>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</si>
  <si>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</si>
  <si>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</si>
  <si>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</si>
  <si>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</si>
  <si>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</si>
  <si>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</si>
  <si>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</si>
  <si>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</si>
  <si>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</si>
  <si>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</si>
  <si>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</si>
  <si>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</si>
  <si>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</si>
  <si>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</si>
  <si>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</si>
  <si>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</si>
  <si>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</si>
  <si>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</si>
  <si>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</si>
  <si>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</si>
  <si>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</si>
  <si>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</si>
  <si>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</si>
  <si>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</si>
  <si>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</si>
  <si>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</si>
  <si>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</si>
  <si>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</si>
  <si>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</si>
  <si>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</si>
  <si>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</si>
  <si>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</si>
  <si>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</si>
  <si>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</si>
  <si>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</si>
  <si>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</si>
  <si>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</si>
  <si>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</si>
  <si>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</si>
  <si>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</si>
  <si>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</si>
  <si>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</si>
  <si>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</si>
  <si>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</si>
  <si>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</si>
  <si>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</si>
  <si>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</si>
  <si>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</si>
  <si>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</si>
  <si>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</si>
  <si>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</si>
  <si>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</si>
  <si>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</si>
  <si>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</si>
  <si>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</si>
  <si>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</si>
  <si>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</si>
  <si>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</si>
  <si>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</si>
  <si>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</si>
  <si>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</si>
  <si>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</si>
  <si>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</si>
  <si>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</si>
  <si>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</si>
  <si>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</si>
  <si>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</si>
  <si>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</si>
  <si>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</si>
  <si>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</si>
  <si>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</si>
  <si>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</si>
  <si>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</si>
  <si>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</si>
  <si>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</si>
  <si>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</si>
  <si>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</si>
  <si>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</si>
  <si>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</si>
  <si>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</si>
  <si>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</si>
  <si>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</si>
  <si>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</si>
  <si>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</si>
  <si>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</si>
  <si>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</si>
  <si>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</si>
  <si>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</si>
  <si>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</si>
  <si>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</si>
  <si>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</si>
  <si>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</si>
  <si>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</si>
  <si>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</si>
  <si>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</si>
  <si>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</si>
  <si>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</si>
  <si>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</si>
  <si>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</si>
  <si>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</si>
  <si>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</si>
  <si>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</si>
  <si>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</si>
  <si>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</si>
  <si>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</si>
  <si>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</si>
  <si>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</si>
  <si>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</si>
  <si>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</si>
  <si>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</si>
  <si>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</si>
  <si>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</si>
  <si>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</si>
  <si>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</si>
  <si>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</si>
  <si>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</si>
  <si>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</si>
  <si>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</si>
  <si>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</si>
  <si>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</si>
  <si>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</si>
  <si>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</si>
  <si>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</si>
  <si>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</si>
  <si>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</si>
  <si>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</si>
  <si>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</si>
  <si>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</si>
  <si>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</si>
  <si>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</si>
  <si>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</si>
  <si>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</si>
  <si>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</si>
  <si>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</si>
  <si>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</si>
  <si>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</si>
  <si>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</si>
  <si>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</si>
  <si>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</si>
  <si>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</si>
  <si>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</si>
  <si>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</si>
  <si>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</si>
  <si>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</si>
  <si>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</si>
  <si>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</si>
  <si>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</si>
  <si>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</si>
  <si>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</si>
  <si>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</si>
  <si>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</si>
  <si>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</si>
  <si>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</si>
  <si>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</si>
  <si>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</si>
  <si>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</si>
  <si>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</si>
  <si>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</si>
  <si>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</si>
  <si>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</si>
  <si>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</si>
  <si>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</si>
  <si>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</si>
  <si>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</si>
  <si>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</si>
  <si>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</si>
  <si>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</si>
  <si>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</si>
  <si>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</si>
  <si>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</si>
  <si>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</si>
  <si>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</si>
  <si>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</si>
  <si>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</si>
  <si>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</si>
  <si>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</si>
  <si>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</si>
  <si>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</si>
  <si>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</si>
  <si>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</si>
  <si>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</si>
  <si>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</si>
  <si>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</si>
  <si>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</si>
  <si>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</si>
  <si>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</si>
  <si>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</si>
  <si>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</si>
  <si>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</si>
  <si>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</si>
  <si>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</si>
  <si>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</si>
  <si>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</si>
  <si>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</si>
  <si>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</si>
  <si>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</si>
  <si>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</si>
  <si>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</si>
  <si>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</si>
  <si>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</si>
  <si>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</si>
  <si>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</si>
  <si>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</si>
  <si>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</si>
  <si>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</si>
  <si>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</si>
  <si>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</si>
  <si>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</si>
  <si>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</si>
  <si>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</si>
  <si>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</si>
  <si>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</si>
  <si>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</si>
  <si>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</si>
  <si>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</si>
  <si>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</si>
  <si>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</si>
  <si>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</si>
  <si>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</si>
  <si>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</si>
  <si>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</si>
  <si>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</si>
  <si>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</si>
  <si>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</si>
  <si>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</si>
  <si>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</si>
  <si>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</si>
  <si>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</si>
  <si>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</si>
  <si>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</si>
  <si>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</si>
  <si>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</si>
  <si>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</si>
  <si>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</si>
  <si>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</si>
  <si>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</si>
  <si>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</si>
  <si>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</si>
  <si>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</si>
  <si>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</si>
  <si>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</si>
  <si>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</si>
  <si>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</si>
  <si>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</si>
  <si>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</si>
  <si>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</si>
  <si>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</si>
  <si>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</si>
  <si>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</si>
  <si>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</si>
  <si>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</si>
  <si>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</si>
  <si>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</si>
  <si>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</si>
  <si>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</si>
  <si>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</si>
  <si>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</si>
  <si>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</si>
  <si>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</si>
  <si>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</si>
  <si>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</si>
  <si>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</si>
  <si>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</si>
  <si>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</si>
  <si>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</si>
  <si>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</si>
  <si>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</si>
  <si>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</si>
  <si>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</si>
  <si>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</si>
  <si>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</si>
  <si>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</si>
  <si>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</si>
  <si>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</si>
  <si>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</si>
  <si>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</si>
  <si>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</si>
  <si>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</si>
  <si>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</si>
  <si>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</si>
  <si>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</si>
  <si>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</si>
  <si>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</si>
  <si>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</si>
  <si>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</si>
  <si>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</si>
  <si>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</si>
  <si>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</si>
  <si>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</si>
  <si>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</si>
  <si>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</si>
  <si>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</si>
  <si>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</si>
  <si>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</si>
  <si>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</si>
  <si>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</si>
  <si>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</si>
  <si>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</si>
  <si>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</si>
  <si>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</si>
  <si>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</si>
  <si>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</si>
  <si>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</si>
  <si>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</si>
  <si>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</si>
  <si>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</si>
  <si>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</si>
  <si>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</si>
  <si>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</si>
  <si>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</si>
  <si>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</si>
  <si>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</si>
  <si>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</si>
  <si>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</si>
  <si>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</si>
  <si>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</si>
  <si>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</si>
  <si>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</si>
  <si>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</si>
  <si>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</si>
  <si>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</si>
  <si>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</si>
  <si>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</si>
  <si>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</si>
  <si>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</si>
  <si>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</si>
  <si>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</si>
  <si>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</si>
  <si>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</si>
  <si>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</si>
  <si>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</si>
  <si>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</si>
  <si>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</si>
  <si>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</si>
  <si>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</si>
  <si>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</si>
  <si>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</si>
  <si>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</si>
  <si>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</si>
  <si>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</si>
  <si>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</si>
  <si>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</si>
  <si>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</si>
  <si>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</si>
  <si>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</si>
  <si>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</si>
  <si>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</si>
  <si>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</si>
  <si>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</si>
  <si>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</si>
  <si>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</si>
  <si>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</si>
  <si>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</si>
  <si>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</si>
  <si>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</si>
  <si>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</si>
  <si>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</si>
  <si>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</si>
  <si>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</si>
  <si>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</si>
  <si>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</si>
  <si>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</si>
  <si>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</si>
  <si>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</si>
  <si>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</si>
  <si>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</si>
  <si>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</si>
  <si>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</si>
  <si>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</si>
  <si>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</si>
  <si>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</si>
  <si>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</si>
  <si>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</si>
  <si>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</si>
  <si>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</si>
  <si>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</si>
  <si>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</si>
  <si>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</si>
  <si>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</si>
  <si>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</si>
  <si>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</si>
  <si>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</si>
  <si>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</si>
  <si>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</si>
  <si>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</si>
  <si>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</si>
  <si>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</si>
  <si>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</si>
  <si>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</si>
  <si>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</si>
  <si>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</si>
  <si>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</si>
  <si>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</si>
  <si>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</si>
  <si>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</si>
  <si>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</si>
  <si>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</si>
  <si>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</si>
  <si>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</si>
  <si>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</si>
  <si>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</si>
  <si>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</si>
  <si>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</si>
  <si>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</si>
  <si>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</si>
  <si>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</si>
  <si>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</si>
  <si>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</si>
  <si>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</si>
  <si>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</si>
  <si>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</si>
  <si>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</si>
  <si>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</si>
  <si>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</si>
  <si>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</si>
  <si>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</si>
  <si>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</si>
  <si>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</si>
  <si>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</si>
  <si>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</si>
  <si>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</si>
  <si>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</si>
  <si>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</si>
  <si>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</si>
  <si>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</si>
  <si>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</si>
  <si>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</si>
  <si>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</si>
  <si>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</si>
  <si>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</si>
  <si>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</si>
  <si>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</si>
  <si>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</si>
  <si>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</si>
  <si>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</si>
  <si>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</si>
  <si>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</si>
  <si>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</si>
  <si>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</si>
  <si>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</si>
  <si>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</si>
  <si>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</si>
  <si>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</si>
  <si>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</si>
  <si>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</si>
  <si>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</si>
  <si>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</si>
  <si>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</si>
  <si>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</si>
  <si>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</si>
  <si>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</si>
  <si>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</si>
  <si>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</si>
  <si>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</si>
  <si>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</si>
  <si>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</si>
  <si>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</si>
  <si>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</si>
  <si>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</si>
  <si>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</si>
  <si>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</si>
  <si>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</si>
  <si>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</si>
  <si>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</si>
  <si>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</si>
  <si>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</si>
  <si>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</si>
  <si>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</si>
  <si>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</si>
  <si>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</si>
  <si>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</si>
  <si>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</si>
  <si>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</si>
  <si>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</si>
  <si>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</si>
  <si>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</si>
  <si>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</si>
  <si>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</si>
  <si>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</si>
  <si>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</si>
  <si>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</si>
  <si>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</si>
  <si>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</si>
  <si>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</si>
  <si>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</si>
  <si>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</si>
  <si>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</si>
  <si>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</si>
  <si>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</si>
  <si>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</si>
  <si>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</si>
  <si>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</si>
  <si>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</si>
  <si>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</si>
  <si>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</si>
  <si>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</si>
  <si>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</si>
  <si>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</si>
  <si>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</si>
  <si>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</si>
  <si>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</si>
  <si>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</si>
  <si>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</si>
  <si>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</si>
  <si>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</si>
  <si>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</si>
  <si>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</si>
  <si>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</si>
  <si>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</si>
  <si>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</si>
  <si>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</si>
  <si>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</si>
  <si>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</si>
  <si>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</si>
  <si>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</si>
  <si>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</si>
  <si>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</si>
  <si>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</si>
  <si>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</si>
  <si>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</si>
  <si>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</si>
  <si>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</si>
  <si>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</si>
  <si>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</si>
  <si>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</si>
  <si>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</si>
  <si>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</si>
  <si>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</si>
  <si>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</si>
  <si>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</si>
  <si>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</si>
  <si>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</si>
  <si>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</si>
  <si>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</si>
  <si>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</si>
  <si>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</si>
  <si>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</si>
  <si>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</si>
  <si>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</si>
  <si>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</si>
  <si>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</si>
  <si>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</si>
  <si>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</si>
  <si>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</si>
  <si>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</si>
  <si>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</si>
  <si>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</si>
  <si>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</si>
  <si>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</si>
  <si>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</si>
  <si>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</si>
  <si>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</si>
  <si>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</si>
  <si>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</si>
  <si>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</si>
  <si>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</si>
  <si>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</si>
  <si>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</si>
  <si>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</si>
  <si>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</si>
  <si>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</si>
  <si>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</si>
  <si>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</si>
  <si>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</si>
  <si>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</si>
  <si>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</si>
  <si>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</si>
  <si>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</si>
  <si>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</si>
  <si>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</si>
  <si>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</si>
  <si>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</si>
  <si>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</si>
  <si>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</si>
  <si>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</si>
  <si>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</si>
  <si>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</si>
  <si>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</si>
  <si>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</si>
  <si>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</si>
  <si>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</si>
  <si>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</si>
  <si>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</si>
  <si>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</si>
  <si>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</si>
  <si>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</si>
  <si>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</si>
  <si>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</si>
  <si>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</si>
  <si>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</si>
  <si>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</si>
  <si>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</si>
  <si>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</si>
  <si>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</si>
  <si>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</si>
  <si>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</si>
  <si>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</si>
  <si>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</si>
  <si>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</si>
  <si>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</si>
  <si>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</si>
  <si>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</si>
  <si>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</si>
  <si>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</si>
  <si>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</si>
  <si>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</si>
  <si>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</si>
  <si>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</si>
  <si>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</si>
  <si>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</si>
  <si>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</si>
  <si>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</si>
  <si>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</si>
  <si>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</si>
  <si>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</si>
  <si>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</si>
  <si>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</si>
  <si>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</si>
  <si>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</si>
  <si>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</si>
  <si>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</si>
  <si>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</si>
  <si>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</si>
  <si>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</si>
  <si>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</si>
  <si>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</si>
  <si>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</si>
  <si>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</si>
  <si>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</si>
  <si>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</si>
  <si>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</si>
  <si>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</si>
  <si>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</si>
  <si>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</si>
  <si>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</si>
  <si>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</si>
  <si>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</si>
  <si>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</si>
  <si>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</si>
  <si>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</si>
  <si>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</si>
  <si>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</si>
  <si>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</si>
  <si>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</si>
  <si>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</si>
  <si>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</si>
  <si>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</si>
  <si>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</si>
  <si>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</si>
  <si>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</si>
  <si>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</si>
  <si>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</si>
  <si>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</si>
  <si>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</si>
  <si>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</si>
  <si>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</si>
  <si>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</si>
  <si>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</si>
  <si>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</si>
  <si>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</si>
  <si>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</si>
  <si>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</si>
  <si>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</si>
  <si>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</si>
  <si>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</si>
  <si>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</si>
  <si>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</si>
  <si>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</si>
  <si>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</si>
  <si>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</si>
  <si>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</si>
  <si>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</si>
  <si>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</si>
  <si>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</si>
  <si>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</si>
  <si>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</si>
  <si>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</si>
  <si>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</si>
  <si>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</si>
  <si>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</si>
  <si>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</si>
  <si>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</si>
  <si>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</si>
  <si>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</si>
  <si>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</si>
  <si>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</si>
  <si>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</si>
  <si>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</si>
  <si>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</si>
  <si>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</si>
  <si>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</si>
  <si>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</si>
  <si>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</si>
  <si>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</si>
  <si>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</si>
  <si>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</si>
  <si>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</si>
  <si>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</si>
  <si>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</si>
  <si>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</si>
  <si>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</si>
  <si>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</si>
  <si>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</si>
  <si>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</si>
  <si>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</si>
  <si>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</si>
  <si>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</si>
  <si>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</si>
  <si>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</si>
  <si>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</si>
  <si>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</si>
  <si>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</si>
  <si>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</si>
  <si>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</si>
  <si>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</si>
  <si>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</si>
  <si>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</si>
  <si>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</si>
  <si>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</si>
  <si>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</si>
  <si>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</si>
  <si>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</si>
  <si>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</si>
  <si>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</si>
  <si>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</si>
  <si>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</si>
  <si>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</si>
  <si>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</si>
  <si>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</si>
  <si>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</si>
  <si>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</si>
  <si>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</si>
  <si>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</si>
  <si>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</si>
  <si>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</si>
  <si>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</si>
  <si>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</si>
  <si>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</si>
  <si>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</si>
  <si>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</si>
  <si>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</si>
  <si>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</si>
  <si>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</si>
  <si>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</si>
  <si>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</si>
  <si>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</si>
  <si>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</si>
  <si>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</si>
  <si>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</si>
  <si>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</si>
  <si>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</si>
  <si>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</si>
  <si>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</si>
  <si>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</si>
  <si>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</si>
  <si>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</si>
  <si>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</si>
  <si>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</si>
  <si>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</si>
  <si>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</si>
  <si>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</si>
  <si>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</si>
  <si>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</si>
  <si>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</si>
  <si>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</si>
  <si>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</si>
  <si>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</si>
  <si>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</si>
  <si>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</si>
  <si>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</si>
  <si>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</si>
  <si>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</si>
  <si>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</si>
  <si>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</si>
  <si>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</si>
  <si>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</si>
  <si>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</si>
  <si>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</si>
  <si>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</si>
  <si>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</si>
  <si>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</si>
  <si>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</si>
  <si>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</si>
  <si>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</si>
  <si>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</si>
  <si>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</si>
  <si>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</si>
  <si>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</si>
  <si>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</si>
  <si>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</si>
  <si>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</si>
  <si>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</si>
  <si>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</si>
  <si>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</si>
  <si>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</si>
  <si>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</si>
  <si>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</si>
  <si>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</si>
  <si>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</si>
  <si>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</si>
  <si>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</si>
  <si>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</si>
  <si>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</si>
  <si>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</si>
  <si>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</si>
  <si>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</si>
  <si>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</si>
  <si>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</si>
  <si>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</si>
  <si>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</si>
  <si>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</si>
  <si>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</si>
  <si>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</si>
  <si>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</si>
  <si>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</si>
  <si>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</si>
  <si>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</si>
  <si>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</si>
  <si>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</si>
  <si>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</si>
  <si>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</si>
  <si>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</si>
  <si>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</si>
  <si>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</si>
  <si>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</si>
  <si>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</si>
  <si>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</si>
  <si>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</si>
  <si>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</si>
  <si>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</si>
  <si>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</si>
  <si>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</si>
  <si>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</si>
  <si>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</si>
  <si>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</si>
  <si>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</si>
  <si>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</si>
  <si>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</si>
  <si>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</si>
  <si>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</si>
  <si>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</si>
  <si>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</si>
  <si>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</si>
  <si>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</si>
  <si>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</si>
  <si>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</si>
  <si>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</si>
  <si>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</si>
  <si>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抵押</t>
  </si>
  <si>
    <t>房地产抵押价值</t>
  </si>
  <si>
    <t>北京市</t>
  </si>
  <si>
    <t>企业</t>
  </si>
  <si>
    <r>
      <rPr>
        <sz val="10"/>
        <color theme="9" tint="-0.249977111117893"/>
        <rFont val="宋体"/>
        <family val="3"/>
        <charset val="134"/>
      </rPr>
      <t>怀柔区雁栖经济开发区雁栖大街</t>
    </r>
    <r>
      <rPr>
        <sz val="10"/>
        <color theme="9" tint="-0.249977111117893"/>
        <rFont val="Arial"/>
        <family val="2"/>
      </rPr>
      <t>8</t>
    </r>
    <r>
      <rPr>
        <sz val="10"/>
        <color theme="9" tint="-0.249977111117893"/>
        <rFont val="宋体"/>
        <family val="3"/>
        <charset val="134"/>
      </rPr>
      <t>号</t>
    </r>
    <phoneticPr fontId="6" type="noConversion"/>
  </si>
  <si>
    <t>通路</t>
  </si>
  <si>
    <t>通电</t>
  </si>
  <si>
    <t>通讯</t>
  </si>
  <si>
    <t>通上水</t>
  </si>
  <si>
    <t>通下水</t>
  </si>
  <si>
    <t>通热</t>
  </si>
  <si>
    <t>平整</t>
  </si>
  <si>
    <t>Ⅸ-雁栖开发区A</t>
  </si>
  <si>
    <t>幢号</t>
    <phoneticPr fontId="134" type="noConversion"/>
  </si>
  <si>
    <t>1幢</t>
    <phoneticPr fontId="134" type="noConversion"/>
  </si>
  <si>
    <t>2幢</t>
  </si>
  <si>
    <t>3幢</t>
  </si>
  <si>
    <t>4幢</t>
  </si>
  <si>
    <t>5幢</t>
  </si>
  <si>
    <t>6幢</t>
  </si>
  <si>
    <t>7幢</t>
  </si>
  <si>
    <t>8幢</t>
  </si>
  <si>
    <t>9幢</t>
  </si>
  <si>
    <t>房屋总层数</t>
    <phoneticPr fontId="134" type="noConversion"/>
  </si>
  <si>
    <t>所在层数</t>
    <phoneticPr fontId="134" type="noConversion"/>
  </si>
  <si>
    <t>1-2</t>
    <phoneticPr fontId="134" type="noConversion"/>
  </si>
  <si>
    <t>结构</t>
    <phoneticPr fontId="134" type="noConversion"/>
  </si>
  <si>
    <t>混合</t>
    <phoneticPr fontId="134" type="noConversion"/>
  </si>
  <si>
    <t>建筑面积</t>
  </si>
  <si>
    <t>建筑面积</t>
    <phoneticPr fontId="134" type="noConversion"/>
  </si>
  <si>
    <t>地上</t>
  </si>
  <si>
    <t>灭失</t>
    <phoneticPr fontId="134" type="noConversion"/>
  </si>
  <si>
    <t>土地面积</t>
    <phoneticPr fontId="134" type="noConversion"/>
  </si>
  <si>
    <t>容积率</t>
    <phoneticPr fontId="134" type="noConversion"/>
  </si>
  <si>
    <t>是</t>
  </si>
  <si>
    <t>工业</t>
    <phoneticPr fontId="7" type="noConversion"/>
  </si>
  <si>
    <t>自定义容积率</t>
  </si>
  <si>
    <t>与级别开发程度不一致</t>
  </si>
  <si>
    <t>较好</t>
  </si>
  <si>
    <t>一般</t>
  </si>
  <si>
    <t>未包含在土地购买价格中</t>
  </si>
  <si>
    <t>全部缴纳</t>
  </si>
  <si>
    <t>已包含在土地取得成本中</t>
  </si>
  <si>
    <t>成新度</t>
  </si>
  <si>
    <t>建安取值</t>
  </si>
  <si>
    <t>单方建安</t>
  </si>
  <si>
    <t>合计</t>
  </si>
  <si>
    <t>工程进度</t>
  </si>
  <si>
    <t>主体</t>
  </si>
  <si>
    <t>地下</t>
  </si>
  <si>
    <t>装修</t>
  </si>
  <si>
    <t>设备</t>
  </si>
  <si>
    <t>人防</t>
  </si>
  <si>
    <t>综合平均</t>
  </si>
  <si>
    <t>建成年代</t>
  </si>
  <si>
    <t>砖混</t>
  </si>
  <si>
    <t>钢混</t>
  </si>
  <si>
    <t>残值率</t>
  </si>
  <si>
    <t>直线折旧</t>
  </si>
  <si>
    <t>观察成新</t>
  </si>
  <si>
    <t>租期：</t>
    <phoneticPr fontId="134" type="noConversion"/>
  </si>
  <si>
    <t>到2013-6-14</t>
    <phoneticPr fontId="134" type="noConversion"/>
  </si>
  <si>
    <t>到2024-6-14</t>
    <phoneticPr fontId="134" type="noConversion"/>
  </si>
  <si>
    <t>收益法</t>
  </si>
  <si>
    <t>自定义</t>
  </si>
  <si>
    <t>押一</t>
  </si>
  <si>
    <t>非生产用房</t>
  </si>
  <si>
    <t>现房</t>
  </si>
  <si>
    <t>成本法</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</si>
  <si>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</si>
  <si>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</si>
  <si>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</si>
  <si>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</si>
  <si>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</si>
  <si>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</si>
  <si>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</si>
  <si>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</si>
  <si>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</si>
  <si>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</si>
  <si>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</si>
  <si>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</si>
  <si>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</si>
  <si>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</si>
  <si>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</si>
  <si>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</si>
  <si>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</si>
  <si>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</si>
  <si>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</si>
  <si>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</si>
  <si>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</si>
  <si>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</si>
  <si>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</si>
  <si>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</si>
  <si>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</si>
  <si>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</si>
  <si>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</si>
  <si>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</si>
  <si>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</si>
  <si>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</si>
  <si>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</si>
  <si>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</si>
  <si>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</si>
  <si>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</si>
  <si>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</si>
  <si>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</si>
  <si>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</si>
  <si>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</si>
  <si>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</si>
  <si>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</si>
  <si>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</si>
  <si>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</si>
  <si>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</si>
  <si>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</si>
  <si>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</si>
  <si>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</si>
  <si>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</si>
  <si>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</si>
  <si>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</si>
  <si>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</si>
  <si>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</si>
  <si>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</si>
  <si>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</si>
  <si>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</si>
  <si>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</si>
  <si>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</si>
  <si>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</si>
  <si>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</si>
  <si>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</si>
  <si>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</si>
  <si>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</si>
  <si>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</si>
  <si>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</si>
  <si>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</si>
  <si>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</si>
  <si>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 xml:space="preserve"> 北京 </t>
  </si>
  <si>
    <t xml:space="preserve"> 北京市 </t>
  </si>
  <si>
    <t xml:space="preserve"> 怀柔区 </t>
  </si>
  <si>
    <t xml:space="preserve"> 北房镇 </t>
  </si>
  <si>
    <t xml:space="preserve"> 京规自挂(怀)工业[2024]001号 </t>
  </si>
  <si>
    <t xml:space="preserve"> 怀柔科学城0213街区 </t>
  </si>
  <si>
    <t xml:space="preserve"> -- </t>
  </si>
  <si>
    <t xml:space="preserve"> 工业用地 </t>
  </si>
  <si>
    <t xml:space="preserve"> M1一类工业用地 </t>
  </si>
  <si>
    <t xml:space="preserve"> 20年 </t>
  </si>
  <si>
    <t xml:space="preserve"> ≤1.9 </t>
  </si>
  <si>
    <t xml:space="preserve"> 挂牌 </t>
  </si>
  <si>
    <t xml:space="preserve">-- </t>
  </si>
  <si>
    <t xml:space="preserve"> 已成交 </t>
  </si>
  <si>
    <t xml:space="preserve"> 未开工 </t>
  </si>
  <si>
    <t xml:space="preserve"> 北京机科易普软件技术有限公司  </t>
  </si>
  <si>
    <t xml:space="preserve"> 北京机科易普软件技术有限公司 </t>
  </si>
  <si>
    <t xml:space="preserve"> 950元/㎡(九级工业用途2021-01-01) </t>
  </si>
  <si>
    <t xml:space="preserve"> </t>
  </si>
  <si>
    <t xml:space="preserve"> 否 </t>
  </si>
  <si>
    <t xml:space="preserve"> --</t>
  </si>
  <si>
    <t>折50年楼面价</t>
    <phoneticPr fontId="134" type="noConversion"/>
  </si>
  <si>
    <t>楼转地</t>
    <phoneticPr fontId="134" type="noConversion"/>
  </si>
  <si>
    <t>土地报酬率</t>
    <phoneticPr fontId="134" type="noConversion"/>
  </si>
  <si>
    <t>年限</t>
    <phoneticPr fontId="134" type="noConversion"/>
  </si>
  <si>
    <t>年期修正系数</t>
    <phoneticPr fontId="134" type="noConversion"/>
  </si>
  <si>
    <t>20年</t>
    <phoneticPr fontId="134" type="noConversion"/>
  </si>
  <si>
    <t>容积率基准地价</t>
    <phoneticPr fontId="134" type="noConversion"/>
  </si>
  <si>
    <t>容积率修正系数</t>
    <phoneticPr fontId="134" type="noConversion"/>
  </si>
  <si>
    <t xml:space="preserve"> 已开工 </t>
  </si>
  <si>
    <t>单位面积地价</t>
  </si>
  <si>
    <t>需扣减承租人权益</t>
  </si>
  <si>
    <t xml:space="preserve"> 地方国有企业 </t>
  </si>
  <si>
    <t>未来科学城科研成果转化基地(原小汤山镇工业区)(一期)项目CP04-0201-0010地块M1一类工业用地</t>
  </si>
  <si>
    <t xml:space="preserve"> 昌平区 </t>
  </si>
  <si>
    <t xml:space="preserve"> 北石槽 </t>
  </si>
  <si>
    <t xml:space="preserve"> 京规自挂(昌)工业[2024]002号 </t>
  </si>
  <si>
    <t xml:space="preserve"> 昌平区小汤山镇 </t>
  </si>
  <si>
    <t xml:space="preserve"> 北京昌发展美丽健康产业科技有限公司  </t>
  </si>
  <si>
    <t xml:space="preserve"> 北京昌发展美丽健康产业科技有限公司 </t>
  </si>
  <si>
    <t>昌平区北七家工业园区土地一级开发(一期)项目CP01-1502-0007地块M1一类工业用地</t>
  </si>
  <si>
    <t xml:space="preserve"> 未来科学城 </t>
  </si>
  <si>
    <t xml:space="preserve"> 京规自挂(昌)工业[2023]005号 </t>
  </si>
  <si>
    <t xml:space="preserve"> 昌平区北七家镇 </t>
  </si>
  <si>
    <t xml:space="preserve"> M1一类工业用地、B41加油加气站用地 </t>
  </si>
  <si>
    <t xml:space="preserve"> ≤1.5 </t>
  </si>
  <si>
    <t xml:space="preserve"> 北京恒泰万博石油技术股份有限公司  </t>
  </si>
  <si>
    <t xml:space="preserve"> 1720元/㎡(七级工业用途2021-01-01) </t>
  </si>
  <si>
    <t>一般</t>
    <phoneticPr fontId="40" type="noConversion"/>
  </si>
  <si>
    <t>较差</t>
  </si>
  <si>
    <t>较差</t>
    <phoneticPr fontId="40" type="noConversion"/>
  </si>
  <si>
    <t>七通</t>
  </si>
  <si>
    <t>七通</t>
    <phoneticPr fontId="24" type="noConversion"/>
  </si>
  <si>
    <r>
      <t>7</t>
    </r>
    <r>
      <rPr>
        <sz val="11"/>
        <rFont val="宋体"/>
        <family val="3"/>
        <charset val="134"/>
      </rPr>
      <t>级</t>
    </r>
    <phoneticPr fontId="32" type="noConversion"/>
  </si>
  <si>
    <r>
      <t>8级</t>
    </r>
    <r>
      <rPr>
        <sz val="11"/>
        <rFont val="宋体"/>
        <family val="3"/>
        <charset val="134"/>
      </rPr>
      <t/>
    </r>
  </si>
  <si>
    <r>
      <t>9级</t>
    </r>
    <r>
      <rPr>
        <sz val="11"/>
        <rFont val="宋体"/>
        <family val="3"/>
        <charset val="134"/>
      </rPr>
      <t/>
    </r>
  </si>
  <si>
    <r>
      <t>9</t>
    </r>
    <r>
      <rPr>
        <sz val="10"/>
        <color indexed="8"/>
        <rFont val="宋体"/>
        <family val="3"/>
        <charset val="134"/>
      </rPr>
      <t>级</t>
    </r>
    <phoneticPr fontId="24" type="noConversion"/>
  </si>
  <si>
    <t>9级</t>
  </si>
  <si>
    <t>7级</t>
  </si>
  <si>
    <t>六通</t>
  </si>
  <si>
    <t>三通</t>
  </si>
  <si>
    <t>怀柔科学城HR00-0213-6038地块M1一类工业用地国有建设用地</t>
    <phoneticPr fontId="134" type="noConversion"/>
  </si>
  <si>
    <t>总价</t>
  </si>
  <si>
    <t>成本比率</t>
  </si>
  <si>
    <t>否</t>
  </si>
  <si>
    <t>9级</t>
    <phoneticPr fontId="134" type="noConversion"/>
  </si>
  <si>
    <t>7级</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</si>
</sst>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color theme="1"/>
      <name val="华文细黑"/>
      <family val="3"/>
      <charset val="134"/>
    </font>
    <font>
      <sz val="10"/>
      <color rgb="FFFF0000"/>
      <name val="宋体"/>
      <family val="3"/>
      <charset val="134"/>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271" fillId="0" borderId="0" xfId="0" applyFont="1">
      <alignment vertical="center"/>
    </xf>
    <xf numFmtId="0" fontId="271" fillId="0" borderId="1" xfId="0" applyFont="1" applyBorder="1">
      <alignment vertical="center"/>
    </xf>
    <xf numFmtId="0" fontId="271" fillId="0" borderId="1" xfId="0" applyFont="1" applyBorder="1" applyAlignment="1">
      <alignment horizontal="left" vertical="center"/>
    </xf>
    <xf numFmtId="49" fontId="271" fillId="0" borderId="1" xfId="0" applyNumberFormat="1" applyFont="1" applyBorder="1" applyAlignment="1">
      <alignment horizontal="left" vertical="center"/>
    </xf>
    <xf numFmtId="0" fontId="271" fillId="5" borderId="1" xfId="0" applyFont="1" applyFill="1" applyBorder="1">
      <alignment vertical="center"/>
    </xf>
    <xf numFmtId="0" fontId="271" fillId="5" borderId="1" xfId="0" applyFont="1" applyFill="1" applyBorder="1" applyAlignment="1">
      <alignment horizontal="left" vertical="center"/>
    </xf>
    <xf numFmtId="0" fontId="271" fillId="5" borderId="0" xfId="0" applyFont="1" applyFill="1">
      <alignment vertical="center"/>
    </xf>
    <xf numFmtId="0" fontId="0" fillId="5" borderId="0" xfId="0" applyFill="1">
      <alignment vertical="center"/>
    </xf>
    <xf numFmtId="2" fontId="0" fillId="0" borderId="0" xfId="0" applyNumberFormat="1">
      <alignment vertical="center"/>
    </xf>
    <xf numFmtId="2" fontId="44" fillId="0" borderId="49" xfId="0" applyNumberFormat="1" applyFont="1" applyBorder="1" applyAlignment="1" applyProtection="1">
      <alignment horizontal="center"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14" fontId="271" fillId="0" borderId="0" xfId="0" applyNumberFormat="1" applyFont="1">
      <alignment vertical="center"/>
    </xf>
    <xf numFmtId="14" fontId="0" fillId="0" borderId="0" xfId="0" applyNumberFormat="1" applyAlignment="1"/>
    <xf numFmtId="0" fontId="272" fillId="0" borderId="0" xfId="0" applyFont="1" applyAlignment="1">
      <alignment horizontal="left" vertical="center"/>
    </xf>
    <xf numFmtId="0" fontId="107" fillId="9" borderId="0" xfId="0" applyFont="1" applyFill="1" applyAlignment="1">
      <alignment horizontal="left" vertical="center"/>
    </xf>
    <xf numFmtId="0" fontId="273" fillId="0" borderId="0" xfId="0" applyFont="1" applyAlignment="1">
      <alignment horizontal="left" vertical="center"/>
    </xf>
    <xf numFmtId="195" fontId="251" fillId="6" borderId="1" xfId="3" applyNumberFormat="1" applyFont="1" applyFill="1" applyBorder="1" applyAlignment="1">
      <alignment horizontal="left" vertical="center"/>
    </xf>
    <xf numFmtId="195" fontId="249" fillId="0" borderId="0" xfId="3" applyNumberFormat="1" applyFont="1" applyAlignment="1">
      <alignment horizontal="left" vertical="center"/>
    </xf>
    <xf numFmtId="195" fontId="250" fillId="6" borderId="17" xfId="3" applyNumberFormat="1" applyFont="1" applyFill="1" applyBorder="1" applyAlignment="1">
      <alignment horizontal="left" vertical="center"/>
    </xf>
    <xf numFmtId="195" fontId="251" fillId="6" borderId="32"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xf numFmtId="0" fontId="0" fillId="5" borderId="0" xfId="0"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98" fillId="8" borderId="24" xfId="0" applyFont="1" applyFill="1" applyBorder="1" applyAlignment="1">
      <alignment horizontal="center" vertical="center" wrapText="1"/>
    </xf>
    <xf numFmtId="9" fontId="47" fillId="22" borderId="5" xfId="0" applyNumberFormat="1" applyFont="1" applyFill="1" applyBorder="1" applyAlignment="1" applyProtection="1">
      <alignment horizontal="center" vertical="center"/>
      <protection locked="0"/>
    </xf>
    <xf numFmtId="0" fontId="44" fillId="22" borderId="3" xfId="0" applyFont="1" applyFill="1" applyBorder="1" applyProtection="1">
      <alignment vertical="center"/>
      <protection locked="0"/>
    </xf>
    <xf numFmtId="0" fontId="107" fillId="22" borderId="0" xfId="0" applyFont="1" applyFill="1" applyAlignment="1">
      <alignment horizontal="left" vertical="center"/>
    </xf>
    <xf numFmtId="0" fontId="54" fillId="22" borderId="24"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93;&#35199;&#36335;8&#21495;-&#21556;&#22992;/&#30005;&#31639;&#34920;-&#38593;&#35199;&#36335;8&#21495;20240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土地比较法-住宅、综合"/>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修正"/>
      <sheetName val="基准地价（汇总）"/>
      <sheetName val="修正"/>
      <sheetName val="容积率修正"/>
      <sheetName val="成本法（废）"/>
      <sheetName val="土地案例"/>
      <sheetName val="成本法"/>
      <sheetName val="比较法-办公"/>
      <sheetName val="收益法商"/>
      <sheetName val="收益法"/>
      <sheetName val="收益法（汇总）"/>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北京市怀柔区雁栖经济开发区雁栖大街8号房地产抵押价值预评估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受贵公司委托，我公司对北京市怀柔区雁栖经济开发区雁栖大街8号房地产抵押价值进行了预评估。</v>
      </c>
    </row>
    <row r="7" spans="1:2">
      <c r="A7" s="1118" t="s">
        <v>566</v>
      </c>
      <c r="B7" s="1119" t="str">
        <f>'预评函-1'!A7</f>
        <v>估价对象为北京市怀柔区雁栖经济开发区雁栖大街8号房地产，为所有。根据《国有土地使用证》[]，估价对象（分摊）出让国有建设用地使用权面积为10810.26平方米，建筑面积为2382.1平方米。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2024年10月22日（评估专业人员实地查勘之日）</v>
      </c>
    </row>
    <row r="13" spans="1:2">
      <c r="A13" s="1118" t="s">
        <v>529</v>
      </c>
      <c r="B13" s="1119"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2386</v>
      </c>
    </row>
    <row r="21" spans="1:2">
      <c r="A21" s="1118" t="s">
        <v>537</v>
      </c>
      <c r="B21" s="1119">
        <f ca="1">'预评函-2'!D7</f>
        <v>10016</v>
      </c>
    </row>
    <row r="22" spans="1:2">
      <c r="A22" s="1118" t="s">
        <v>538</v>
      </c>
      <c r="B22" s="1119" t="str">
        <f ca="1">'预评函-2'!D6</f>
        <v>贰仟叁佰捌拾陆万元整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2386</v>
      </c>
    </row>
    <row r="31" spans="1:2">
      <c r="A31" s="1118" t="s">
        <v>576</v>
      </c>
      <c r="B31" s="1119">
        <f ca="1">'预评函-2'!D15</f>
        <v>10016</v>
      </c>
    </row>
    <row r="32" spans="1:2">
      <c r="A32" s="1118" t="s">
        <v>543</v>
      </c>
      <c r="B32" s="1119" t="str">
        <f ca="1">'预评函-2'!D14</f>
        <v>贰仟叁佰捌拾陆万元整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北京市怀柔区雁栖经济开发区雁栖大街8号房地产</v>
      </c>
    </row>
    <row r="42" spans="1:2">
      <c r="A42" s="1118" t="s">
        <v>590</v>
      </c>
      <c r="B42" s="1119" t="str">
        <f>'预评函-3'!B2</f>
        <v>建筑面积</v>
      </c>
    </row>
    <row r="43" spans="1:2">
      <c r="A43" s="1118" t="s">
        <v>591</v>
      </c>
      <c r="B43" s="1119">
        <f>'预评函-3'!B4</f>
        <v>2382.1000000000004</v>
      </c>
    </row>
    <row r="44" spans="1:2">
      <c r="A44" s="1118" t="s">
        <v>575</v>
      </c>
      <c r="B44" s="1119" t="str">
        <f>'预评函-3'!C2</f>
        <v>(分摊)土地面积</v>
      </c>
    </row>
    <row r="45" spans="1:2">
      <c r="A45" s="1118" t="s">
        <v>547</v>
      </c>
      <c r="B45" s="1119">
        <f>'预评函-3'!C4</f>
        <v>10810.26</v>
      </c>
    </row>
    <row r="46" spans="1:2">
      <c r="A46" s="1118" t="s">
        <v>573</v>
      </c>
      <c r="B46" s="1119" t="str">
        <f>'预评函-3'!D2</f>
        <v>出让国有建设用地使用权价值</v>
      </c>
    </row>
    <row r="47" spans="1:2">
      <c r="A47" s="1118" t="s">
        <v>548</v>
      </c>
      <c r="B47" s="1119">
        <f ca="1">'预评函-3'!D4</f>
        <v>1935</v>
      </c>
    </row>
    <row r="48" spans="1:2">
      <c r="A48" s="1118" t="s">
        <v>549</v>
      </c>
      <c r="B48" s="1119">
        <f ca="1">'预评函-3'!E4</f>
        <v>8123</v>
      </c>
    </row>
    <row r="49" spans="1:2">
      <c r="A49" s="1118" t="s">
        <v>550</v>
      </c>
      <c r="B49" s="1119" t="str">
        <f ca="1">'预评函-3'!D5</f>
        <v>壹仟玖佰叁拾伍万元整</v>
      </c>
    </row>
    <row r="50" spans="1:2">
      <c r="A50" s="1118" t="s">
        <v>574</v>
      </c>
      <c r="B50" s="1119" t="str">
        <f>'预评函-3'!F2</f>
        <v>在建建筑物价值</v>
      </c>
    </row>
    <row r="51" spans="1:2">
      <c r="A51" s="1118" t="s">
        <v>551</v>
      </c>
      <c r="B51" s="1119">
        <f ca="1">'预评函-3'!F4</f>
        <v>451</v>
      </c>
    </row>
    <row r="52" spans="1:2">
      <c r="A52" s="1118" t="s">
        <v>552</v>
      </c>
      <c r="B52" s="1119">
        <f ca="1">'预评函-3'!G4</f>
        <v>1893</v>
      </c>
    </row>
    <row r="53" spans="1:2">
      <c r="A53" s="1118" t="s">
        <v>580</v>
      </c>
      <c r="B53" s="1119" t="str">
        <f ca="1">'预评函-3'!F5</f>
        <v>肆佰伍拾壹万元整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5" thickBot="1">
      <c r="A73" s="1121" t="s">
        <v>565</v>
      </c>
      <c r="B73" s="1122">
        <f ca="1">'预评函-4'!B5</f>
        <v>1419970001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25" sqref="F2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6" t="s">
        <v>385</v>
      </c>
      <c r="C54" s="1444" t="s">
        <v>583</v>
      </c>
    </row>
    <row r="55" spans="1:4">
      <c r="A55" s="3221"/>
      <c r="B55" s="1446" t="s">
        <v>386</v>
      </c>
      <c r="C55" s="1444" t="s">
        <v>584</v>
      </c>
    </row>
    <row r="56" spans="1:4">
      <c r="A56" s="3221"/>
      <c r="B56" s="1446" t="s">
        <v>387</v>
      </c>
      <c r="C56" s="1444" t="s">
        <v>588</v>
      </c>
    </row>
    <row r="57" spans="1:4">
      <c r="A57" s="322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M36" sqref="M3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2492</v>
      </c>
      <c r="B1" s="2752"/>
      <c r="C1" s="2752"/>
      <c r="D1" s="2752"/>
      <c r="E1" s="2752"/>
      <c r="F1" s="2753"/>
      <c r="I1" s="3130" t="s">
        <v>2585</v>
      </c>
      <c r="J1" s="2778"/>
      <c r="K1" s="2778"/>
      <c r="L1" s="2778"/>
      <c r="M1" s="2778"/>
      <c r="N1" s="2963"/>
      <c r="O1" s="2963"/>
      <c r="P1" s="2963"/>
      <c r="Q1" s="2963"/>
      <c r="R1" s="2963"/>
    </row>
    <row r="2" spans="1:18">
      <c r="A2" s="2755"/>
      <c r="B2" s="2756"/>
      <c r="C2" s="2756"/>
      <c r="D2" s="2756"/>
      <c r="E2" s="2756"/>
      <c r="F2" s="2757"/>
      <c r="I2" s="3222" t="s">
        <v>2572</v>
      </c>
      <c r="J2" s="3222"/>
      <c r="K2" s="3222"/>
      <c r="L2" s="3222"/>
      <c r="M2" s="3222"/>
      <c r="N2" s="3222"/>
      <c r="O2" s="3222"/>
      <c r="P2" s="3222"/>
      <c r="Q2" s="3222"/>
      <c r="R2" s="3222"/>
    </row>
    <row r="3" spans="1:18">
      <c r="A3" s="2758" t="s">
        <v>2493</v>
      </c>
      <c r="B3" s="2759">
        <f>项目基本情况!D3</f>
        <v>45587</v>
      </c>
      <c r="C3" s="2761"/>
      <c r="D3" s="2761"/>
      <c r="E3" s="2761"/>
      <c r="F3" s="2757"/>
      <c r="I3" s="2773"/>
      <c r="J3" s="2773" t="s">
        <v>2576</v>
      </c>
      <c r="K3" s="2773" t="s">
        <v>2577</v>
      </c>
      <c r="L3" s="2773" t="s">
        <v>2578</v>
      </c>
      <c r="M3" s="2773" t="s">
        <v>2579</v>
      </c>
      <c r="N3" s="3131" t="s">
        <v>2580</v>
      </c>
      <c r="O3" s="3131" t="s">
        <v>2581</v>
      </c>
      <c r="P3" s="3131" t="s">
        <v>2582</v>
      </c>
      <c r="Q3" s="3131" t="s">
        <v>2583</v>
      </c>
      <c r="R3" s="3131" t="s">
        <v>2584</v>
      </c>
    </row>
    <row r="4" spans="1:18">
      <c r="A4" s="2758" t="s">
        <v>2494</v>
      </c>
      <c r="B4" s="2761" t="s">
        <v>2495</v>
      </c>
      <c r="C4" s="2761" t="s">
        <v>2496</v>
      </c>
      <c r="D4" s="2761" t="s">
        <v>2497</v>
      </c>
      <c r="E4" s="2761" t="s">
        <v>2498</v>
      </c>
      <c r="F4" s="2757"/>
      <c r="I4" s="2773" t="s">
        <v>2573</v>
      </c>
      <c r="J4" s="2773">
        <v>80</v>
      </c>
      <c r="K4" s="2773">
        <v>70</v>
      </c>
      <c r="L4" s="2773">
        <v>20</v>
      </c>
      <c r="M4" s="2773">
        <v>30</v>
      </c>
      <c r="N4" s="2761">
        <v>45</v>
      </c>
      <c r="O4" s="2761">
        <v>60</v>
      </c>
      <c r="P4" s="2761">
        <v>50</v>
      </c>
      <c r="Q4" s="2761">
        <v>20</v>
      </c>
      <c r="R4" s="2761">
        <v>375</v>
      </c>
    </row>
    <row r="5" spans="1:18">
      <c r="A5" s="2762">
        <v>40</v>
      </c>
      <c r="B5" s="2759">
        <v>46375</v>
      </c>
      <c r="C5" s="2761">
        <f>ROUNDDOWN(MIN((B5-B3)/365,A5),2)</f>
        <v>2.15</v>
      </c>
      <c r="D5" s="2763">
        <f>IF(ISERROR(ROUND(POWER(1+E5,A5-C5)*(POWER(1+E5,C5)-1)/(POWER(1+E5,A5)-1),3)),0,ROUND(POWER(1+E5,A5-C5)*(POWER(1+E5,C5)-1)/(POWER(1+E5,A5)-1),4))</f>
        <v>0.1021</v>
      </c>
      <c r="E5" s="2764">
        <v>0.04</v>
      </c>
      <c r="F5" s="2757"/>
      <c r="I5" s="2773" t="s">
        <v>2574</v>
      </c>
      <c r="J5" s="2773">
        <v>70</v>
      </c>
      <c r="K5" s="2773">
        <v>60</v>
      </c>
      <c r="L5" s="2773">
        <v>15</v>
      </c>
      <c r="M5" s="2773">
        <v>25</v>
      </c>
      <c r="N5" s="2761">
        <v>40</v>
      </c>
      <c r="O5" s="2761">
        <v>50</v>
      </c>
      <c r="P5" s="2761">
        <v>40</v>
      </c>
      <c r="Q5" s="2761">
        <v>15</v>
      </c>
      <c r="R5" s="2761">
        <v>315</v>
      </c>
    </row>
    <row r="6" spans="1:18">
      <c r="A6" s="2762">
        <v>50</v>
      </c>
      <c r="B6" s="2759">
        <v>50028</v>
      </c>
      <c r="C6" s="2761">
        <f>ROUNDDOWN(MIN((B6-B3)/365,A6),2)</f>
        <v>12.16</v>
      </c>
      <c r="D6" s="2763">
        <f>IF(ISERROR(ROUND(POWER(1+E6,A6-C6)*(POWER(1+E6,C6)-1)/(POWER(1+E6,A6)-1),3)),0,ROUND(POWER(1+E6,A6-C6)*(POWER(1+E6,C6)-1)/(POWER(1+E6,A6)-1),4))</f>
        <v>0.44140000000000001</v>
      </c>
      <c r="E6" s="2764">
        <v>0.04</v>
      </c>
      <c r="F6" s="2757"/>
      <c r="I6" s="2773" t="s">
        <v>2575</v>
      </c>
      <c r="J6" s="2773">
        <v>60</v>
      </c>
      <c r="K6" s="2773">
        <v>50</v>
      </c>
      <c r="L6" s="2773">
        <v>10</v>
      </c>
      <c r="M6" s="2773">
        <v>20</v>
      </c>
      <c r="N6" s="2761">
        <v>35</v>
      </c>
      <c r="O6" s="2761">
        <v>40</v>
      </c>
      <c r="P6" s="2761">
        <v>30</v>
      </c>
      <c r="Q6" s="2761">
        <v>10</v>
      </c>
      <c r="R6" s="2761">
        <v>255</v>
      </c>
    </row>
    <row r="7" spans="1:18">
      <c r="A7" s="2762">
        <v>70</v>
      </c>
      <c r="B7" s="2759">
        <v>57333</v>
      </c>
      <c r="C7" s="2761">
        <f>ROUNDDOWN(MIN((B7-B3)/365,A7),2)</f>
        <v>32.18</v>
      </c>
      <c r="D7" s="2763">
        <f>IF(ISERROR(ROUND(POWER(1+E7,A7-C7)*(POWER(1+E7,C7)-1)/(POWER(1+E7,A7)-1),3)),0,ROUND(POWER(1+E7,A7-C7)*(POWER(1+E7,C7)-1)/(POWER(1+E7,A7)-1),4))</f>
        <v>0.7661</v>
      </c>
      <c r="E7" s="2764">
        <v>0.04</v>
      </c>
      <c r="F7" s="2757"/>
    </row>
    <row r="8" spans="1:18">
      <c r="A8" s="2755"/>
      <c r="B8" s="2756"/>
      <c r="C8" s="2756"/>
      <c r="D8" s="2756"/>
      <c r="E8" s="2756"/>
      <c r="F8" s="2757"/>
    </row>
    <row r="9" spans="1:18">
      <c r="A9" s="2758" t="s">
        <v>2499</v>
      </c>
      <c r="B9" s="2761"/>
      <c r="C9" s="2761"/>
      <c r="D9" s="2761"/>
      <c r="E9" s="2761"/>
      <c r="F9" s="2765"/>
    </row>
    <row r="10" spans="1:18">
      <c r="A10" s="2758" t="s">
        <v>2500</v>
      </c>
      <c r="B10" s="2761"/>
      <c r="C10" s="2761"/>
      <c r="D10" s="2761" t="s">
        <v>2498</v>
      </c>
      <c r="E10" s="2761"/>
      <c r="F10" s="2765" t="s">
        <v>2497</v>
      </c>
    </row>
    <row r="11" spans="1:18">
      <c r="A11" s="2758" t="s">
        <v>2501</v>
      </c>
      <c r="B11" s="2766">
        <f>项目基本情况!H15</f>
        <v>23.03</v>
      </c>
      <c r="C11" s="2761" t="s">
        <v>2502</v>
      </c>
      <c r="D11" s="2766">
        <v>4.4999999999999998E-2</v>
      </c>
      <c r="E11" s="2761" t="s">
        <v>2503</v>
      </c>
      <c r="F11" s="2767">
        <f>ROUND(1-(1/(POWER(1+D11,B11))),4)</f>
        <v>0.6371</v>
      </c>
    </row>
    <row r="12" spans="1:18">
      <c r="A12" s="2758" t="s">
        <v>2504</v>
      </c>
      <c r="B12" s="2766">
        <v>20</v>
      </c>
      <c r="C12" s="2761" t="s">
        <v>2505</v>
      </c>
      <c r="D12" s="2766">
        <v>4.4999999999999998E-2</v>
      </c>
      <c r="E12" s="2761" t="s">
        <v>2506</v>
      </c>
      <c r="F12" s="2767">
        <f>ROUND(1-(1/(POWER(1+D12,B12))),4)</f>
        <v>0.58540000000000003</v>
      </c>
    </row>
    <row r="13" spans="1:18">
      <c r="A13" s="2758" t="s">
        <v>2507</v>
      </c>
      <c r="B13" s="2761"/>
      <c r="C13" s="2761"/>
      <c r="D13" s="2756"/>
      <c r="E13" s="2756"/>
      <c r="F13" s="2757"/>
    </row>
    <row r="14" spans="1:18">
      <c r="A14" s="2758" t="s">
        <v>2508</v>
      </c>
      <c r="B14" s="2766">
        <v>5000</v>
      </c>
      <c r="C14" s="2760"/>
      <c r="D14" s="2756"/>
      <c r="E14" s="2756"/>
      <c r="F14" s="2757"/>
    </row>
    <row r="15" spans="1:18">
      <c r="A15" s="2758" t="s">
        <v>2509</v>
      </c>
      <c r="B15" s="2761">
        <f>ROUND(B14*F12/F11,2)</f>
        <v>4594.26</v>
      </c>
      <c r="C15" s="2761">
        <f>ROUND(F12/F11,4)</f>
        <v>0.91890000000000005</v>
      </c>
      <c r="D15" s="2756"/>
      <c r="E15" s="2756"/>
      <c r="F15" s="2757"/>
    </row>
    <row r="16" spans="1:18">
      <c r="A16" s="2758" t="s">
        <v>2510</v>
      </c>
      <c r="B16" s="2761"/>
      <c r="C16" s="2761"/>
      <c r="D16" s="2756"/>
      <c r="E16" s="2756"/>
      <c r="F16" s="2757"/>
    </row>
    <row r="17" spans="1:13">
      <c r="A17" s="2758" t="s">
        <v>2509</v>
      </c>
      <c r="B17" s="2766">
        <v>4810</v>
      </c>
      <c r="C17" s="2760"/>
      <c r="D17" s="2756"/>
      <c r="E17" s="2756"/>
      <c r="F17" s="2757"/>
    </row>
    <row r="18" spans="1:13" ht="14.25" thickBot="1">
      <c r="A18" s="2768" t="s">
        <v>2508</v>
      </c>
      <c r="B18" s="2769">
        <f>ROUND(B17*F11/F12,2)</f>
        <v>5234.8</v>
      </c>
      <c r="C18" s="2769">
        <f>ROUND(F11/F12,4)</f>
        <v>1.0883</v>
      </c>
      <c r="D18" s="2770"/>
      <c r="E18" s="2770"/>
      <c r="F18" s="2771"/>
    </row>
    <row r="19" spans="1:13" ht="14.25" thickBot="1"/>
    <row r="20" spans="1:13" s="2804" customFormat="1" ht="14.25" thickTop="1">
      <c r="A20" s="2801" t="s">
        <v>2511</v>
      </c>
      <c r="B20" s="2802"/>
      <c r="C20" s="2802"/>
      <c r="D20" s="2802"/>
      <c r="E20" s="2802"/>
      <c r="F20" s="2802"/>
      <c r="G20" s="2803"/>
      <c r="I20" s="2805" t="s">
        <v>2556</v>
      </c>
      <c r="J20" s="2805" t="s">
        <v>2561</v>
      </c>
      <c r="K20" s="2805"/>
      <c r="L20" s="2805"/>
      <c r="M20" s="2805"/>
    </row>
    <row r="21" spans="1:13">
      <c r="A21" s="2772"/>
      <c r="B21" s="2773" t="s">
        <v>2512</v>
      </c>
      <c r="C21" s="2773" t="s">
        <v>2513</v>
      </c>
      <c r="D21" s="2773" t="s">
        <v>2514</v>
      </c>
      <c r="E21" s="2773" t="s">
        <v>2515</v>
      </c>
      <c r="F21" s="2773" t="s">
        <v>2516</v>
      </c>
      <c r="G21" s="2774" t="s">
        <v>2517</v>
      </c>
      <c r="I21" s="2795">
        <v>5</v>
      </c>
      <c r="J21" s="2795">
        <v>54.2</v>
      </c>
    </row>
    <row r="22" spans="1:13">
      <c r="A22" s="2772" t="s">
        <v>2518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2559</v>
      </c>
      <c r="M23" s="2795" t="s">
        <v>2560</v>
      </c>
    </row>
    <row r="24" spans="1:13">
      <c r="A24" s="2772" t="s">
        <v>2520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2558</v>
      </c>
      <c r="M24" s="2795">
        <v>10</v>
      </c>
    </row>
    <row r="25" spans="1:13">
      <c r="A25" s="2772" t="s">
        <v>2521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2562</v>
      </c>
      <c r="M25" s="2795">
        <v>8</v>
      </c>
    </row>
    <row r="26" spans="1:13">
      <c r="A26" s="2777"/>
      <c r="B26" s="2778"/>
      <c r="C26" s="2778"/>
      <c r="D26" s="2778"/>
      <c r="E26" s="2778"/>
      <c r="F26" s="2778"/>
      <c r="G26" s="2779"/>
      <c r="I26" s="2795">
        <v>30</v>
      </c>
      <c r="J26" s="2795">
        <v>90.5</v>
      </c>
      <c r="K26" s="2795">
        <f t="shared" si="2"/>
        <v>4.2000000000000028</v>
      </c>
      <c r="L26" s="2795" t="s">
        <v>2563</v>
      </c>
      <c r="M26" s="2795">
        <v>5</v>
      </c>
    </row>
    <row r="27" spans="1:13">
      <c r="A27" s="2777" t="s">
        <v>2522</v>
      </c>
      <c r="B27" s="2778"/>
      <c r="C27" s="2778"/>
      <c r="D27" s="2778"/>
      <c r="E27" s="2778"/>
      <c r="F27" s="2778"/>
      <c r="G27" s="2779"/>
      <c r="I27" s="2795">
        <v>35</v>
      </c>
      <c r="J27" s="2795">
        <v>93.8</v>
      </c>
      <c r="K27" s="2795">
        <f t="shared" si="2"/>
        <v>3.2999999999999972</v>
      </c>
      <c r="L27" s="2795" t="s">
        <v>2564</v>
      </c>
      <c r="M27" s="2795">
        <v>3</v>
      </c>
    </row>
    <row r="28" spans="1:13">
      <c r="A28" s="2777" t="s">
        <v>2523</v>
      </c>
      <c r="B28" s="2778"/>
      <c r="C28" s="2778"/>
      <c r="D28" s="2778"/>
      <c r="E28" s="2778"/>
      <c r="F28" s="2778"/>
      <c r="G28" s="2779"/>
      <c r="I28" s="2795">
        <v>40</v>
      </c>
      <c r="J28" s="2795">
        <v>96.4</v>
      </c>
      <c r="K28" s="2795">
        <f t="shared" si="2"/>
        <v>2.6000000000000085</v>
      </c>
      <c r="L28" s="2795" t="s">
        <v>2565</v>
      </c>
      <c r="M28" s="2795">
        <v>2</v>
      </c>
    </row>
    <row r="29" spans="1:13">
      <c r="A29" s="2777" t="s">
        <v>2524</v>
      </c>
      <c r="B29" s="2778"/>
      <c r="C29" s="2778"/>
      <c r="D29" s="2778"/>
      <c r="E29" s="2778"/>
      <c r="F29" s="2778"/>
      <c r="G29" s="2779"/>
      <c r="I29" s="2795">
        <v>45</v>
      </c>
      <c r="J29" s="2795">
        <v>98.4</v>
      </c>
      <c r="K29" s="2795">
        <f t="shared" si="2"/>
        <v>2</v>
      </c>
    </row>
    <row r="30" spans="1:13">
      <c r="A30" s="2777" t="s">
        <v>2525</v>
      </c>
      <c r="B30" s="2778"/>
      <c r="C30" s="2778"/>
      <c r="D30" s="2778"/>
      <c r="E30" s="2778"/>
      <c r="F30" s="2778"/>
      <c r="G30" s="2779"/>
      <c r="I30" s="2795">
        <v>50</v>
      </c>
      <c r="J30" s="2795">
        <v>100</v>
      </c>
      <c r="K30" s="2795">
        <f t="shared" si="2"/>
        <v>1.5999999999999943</v>
      </c>
    </row>
    <row r="31" spans="1:13">
      <c r="A31" s="2777" t="s">
        <v>2526</v>
      </c>
      <c r="B31" s="2778"/>
      <c r="C31" s="2778"/>
      <c r="D31" s="2778"/>
      <c r="E31" s="2778"/>
      <c r="F31" s="2778"/>
      <c r="G31" s="2779"/>
      <c r="I31" s="2795" t="s">
        <v>2557</v>
      </c>
    </row>
    <row r="32" spans="1:13">
      <c r="A32" s="2777" t="s">
        <v>2527</v>
      </c>
      <c r="B32" s="2778"/>
      <c r="C32" s="2778"/>
      <c r="D32" s="2778"/>
      <c r="E32" s="2778"/>
      <c r="F32" s="2778"/>
      <c r="G32" s="2779"/>
    </row>
    <row r="33" spans="1:13">
      <c r="A33" s="2777" t="s">
        <v>2528</v>
      </c>
      <c r="B33" s="2778"/>
      <c r="C33" s="2778"/>
      <c r="D33" s="2778"/>
      <c r="E33" s="2778"/>
      <c r="F33" s="2778"/>
      <c r="G33" s="2779"/>
      <c r="I33" s="2795" t="s">
        <v>2556</v>
      </c>
      <c r="J33" s="2795" t="s">
        <v>2566</v>
      </c>
    </row>
    <row r="34" spans="1:13">
      <c r="A34" s="2777" t="s">
        <v>2529</v>
      </c>
      <c r="B34" s="2778"/>
      <c r="C34" s="2778"/>
      <c r="D34" s="2778"/>
      <c r="E34" s="2778"/>
      <c r="F34" s="2778"/>
      <c r="G34" s="2779"/>
      <c r="I34" s="2795">
        <v>5</v>
      </c>
      <c r="J34" s="2795">
        <v>55.1</v>
      </c>
    </row>
    <row r="35" spans="1:13">
      <c r="A35" s="2777" t="s">
        <v>2530</v>
      </c>
      <c r="B35" s="2778"/>
      <c r="C35" s="2778"/>
      <c r="D35" s="2778"/>
      <c r="E35" s="2778"/>
      <c r="F35" s="2778"/>
      <c r="G35" s="2779"/>
      <c r="I35" s="2795">
        <v>10</v>
      </c>
      <c r="J35" s="2795">
        <v>67</v>
      </c>
      <c r="K35" s="2795">
        <f>J35-J34</f>
        <v>11.899999999999999</v>
      </c>
    </row>
    <row r="36" spans="1:13">
      <c r="A36" s="2777" t="s">
        <v>2531</v>
      </c>
      <c r="B36" s="2778"/>
      <c r="C36" s="2778"/>
      <c r="D36" s="2778"/>
      <c r="E36" s="2778"/>
      <c r="F36" s="2778"/>
      <c r="G36" s="2779"/>
      <c r="I36" s="2795">
        <v>15</v>
      </c>
      <c r="J36" s="2795">
        <v>76.3</v>
      </c>
      <c r="K36" s="2795">
        <f t="shared" ref="K36:K41" si="3">J36-J35</f>
        <v>9.2999999999999972</v>
      </c>
      <c r="L36" s="2795" t="s">
        <v>2559</v>
      </c>
      <c r="M36" s="2795" t="s">
        <v>2560</v>
      </c>
    </row>
    <row r="37" spans="1:13">
      <c r="A37" s="2777" t="s">
        <v>2532</v>
      </c>
      <c r="B37" s="2778"/>
      <c r="C37" s="2778"/>
      <c r="D37" s="2778"/>
      <c r="E37" s="2778"/>
      <c r="F37" s="2778"/>
      <c r="G37" s="2779"/>
      <c r="I37" s="2795">
        <v>20</v>
      </c>
      <c r="J37" s="2795">
        <v>83.6</v>
      </c>
      <c r="K37" s="2795">
        <f t="shared" si="3"/>
        <v>7.2999999999999972</v>
      </c>
      <c r="L37" s="2795" t="s">
        <v>2558</v>
      </c>
      <c r="M37" s="2795">
        <v>10</v>
      </c>
    </row>
    <row r="38" spans="1:13">
      <c r="A38" s="2777" t="s">
        <v>2533</v>
      </c>
      <c r="B38" s="2778"/>
      <c r="C38" s="2778"/>
      <c r="D38" s="2778"/>
      <c r="E38" s="2778"/>
      <c r="F38" s="2778"/>
      <c r="G38" s="2779"/>
      <c r="I38" s="2795">
        <v>25</v>
      </c>
      <c r="J38" s="2795">
        <v>89.3</v>
      </c>
      <c r="K38" s="2795">
        <f t="shared" si="3"/>
        <v>5.7000000000000028</v>
      </c>
      <c r="L38" s="2795" t="s">
        <v>2562</v>
      </c>
      <c r="M38" s="2795">
        <v>8</v>
      </c>
    </row>
    <row r="39" spans="1:13">
      <c r="A39" s="2777"/>
      <c r="B39" s="2778"/>
      <c r="C39" s="2778"/>
      <c r="D39" s="2778"/>
      <c r="E39" s="2778"/>
      <c r="F39" s="2778"/>
      <c r="G39" s="2779"/>
      <c r="I39" s="2795">
        <v>30</v>
      </c>
      <c r="J39" s="2795">
        <v>93.8</v>
      </c>
      <c r="K39" s="2795">
        <f t="shared" si="3"/>
        <v>4.5</v>
      </c>
      <c r="L39" s="2795" t="s">
        <v>2563</v>
      </c>
      <c r="M39" s="2795">
        <v>6</v>
      </c>
    </row>
    <row r="40" spans="1:13">
      <c r="A40" s="2780" t="s">
        <v>2534</v>
      </c>
      <c r="B40" s="2781"/>
      <c r="C40" s="2781"/>
      <c r="D40" s="2781"/>
      <c r="E40" s="2781"/>
      <c r="F40" s="2781"/>
      <c r="G40" s="2782"/>
      <c r="I40" s="2795">
        <v>35</v>
      </c>
      <c r="J40" s="2795">
        <v>97.2</v>
      </c>
      <c r="K40" s="2795">
        <f t="shared" si="3"/>
        <v>3.4000000000000057</v>
      </c>
      <c r="L40" s="2795" t="s">
        <v>2564</v>
      </c>
      <c r="M40" s="2795">
        <v>3</v>
      </c>
    </row>
    <row r="41" spans="1:13">
      <c r="A41" s="2783" t="s">
        <v>2535</v>
      </c>
      <c r="B41" s="2784" t="s">
        <v>2536</v>
      </c>
      <c r="C41" s="2785" t="s">
        <v>2537</v>
      </c>
      <c r="D41" s="2785" t="s">
        <v>2538</v>
      </c>
      <c r="E41" s="2786"/>
      <c r="F41" s="2787"/>
      <c r="G41" s="2788"/>
      <c r="I41" s="2795">
        <v>40</v>
      </c>
      <c r="J41" s="2795">
        <v>100</v>
      </c>
      <c r="K41" s="2795">
        <f t="shared" si="3"/>
        <v>2.7999999999999972</v>
      </c>
    </row>
    <row r="42" spans="1:13">
      <c r="A42" s="2783" t="s">
        <v>2539</v>
      </c>
      <c r="B42" s="2784" t="s">
        <v>2540</v>
      </c>
      <c r="C42" s="2785" t="s">
        <v>2541</v>
      </c>
      <c r="D42" s="2789" t="s">
        <v>2542</v>
      </c>
      <c r="E42" s="2781" t="s">
        <v>2543</v>
      </c>
      <c r="F42" s="2781"/>
      <c r="G42" s="2782"/>
    </row>
    <row r="43" spans="1:13">
      <c r="A43" s="2783" t="s">
        <v>2544</v>
      </c>
      <c r="B43" s="2784" t="s">
        <v>2545</v>
      </c>
      <c r="C43" s="2785" t="s">
        <v>2546</v>
      </c>
      <c r="D43" s="2785" t="s">
        <v>2547</v>
      </c>
      <c r="E43" s="2786" t="s">
        <v>2548</v>
      </c>
      <c r="F43" s="2787"/>
      <c r="G43" s="2788"/>
      <c r="I43" s="2795" t="s">
        <v>2556</v>
      </c>
      <c r="J43" s="2795" t="s">
        <v>2567</v>
      </c>
    </row>
    <row r="44" spans="1:13">
      <c r="A44" s="2783" t="s">
        <v>2549</v>
      </c>
      <c r="B44" s="2784" t="s">
        <v>2550</v>
      </c>
      <c r="C44" s="2785" t="s">
        <v>2551</v>
      </c>
      <c r="D44" s="2789">
        <v>0.5</v>
      </c>
      <c r="E44" s="2786" t="s">
        <v>2552</v>
      </c>
      <c r="F44" s="2787"/>
      <c r="G44" s="2788"/>
      <c r="I44" s="2795">
        <v>30</v>
      </c>
      <c r="J44" s="2795">
        <v>81.7</v>
      </c>
    </row>
    <row r="45" spans="1:13" ht="14.25" thickBot="1">
      <c r="A45" s="2790" t="s">
        <v>2553</v>
      </c>
      <c r="B45" s="2791" t="s">
        <v>2540</v>
      </c>
      <c r="C45" s="2792" t="s">
        <v>2540</v>
      </c>
      <c r="D45" s="2792" t="s">
        <v>2554</v>
      </c>
      <c r="E45" s="2793" t="s">
        <v>2555</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27" sqref="L2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30" t="str">
        <f>IF(B10="北京市","北京市",C10)&amp;F10&amp;IF(结果表!G1="在建","出让国有建设用地使用权及在建建筑物",IF(结果表!G1="土地","出让国有建设用地使用权",))&amp;B9&amp;"预评估"</f>
        <v>北京市怀柔区雁栖经济开发区雁栖大街8号房地产抵押价值预评估</v>
      </c>
      <c r="C1" s="3231"/>
      <c r="D1" s="3231"/>
      <c r="E1" s="3231"/>
      <c r="F1" s="3231"/>
      <c r="G1" s="3231"/>
      <c r="H1" s="3231"/>
      <c r="I1" s="323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北京市怀柔区雁栖经济开发区雁栖大街8号房地产抵押价值</v>
      </c>
      <c r="T1" s="1617"/>
      <c r="U1" s="1617"/>
      <c r="V1" s="1617"/>
      <c r="W1" s="1617"/>
      <c r="X1" s="1617"/>
      <c r="Y1" s="1617"/>
      <c r="Z1" s="1617"/>
      <c r="AA1" s="1617"/>
      <c r="AB1" s="1617"/>
    </row>
    <row r="2" spans="1:30">
      <c r="A2" s="2181" t="s">
        <v>2168</v>
      </c>
      <c r="B2" s="122"/>
      <c r="D2" s="2443"/>
      <c r="E2" s="2437"/>
      <c r="F2" s="2437"/>
      <c r="G2" s="2438"/>
      <c r="H2" s="2438"/>
      <c r="I2" s="2438"/>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北京市怀柔区雁栖经济开发区雁栖大街8号房地产</v>
      </c>
      <c r="T2" s="1617"/>
      <c r="U2" s="1617"/>
      <c r="V2" s="1617"/>
      <c r="W2" s="1617"/>
      <c r="X2" s="1617"/>
      <c r="Y2" s="1617"/>
      <c r="Z2" s="1617"/>
      <c r="AA2" s="1617"/>
      <c r="AB2" s="1617"/>
    </row>
    <row r="3" spans="1:30">
      <c r="A3" s="294" t="s">
        <v>2169</v>
      </c>
      <c r="B3" s="2184">
        <v>45587</v>
      </c>
      <c r="C3" s="2185" t="s">
        <v>2170</v>
      </c>
      <c r="D3" s="2184">
        <f>B3</f>
        <v>45587</v>
      </c>
      <c r="E3" s="2438"/>
      <c r="F3" s="2438"/>
      <c r="G3" s="2438"/>
      <c r="H3" s="2438"/>
      <c r="I3" s="2438"/>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3380</v>
      </c>
      <c r="C4" s="2187">
        <f ca="1">SUMIF(注册房地产估价师,B4,估价师及机构信息!B3:B24)</f>
        <v>1120070131</v>
      </c>
      <c r="D4" s="2186" t="s">
        <v>3381</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8"/>
      <c r="F5" s="2438"/>
      <c r="G5" s="2438"/>
      <c r="H5" s="2438"/>
      <c r="I5" s="2438"/>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7"/>
      <c r="F6" s="2438"/>
      <c r="G6" s="2438"/>
      <c r="H6" s="2438"/>
      <c r="I6" s="2438"/>
      <c r="J6" s="2244"/>
      <c r="K6" s="2398" t="str">
        <f>IF(COUNTIF(B6,"*上海银行*"),"上海银行","")</f>
        <v/>
      </c>
      <c r="L6" s="2396"/>
      <c r="M6" s="2396"/>
      <c r="N6" s="2244"/>
      <c r="O6" s="1669"/>
      <c r="P6" s="2244"/>
      <c r="Q6" s="2244"/>
      <c r="R6" s="2244"/>
    </row>
    <row r="7" spans="1:30">
      <c r="A7" s="2193" t="s">
        <v>2174</v>
      </c>
      <c r="B7" s="2197"/>
      <c r="C7" s="2195"/>
      <c r="D7" s="2196"/>
      <c r="E7" s="2437"/>
      <c r="F7" s="2438"/>
      <c r="G7" s="2438"/>
      <c r="H7" s="2438"/>
      <c r="I7" s="2438"/>
      <c r="J7" s="2244"/>
      <c r="K7" s="2399"/>
      <c r="L7" s="2396"/>
      <c r="M7" s="2396"/>
      <c r="N7" s="2244"/>
      <c r="O7" s="1669"/>
      <c r="P7" s="2244"/>
      <c r="Q7" s="2244"/>
      <c r="R7" s="2244"/>
    </row>
    <row r="8" spans="1:30">
      <c r="A8" s="2198" t="s">
        <v>2175</v>
      </c>
      <c r="B8" s="2199" t="s">
        <v>3382</v>
      </c>
      <c r="C8" s="2200"/>
      <c r="D8" s="3233" t="s">
        <v>2176</v>
      </c>
      <c r="E8" s="2201" t="s">
        <v>3383</v>
      </c>
      <c r="F8" s="2202"/>
      <c r="G8" s="2438"/>
      <c r="H8" s="2438"/>
      <c r="I8" s="2438"/>
      <c r="J8" s="2244"/>
      <c r="K8" s="2397"/>
      <c r="L8" s="2396"/>
      <c r="M8" s="2396"/>
      <c r="N8" s="2244"/>
      <c r="O8" s="1669"/>
      <c r="P8" s="2244"/>
      <c r="Q8" s="2244"/>
      <c r="R8" s="2244"/>
    </row>
    <row r="9" spans="1:30" ht="13.5" thickBot="1">
      <c r="A9" s="2203" t="s">
        <v>2177</v>
      </c>
      <c r="B9" s="2204" t="s">
        <v>3383</v>
      </c>
      <c r="C9" s="2205"/>
      <c r="D9" s="3234"/>
      <c r="E9" s="2204"/>
      <c r="F9" s="2206"/>
      <c r="G9" s="2439"/>
      <c r="H9" s="2439"/>
      <c r="I9" s="2439"/>
      <c r="J9" s="2244"/>
      <c r="K9" s="2399"/>
      <c r="L9" s="2396"/>
      <c r="M9" s="2396"/>
      <c r="N9" s="2244"/>
      <c r="O9" s="1669"/>
      <c r="P9" s="2244"/>
      <c r="Q9" s="2244"/>
      <c r="R9" s="2244"/>
    </row>
    <row r="10" spans="1:30" ht="13.5" thickTop="1">
      <c r="A10" s="2207" t="s">
        <v>2178</v>
      </c>
      <c r="B10" s="2208" t="s">
        <v>3384</v>
      </c>
      <c r="C10" s="2209"/>
      <c r="D10" s="2192"/>
      <c r="E10" s="2210" t="s">
        <v>2179</v>
      </c>
      <c r="F10" s="3140" t="s">
        <v>3386</v>
      </c>
      <c r="G10" s="2440"/>
      <c r="H10" s="2441"/>
      <c r="I10" s="2442"/>
      <c r="J10" s="2244"/>
      <c r="K10" s="2399"/>
      <c r="L10" s="2396"/>
      <c r="M10" s="2396"/>
      <c r="N10" s="2244"/>
      <c r="O10" s="1669"/>
      <c r="P10" s="2244"/>
      <c r="Q10" s="2244"/>
      <c r="R10" s="2244"/>
    </row>
    <row r="11" spans="1:30">
      <c r="A11" s="2211" t="s">
        <v>2180</v>
      </c>
      <c r="B11" s="2212" t="s">
        <v>3385</v>
      </c>
      <c r="C11" s="2213"/>
      <c r="D11" s="2214"/>
      <c r="E11" s="2181"/>
      <c r="F11" s="2181"/>
      <c r="G11" s="2181"/>
      <c r="H11" s="2181"/>
      <c r="I11" s="2181"/>
      <c r="J11" s="2797"/>
      <c r="K11" s="2396"/>
      <c r="L11" s="2396"/>
      <c r="M11" s="2396"/>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796" t="s">
        <v>2568</v>
      </c>
      <c r="J12" s="2798"/>
      <c r="K12" s="2396"/>
      <c r="L12" s="2396"/>
      <c r="M12" s="2244"/>
      <c r="N12" s="1669"/>
      <c r="O12" s="2244"/>
      <c r="P12" s="2244"/>
      <c r="Q12" s="2244"/>
      <c r="AD12" s="1617"/>
    </row>
    <row r="13" spans="1:30">
      <c r="A13" s="3117" t="s">
        <v>3324</v>
      </c>
      <c r="B13" s="2217" t="s">
        <v>2189</v>
      </c>
      <c r="C13" s="802"/>
      <c r="D13" s="802"/>
      <c r="E13" s="802"/>
      <c r="F13" s="802"/>
      <c r="G13" s="802"/>
      <c r="H13" s="802">
        <v>53996</v>
      </c>
      <c r="I13" s="802">
        <f>面积及取费!D42</f>
        <v>48379</v>
      </c>
      <c r="J13" s="2798"/>
      <c r="K13" s="2396"/>
      <c r="L13" s="2396"/>
      <c r="M13" s="2244"/>
      <c r="N13" s="1669"/>
      <c r="O13" s="2244"/>
      <c r="P13" s="2244"/>
      <c r="Q13" s="2244"/>
      <c r="AD13" s="1617"/>
    </row>
    <row r="14" spans="1:30">
      <c r="A14" s="1017"/>
      <c r="B14" s="2217" t="s">
        <v>2190</v>
      </c>
      <c r="C14" s="2218"/>
      <c r="D14" s="2218"/>
      <c r="E14" s="2218"/>
      <c r="F14" s="2218"/>
      <c r="G14" s="2218"/>
      <c r="H14" s="2218">
        <v>50</v>
      </c>
      <c r="I14" s="2218"/>
      <c r="J14" s="2799"/>
      <c r="K14" s="2396"/>
      <c r="L14" s="2396"/>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23.03</v>
      </c>
      <c r="I15" s="2220">
        <f>IF(A13="出让",IF(I13="","",ROUNDDOWN(MIN((I13-$D$3)/365,I14),2)),I14)</f>
        <v>7.64</v>
      </c>
      <c r="J15" s="2800"/>
      <c r="K15" s="1669"/>
      <c r="L15" s="1669"/>
      <c r="M15" s="2244"/>
      <c r="N15" s="1669"/>
      <c r="O15" s="2244"/>
      <c r="P15" s="2244"/>
      <c r="Q15" s="2244"/>
      <c r="AD15" s="1617"/>
    </row>
    <row r="16" spans="1:30">
      <c r="A16" s="2210" t="s">
        <v>2192</v>
      </c>
      <c r="B16" s="3240"/>
      <c r="C16" s="3241"/>
      <c r="D16" s="3242"/>
      <c r="E16" s="2221" t="s">
        <v>2193</v>
      </c>
      <c r="F16" s="3243"/>
      <c r="G16" s="3244"/>
      <c r="H16" s="3244"/>
      <c r="I16" s="3245"/>
      <c r="J16" s="2244"/>
      <c r="K16" s="2400"/>
      <c r="L16" s="1669"/>
      <c r="M16" s="1669"/>
      <c r="N16" s="2244"/>
      <c r="O16" s="1669"/>
      <c r="P16" s="2244"/>
      <c r="Q16" s="2244"/>
      <c r="R16" s="2244"/>
    </row>
    <row r="17" spans="1:28">
      <c r="A17" s="305" t="s">
        <v>2194</v>
      </c>
      <c r="B17" s="294" t="s">
        <v>2195</v>
      </c>
      <c r="C17" s="8">
        <f>'数据-汇总表'!E3</f>
        <v>2382.1000000000004</v>
      </c>
      <c r="D17" s="1255" t="s">
        <v>2196</v>
      </c>
      <c r="E17" s="3246" t="s">
        <v>2197</v>
      </c>
      <c r="F17" s="3247"/>
      <c r="G17" s="3247"/>
      <c r="H17" s="3247"/>
      <c r="I17" s="3248"/>
      <c r="J17" s="2244"/>
      <c r="K17" s="2401"/>
      <c r="L17" s="1669"/>
      <c r="M17" s="1669"/>
      <c r="N17" s="2244"/>
      <c r="O17" s="1669"/>
      <c r="P17" s="2244"/>
      <c r="Q17" s="2244"/>
      <c r="R17" s="2244"/>
      <c r="S17" s="2244"/>
      <c r="T17" s="2244"/>
      <c r="U17" s="2244"/>
      <c r="V17" s="2244"/>
    </row>
    <row r="18" spans="1:28" ht="24.75" thickBot="1">
      <c r="A18" s="2222" t="s">
        <v>2198</v>
      </c>
      <c r="B18" s="1026" t="s">
        <v>2199</v>
      </c>
      <c r="C18" s="2223">
        <f>'数据-汇总表'!D3</f>
        <v>10810.26</v>
      </c>
      <c r="D18" s="1028" t="s">
        <v>2200</v>
      </c>
      <c r="E18" s="3249" t="s">
        <v>2201</v>
      </c>
      <c r="F18" s="3250"/>
      <c r="G18" s="3250"/>
      <c r="H18" s="3250"/>
      <c r="I18" s="3251"/>
      <c r="J18" s="2244"/>
      <c r="K18" s="2401"/>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38"/>
      <c r="I19" s="2438"/>
      <c r="J19" s="2244"/>
      <c r="K19" s="2399"/>
      <c r="L19" s="2396"/>
      <c r="M19" s="2396"/>
      <c r="N19" s="2244"/>
      <c r="O19" s="1669"/>
      <c r="P19" s="2244"/>
      <c r="Q19" s="2244"/>
      <c r="R19" s="2244"/>
      <c r="S19" s="2244"/>
      <c r="T19" s="2244"/>
      <c r="U19" s="2244"/>
      <c r="V19" s="2244"/>
    </row>
    <row r="20" spans="1:28">
      <c r="A20" s="2414" t="s">
        <v>2204</v>
      </c>
      <c r="B20" s="3236" t="s">
        <v>2205</v>
      </c>
      <c r="C20" s="3237"/>
      <c r="D20" s="3238" t="s">
        <v>2206</v>
      </c>
      <c r="E20" s="3239"/>
      <c r="F20" s="2427" t="s">
        <v>1056</v>
      </c>
      <c r="G20" s="2438"/>
      <c r="H20" s="2438"/>
      <c r="I20" s="2438"/>
      <c r="J20" s="2244"/>
      <c r="K20" s="3235"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2208</v>
      </c>
      <c r="C21" s="2293" t="s">
        <v>1057</v>
      </c>
      <c r="D21" s="1459" t="s">
        <v>2209</v>
      </c>
      <c r="E21" s="2416" t="s">
        <v>1057</v>
      </c>
      <c r="F21" s="2428"/>
      <c r="G21" s="2438"/>
      <c r="H21" s="2438"/>
      <c r="I21" s="2438"/>
      <c r="J21" s="2244"/>
      <c r="K21" s="323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2210</v>
      </c>
      <c r="C22" s="2293" t="s">
        <v>1058</v>
      </c>
      <c r="D22" s="2438"/>
      <c r="E22" s="2438"/>
      <c r="F22" s="2438"/>
      <c r="G22" s="2438"/>
      <c r="H22" s="2438"/>
      <c r="I22" s="2438"/>
      <c r="J22" s="2244"/>
      <c r="K22" s="323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8"/>
      <c r="G23" s="2438"/>
      <c r="H23" s="2438"/>
      <c r="I23" s="2438"/>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8"/>
      <c r="G24" s="2438"/>
      <c r="H24" s="2438"/>
      <c r="I24" s="2438"/>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8"/>
      <c r="G25" s="2438"/>
      <c r="H25" s="2438"/>
      <c r="I25" s="2438"/>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39"/>
      <c r="G26" s="2439"/>
      <c r="H26" s="2439"/>
      <c r="I26" s="2439"/>
      <c r="J26" s="2244"/>
      <c r="K26" s="2399"/>
      <c r="L26" s="2396"/>
      <c r="M26" s="2396"/>
      <c r="N26" s="2244"/>
      <c r="O26" s="1669"/>
      <c r="P26" s="2244"/>
      <c r="Q26" s="2244"/>
      <c r="R26" s="2244"/>
      <c r="S26" s="2244"/>
      <c r="T26" s="2244"/>
      <c r="U26" s="2244"/>
      <c r="V26" s="2244"/>
    </row>
    <row r="27" spans="1:28" ht="13.5" thickTop="1">
      <c r="A27" s="3224" t="s">
        <v>2213</v>
      </c>
      <c r="B27" s="312" t="s">
        <v>2214</v>
      </c>
      <c r="C27" s="2224"/>
      <c r="D27" s="2225"/>
      <c r="E27" s="2438"/>
      <c r="F27" s="2438"/>
      <c r="G27" s="2438"/>
      <c r="H27" s="2438"/>
      <c r="I27" s="2438"/>
      <c r="J27" s="2244"/>
      <c r="K27" s="2400"/>
      <c r="L27" s="1669"/>
      <c r="M27" s="1669"/>
      <c r="N27" s="2244"/>
      <c r="O27" s="1669"/>
      <c r="P27" s="2244"/>
      <c r="Q27" s="2244"/>
      <c r="R27" s="2244"/>
      <c r="S27" s="2244"/>
      <c r="T27" s="2244"/>
      <c r="U27" s="2244"/>
      <c r="V27" s="2244"/>
    </row>
    <row r="28" spans="1:28">
      <c r="A28" s="3224"/>
      <c r="B28" s="294" t="s">
        <v>2215</v>
      </c>
      <c r="C28" s="2226"/>
      <c r="D28" s="2227"/>
      <c r="E28" s="2438"/>
      <c r="F28" s="2438"/>
      <c r="G28" s="2438"/>
      <c r="H28" s="2438"/>
      <c r="I28" s="2438"/>
      <c r="J28" s="2244"/>
      <c r="K28" s="2399"/>
      <c r="L28" s="2396"/>
      <c r="M28" s="2396"/>
      <c r="N28" s="2244"/>
      <c r="O28" s="1669"/>
      <c r="P28" s="2244"/>
      <c r="Q28" s="2244"/>
      <c r="R28" s="2244"/>
      <c r="S28" s="2244"/>
      <c r="T28" s="2244"/>
      <c r="U28" s="2244"/>
      <c r="V28" s="2244"/>
    </row>
    <row r="29" spans="1:28">
      <c r="A29" s="3224"/>
      <c r="B29" s="294" t="s">
        <v>2216</v>
      </c>
      <c r="C29" s="2228"/>
      <c r="D29" s="2229"/>
      <c r="E29" s="2438"/>
      <c r="F29" s="2438"/>
      <c r="G29" s="2438"/>
      <c r="H29" s="2438"/>
      <c r="I29" s="2438"/>
      <c r="J29" s="2244"/>
      <c r="K29" s="2399"/>
      <c r="L29" s="2396"/>
      <c r="M29" s="2396"/>
      <c r="N29" s="2244"/>
      <c r="O29" s="1669"/>
      <c r="P29" s="2244"/>
      <c r="Q29" s="2244"/>
      <c r="R29" s="2244"/>
      <c r="S29" s="2244"/>
      <c r="T29" s="2244"/>
      <c r="U29" s="2244"/>
      <c r="V29" s="2244"/>
    </row>
    <row r="30" spans="1:28">
      <c r="A30" s="3225"/>
      <c r="B30" s="294" t="s">
        <v>2217</v>
      </c>
      <c r="C30" s="3226"/>
      <c r="D30" s="3227"/>
      <c r="E30" s="2438"/>
      <c r="F30" s="2438"/>
      <c r="G30" s="2438"/>
      <c r="H30" s="2438"/>
      <c r="I30" s="2438"/>
      <c r="J30" s="2244"/>
      <c r="K30" s="2399"/>
      <c r="L30" s="2396"/>
      <c r="M30" s="2396"/>
      <c r="N30" s="2244"/>
      <c r="O30" s="1669"/>
      <c r="P30" s="2244"/>
      <c r="Q30" s="2244"/>
      <c r="R30" s="2244"/>
      <c r="S30" s="2244"/>
      <c r="T30" s="2244"/>
      <c r="U30" s="2244"/>
      <c r="V30" s="2244"/>
    </row>
    <row r="31" spans="1:28">
      <c r="A31" s="3228" t="s">
        <v>2218</v>
      </c>
      <c r="B31" s="2230"/>
      <c r="C31" s="12" t="str">
        <f>IF(B31="现房","成新及维护状况正常否",IF(B31="在建","工程状态是否正常",IF(B31="土地","是否闲置","-")))</f>
        <v>-</v>
      </c>
      <c r="D31" s="1280"/>
      <c r="E31" s="2231"/>
      <c r="F31" s="2438"/>
      <c r="G31" s="2438"/>
      <c r="H31" s="2438"/>
      <c r="I31" s="2438"/>
      <c r="J31" s="2244"/>
      <c r="K31" s="2398"/>
      <c r="L31" s="2396"/>
      <c r="M31" s="2396"/>
      <c r="N31" s="2244"/>
      <c r="O31" s="1669"/>
      <c r="P31" s="2244"/>
      <c r="Q31" s="2244"/>
      <c r="R31" s="2244"/>
      <c r="S31" s="2244"/>
      <c r="T31" s="2244"/>
      <c r="U31" s="2244"/>
      <c r="V31" s="2244"/>
    </row>
    <row r="32" spans="1:28">
      <c r="A32" s="3229"/>
      <c r="B32" s="2230"/>
      <c r="C32" s="12" t="str">
        <f>IF(B32="现房","成新及维护状况是否正常",IF(B32="在建","工程状态是否正常",IF(B32="土地","是否闲置","-")))</f>
        <v>-</v>
      </c>
      <c r="D32" s="1280"/>
      <c r="E32" s="2231"/>
      <c r="F32" s="2438"/>
      <c r="G32" s="2438"/>
      <c r="H32" s="2438"/>
      <c r="I32" s="2438"/>
      <c r="J32" s="2244"/>
      <c r="K32" s="2399"/>
      <c r="L32" s="2396"/>
      <c r="M32" s="2396"/>
      <c r="N32" s="2244"/>
      <c r="O32" s="1669"/>
      <c r="P32" s="2244"/>
      <c r="Q32" s="2244"/>
      <c r="R32" s="2244"/>
      <c r="S32" s="2244"/>
      <c r="T32" s="2244"/>
      <c r="U32" s="2244"/>
      <c r="V32" s="2244"/>
    </row>
    <row r="33" spans="1:30">
      <c r="A33" s="3229"/>
      <c r="B33" s="2233"/>
      <c r="C33" s="1477" t="str">
        <f>IF(B33="现房","成新及维护状况是否正常",IF(B33="在建","工程状态是否正常",IF(B33="土地","是否闲置","-")))</f>
        <v>-</v>
      </c>
      <c r="D33" s="1273"/>
      <c r="E33" s="2234"/>
      <c r="F33" s="2438"/>
      <c r="G33" s="2438"/>
      <c r="H33" s="2438"/>
      <c r="I33" s="2438"/>
      <c r="J33" s="2244"/>
      <c r="K33" s="2399"/>
      <c r="L33" s="2396"/>
      <c r="M33" s="2396"/>
      <c r="N33" s="2244"/>
      <c r="O33" s="1669"/>
      <c r="P33" s="2244"/>
      <c r="Q33" s="2244"/>
      <c r="R33" s="2244"/>
      <c r="S33" s="2244"/>
      <c r="T33" s="2244"/>
      <c r="U33" s="2244"/>
      <c r="V33" s="2244"/>
    </row>
    <row r="34" spans="1:30">
      <c r="A34" s="294" t="s">
        <v>2219</v>
      </c>
      <c r="B34" s="1869" t="s">
        <v>3387</v>
      </c>
      <c r="C34" s="1869" t="s">
        <v>3388</v>
      </c>
      <c r="D34" s="1869" t="s">
        <v>3389</v>
      </c>
      <c r="E34" s="1869" t="s">
        <v>3390</v>
      </c>
      <c r="F34" s="1869" t="s">
        <v>3391</v>
      </c>
      <c r="G34" s="1869" t="s">
        <v>3392</v>
      </c>
      <c r="H34" s="1869" t="s">
        <v>3393</v>
      </c>
      <c r="I34" s="2438"/>
      <c r="J34" s="2244"/>
      <c r="K34" s="8">
        <f>COUNTIF(B34:H34,"——")</f>
        <v>0</v>
      </c>
      <c r="L34" s="315" t="s">
        <v>2220</v>
      </c>
      <c r="M34" s="315" t="s">
        <v>2221</v>
      </c>
      <c r="N34" s="315" t="s">
        <v>2222</v>
      </c>
      <c r="O34" s="315" t="s">
        <v>2223</v>
      </c>
      <c r="P34" s="315" t="s">
        <v>2224</v>
      </c>
      <c r="Q34" s="315" t="s">
        <v>2225</v>
      </c>
      <c r="R34" s="315" t="s">
        <v>2226</v>
      </c>
      <c r="S34" s="3223" t="s">
        <v>2227</v>
      </c>
      <c r="T34" s="315" t="str">
        <f>NUMBERSTRING(7-K34,1)&amp;"通"</f>
        <v>七通</v>
      </c>
      <c r="U34" s="2244"/>
      <c r="V34" s="2244"/>
    </row>
    <row r="35" spans="1:30">
      <c r="A35" s="2235"/>
      <c r="B35" s="3223" t="s">
        <v>2228</v>
      </c>
      <c r="C35" s="3223"/>
      <c r="D35" s="3223"/>
      <c r="E35" s="3223"/>
      <c r="F35" s="8">
        <f>C10</f>
        <v>0</v>
      </c>
      <c r="G35" s="2438"/>
      <c r="H35" s="2438"/>
      <c r="I35" s="2438"/>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223"/>
      <c r="T35" s="138" t="str">
        <f>IF(T34="一通",L35,IF(T34="二通",M35,IF(T34="三通",N35,IF(T34="四通",O35,IF(T34="五通",P35,IF(T34="六通",Q35,R35))))))</f>
        <v>通路、通电、通讯、通上水、通下水、通热、平整</v>
      </c>
      <c r="U35" s="2244"/>
      <c r="V35" s="2244"/>
    </row>
    <row r="36" spans="1:30">
      <c r="A36" s="2182"/>
      <c r="B36" s="8" t="s">
        <v>2184</v>
      </c>
      <c r="C36" s="8" t="s">
        <v>2185</v>
      </c>
      <c r="D36" s="8" t="s">
        <v>2183</v>
      </c>
      <c r="E36" s="8" t="s">
        <v>2188</v>
      </c>
      <c r="F36" s="2796" t="s">
        <v>2571</v>
      </c>
      <c r="G36" s="2438"/>
      <c r="H36" s="2438"/>
      <c r="I36" s="2438"/>
      <c r="J36" s="2244"/>
      <c r="K36" s="2399"/>
      <c r="L36" s="2396"/>
      <c r="M36" s="2396"/>
      <c r="N36" s="2244"/>
      <c r="O36" s="1669"/>
      <c r="P36" s="2244"/>
      <c r="Q36" s="2244"/>
      <c r="R36" s="2244"/>
      <c r="S36" s="2244"/>
      <c r="T36" s="2244"/>
      <c r="U36" s="2244"/>
      <c r="V36" s="2244"/>
    </row>
    <row r="37" spans="1:30">
      <c r="A37" s="2412" t="s">
        <v>2229</v>
      </c>
      <c r="B37" s="2236"/>
      <c r="C37" s="2236"/>
      <c r="D37" s="2236"/>
      <c r="E37" s="2236" t="s">
        <v>306</v>
      </c>
      <c r="F37" s="2236"/>
      <c r="G37" s="2438"/>
      <c r="H37" s="2438"/>
      <c r="I37" s="2438"/>
      <c r="J37" s="2244"/>
      <c r="K37" s="2399"/>
      <c r="L37" s="2396"/>
      <c r="M37" s="2396"/>
      <c r="N37" s="2244"/>
      <c r="O37" s="1669"/>
      <c r="P37" s="2244"/>
      <c r="Q37" s="2244"/>
      <c r="R37" s="2244"/>
      <c r="S37" s="2244"/>
      <c r="T37" s="2244"/>
      <c r="U37" s="2244"/>
      <c r="V37" s="2244"/>
    </row>
    <row r="38" spans="1:30" ht="13.5" thickBot="1">
      <c r="A38" s="2413" t="s">
        <v>2230</v>
      </c>
      <c r="B38" s="2237"/>
      <c r="C38" s="2237"/>
      <c r="D38" s="2237"/>
      <c r="E38" s="2237" t="s">
        <v>3394</v>
      </c>
      <c r="F38" s="2237"/>
      <c r="G38" s="2439"/>
      <c r="H38" s="2439"/>
      <c r="I38" s="2439"/>
      <c r="J38" s="2244"/>
      <c r="K38" s="2399"/>
      <c r="L38" s="2396"/>
      <c r="M38" s="2396"/>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V51"/>
  <sheetViews>
    <sheetView topLeftCell="A13" workbookViewId="0">
      <selection activeCell="D51" sqref="D51"/>
    </sheetView>
  </sheetViews>
  <sheetFormatPr defaultRowHeight="13.5"/>
  <cols>
    <col min="3" max="3" width="10.5" bestFit="1" customWidth="1"/>
    <col min="4" max="4" width="12.125" customWidth="1"/>
  </cols>
  <sheetData>
    <row r="2" spans="3:11">
      <c r="F2" s="1404" t="s">
        <v>3414</v>
      </c>
      <c r="G2">
        <v>10810.26</v>
      </c>
      <c r="H2" s="1404" t="s">
        <v>3415</v>
      </c>
      <c r="I2" s="3149">
        <f>G13/G2</f>
        <v>0.23737634432474339</v>
      </c>
    </row>
    <row r="3" spans="3:11" ht="15.75">
      <c r="C3" s="3142" t="s">
        <v>3395</v>
      </c>
      <c r="D3" s="3142" t="s">
        <v>3405</v>
      </c>
      <c r="E3" s="3142" t="s">
        <v>3406</v>
      </c>
      <c r="F3" s="3142" t="s">
        <v>3408</v>
      </c>
      <c r="G3" s="3142" t="s">
        <v>3411</v>
      </c>
      <c r="H3" s="3141"/>
      <c r="I3" s="3141"/>
    </row>
    <row r="4" spans="3:11" ht="15.75">
      <c r="C4" s="3142" t="s">
        <v>3396</v>
      </c>
      <c r="D4" s="3143">
        <v>1</v>
      </c>
      <c r="E4" s="3143">
        <v>1</v>
      </c>
      <c r="F4" s="3142" t="s">
        <v>3409</v>
      </c>
      <c r="G4" s="3142">
        <v>12.2</v>
      </c>
      <c r="H4" s="3141"/>
      <c r="I4" s="3141"/>
    </row>
    <row r="5" spans="3:11" ht="15.75">
      <c r="C5" s="3142" t="s">
        <v>3397</v>
      </c>
      <c r="D5" s="3143">
        <v>2</v>
      </c>
      <c r="E5" s="3144" t="s">
        <v>3407</v>
      </c>
      <c r="F5" s="3142" t="s">
        <v>3409</v>
      </c>
      <c r="G5" s="3142">
        <v>1933.8</v>
      </c>
      <c r="H5" s="3141"/>
      <c r="I5" s="3141"/>
    </row>
    <row r="6" spans="3:11" ht="15.75">
      <c r="C6" s="3142" t="s">
        <v>3398</v>
      </c>
      <c r="D6" s="3143">
        <v>1</v>
      </c>
      <c r="E6" s="3143">
        <v>1</v>
      </c>
      <c r="F6" s="3142" t="s">
        <v>3409</v>
      </c>
      <c r="G6" s="3142">
        <v>161.30000000000001</v>
      </c>
      <c r="H6" s="3141"/>
      <c r="I6" s="3141"/>
    </row>
    <row r="7" spans="3:11" s="3148" customFormat="1" ht="15.75">
      <c r="C7" s="3145" t="s">
        <v>3399</v>
      </c>
      <c r="D7" s="3146">
        <v>1</v>
      </c>
      <c r="E7" s="3146">
        <v>1</v>
      </c>
      <c r="F7" s="3145" t="s">
        <v>3409</v>
      </c>
      <c r="G7" s="3145">
        <v>10.4</v>
      </c>
      <c r="H7" s="3147" t="s">
        <v>3413</v>
      </c>
      <c r="I7" s="3147"/>
    </row>
    <row r="8" spans="3:11" s="3148" customFormat="1" ht="15.75">
      <c r="C8" s="3145" t="s">
        <v>3400</v>
      </c>
      <c r="D8" s="3146">
        <v>1</v>
      </c>
      <c r="E8" s="3146">
        <v>1</v>
      </c>
      <c r="F8" s="3145" t="s">
        <v>3409</v>
      </c>
      <c r="G8" s="3145">
        <v>85.7</v>
      </c>
      <c r="H8" s="3147" t="s">
        <v>3413</v>
      </c>
      <c r="I8" s="3147"/>
    </row>
    <row r="9" spans="3:11" ht="15.75">
      <c r="C9" s="3142" t="s">
        <v>3401</v>
      </c>
      <c r="D9" s="3143">
        <v>1</v>
      </c>
      <c r="E9" s="3143">
        <v>1</v>
      </c>
      <c r="F9" s="3142" t="s">
        <v>3409</v>
      </c>
      <c r="G9" s="3142">
        <v>30.8</v>
      </c>
      <c r="H9" s="3141"/>
      <c r="I9" s="3141"/>
    </row>
    <row r="10" spans="3:11" ht="15.75">
      <c r="C10" s="3142" t="s">
        <v>3402</v>
      </c>
      <c r="D10" s="3143">
        <v>1</v>
      </c>
      <c r="E10" s="3143">
        <v>1</v>
      </c>
      <c r="F10" s="3142" t="s">
        <v>3409</v>
      </c>
      <c r="G10" s="3142">
        <v>231.8</v>
      </c>
      <c r="H10" s="3141"/>
      <c r="I10" s="3141"/>
    </row>
    <row r="11" spans="3:11" s="3148" customFormat="1" ht="15.75">
      <c r="C11" s="3145" t="s">
        <v>3403</v>
      </c>
      <c r="D11" s="3146">
        <v>1</v>
      </c>
      <c r="E11" s="3146">
        <v>1</v>
      </c>
      <c r="F11" s="3145" t="s">
        <v>3409</v>
      </c>
      <c r="G11" s="3145">
        <v>87.9</v>
      </c>
      <c r="H11" s="3147" t="s">
        <v>3413</v>
      </c>
      <c r="I11" s="3147"/>
    </row>
    <row r="12" spans="3:11" ht="15.75">
      <c r="C12" s="3142" t="s">
        <v>3404</v>
      </c>
      <c r="D12" s="3143">
        <v>1</v>
      </c>
      <c r="E12" s="3143">
        <v>1</v>
      </c>
      <c r="F12" s="3142" t="s">
        <v>3409</v>
      </c>
      <c r="G12" s="3142">
        <v>12.2</v>
      </c>
      <c r="H12" s="3141"/>
      <c r="I12" s="3141"/>
      <c r="K12" s="1404" t="s">
        <v>2817</v>
      </c>
    </row>
    <row r="13" spans="3:11" ht="15.75">
      <c r="C13" s="3142"/>
      <c r="D13" s="3142"/>
      <c r="E13" s="3142"/>
      <c r="F13" s="3142"/>
      <c r="G13" s="3142">
        <f>SUM(G4:G12)</f>
        <v>2566.1000000000004</v>
      </c>
      <c r="H13" s="3141"/>
      <c r="I13" s="3141"/>
    </row>
    <row r="14" spans="3:11" ht="15.75">
      <c r="C14" s="3141"/>
      <c r="D14" s="3141"/>
      <c r="E14" s="3141"/>
      <c r="F14" s="3141"/>
      <c r="G14" s="3141">
        <f>G13-G7-G8-G11</f>
        <v>2382.1000000000004</v>
      </c>
      <c r="H14" s="3141"/>
      <c r="I14" s="3141"/>
    </row>
    <row r="15" spans="3:11" ht="15.75">
      <c r="C15" s="3141"/>
      <c r="D15" s="3141"/>
      <c r="E15" s="3141"/>
      <c r="F15" s="3141"/>
      <c r="G15" s="3141"/>
      <c r="H15" s="3141"/>
      <c r="I15" s="3141"/>
    </row>
    <row r="16" spans="3:11" ht="15.75">
      <c r="C16" s="3141"/>
      <c r="D16" s="3141"/>
      <c r="E16" s="3141"/>
      <c r="F16" s="3141"/>
      <c r="G16" s="3141"/>
      <c r="H16" s="3141"/>
      <c r="I16" s="3141"/>
    </row>
    <row r="18" spans="2:8" s="3151" customFormat="1">
      <c r="B18" s="3151" t="s">
        <v>3426</v>
      </c>
    </row>
    <row r="19" spans="2:8" s="3151" customFormat="1">
      <c r="B19" s="3152"/>
      <c r="C19" s="3153" t="s">
        <v>3410</v>
      </c>
      <c r="D19" s="3153" t="s">
        <v>3427</v>
      </c>
      <c r="E19" s="3153" t="s">
        <v>3428</v>
      </c>
      <c r="F19" s="3152"/>
      <c r="G19" s="3154" t="s">
        <v>3429</v>
      </c>
    </row>
    <row r="20" spans="2:8" s="3151" customFormat="1">
      <c r="B20" s="3155" t="s">
        <v>3430</v>
      </c>
      <c r="C20" s="3156">
        <f>C21+C22</f>
        <v>2382.1000000000004</v>
      </c>
      <c r="D20" s="3156">
        <f>E20/C20</f>
        <v>2000</v>
      </c>
      <c r="E20" s="3156">
        <f>E21+E22</f>
        <v>4764200.0000000009</v>
      </c>
      <c r="F20" s="3152"/>
      <c r="G20" s="3157">
        <v>1</v>
      </c>
    </row>
    <row r="21" spans="2:8" s="3151" customFormat="1">
      <c r="B21" s="3153" t="s">
        <v>3412</v>
      </c>
      <c r="C21" s="3158">
        <f>G14</f>
        <v>2382.1000000000004</v>
      </c>
      <c r="D21" s="3152">
        <v>2000</v>
      </c>
      <c r="E21" s="3152">
        <f>D21*C21</f>
        <v>4764200.0000000009</v>
      </c>
      <c r="F21" s="3152"/>
      <c r="G21" s="3152"/>
    </row>
    <row r="22" spans="2:8" s="3151" customFormat="1">
      <c r="B22" s="3153" t="s">
        <v>3431</v>
      </c>
      <c r="C22" s="3158">
        <f>'[2]数据-汇总表'!G33</f>
        <v>0</v>
      </c>
      <c r="D22" s="3152">
        <v>4000</v>
      </c>
      <c r="E22" s="3152">
        <f t="shared" ref="E22:E25" si="0">D22*C22</f>
        <v>0</v>
      </c>
      <c r="F22" s="3152"/>
      <c r="G22" s="3152"/>
    </row>
    <row r="23" spans="2:8" s="3151" customFormat="1">
      <c r="B23" s="3155" t="s">
        <v>3432</v>
      </c>
      <c r="C23" s="3156">
        <f>C20</f>
        <v>2382.1000000000004</v>
      </c>
      <c r="D23" s="3156">
        <v>500</v>
      </c>
      <c r="E23" s="3156">
        <f t="shared" si="0"/>
        <v>1191050.0000000002</v>
      </c>
      <c r="F23" s="3152"/>
      <c r="G23" s="3157">
        <v>1</v>
      </c>
    </row>
    <row r="24" spans="2:8" s="3151" customFormat="1">
      <c r="B24" s="3155" t="s">
        <v>3433</v>
      </c>
      <c r="C24" s="3156">
        <f>C20</f>
        <v>2382.1000000000004</v>
      </c>
      <c r="D24" s="3156">
        <v>500</v>
      </c>
      <c r="E24" s="3156">
        <f t="shared" si="0"/>
        <v>1191050.0000000002</v>
      </c>
      <c r="F24" s="3152"/>
      <c r="G24" s="3157">
        <v>1</v>
      </c>
    </row>
    <row r="25" spans="2:8" s="3151" customFormat="1">
      <c r="B25" s="3155" t="s">
        <v>3434</v>
      </c>
      <c r="C25" s="3156">
        <v>0</v>
      </c>
      <c r="D25" s="3156">
        <f>D22</f>
        <v>4000</v>
      </c>
      <c r="E25" s="3156">
        <f t="shared" si="0"/>
        <v>0</v>
      </c>
      <c r="F25" s="3152"/>
      <c r="G25" s="3152"/>
    </row>
    <row r="26" spans="2:8" s="3151" customFormat="1">
      <c r="B26" s="3153" t="s">
        <v>3435</v>
      </c>
      <c r="C26" s="3152">
        <f>C20</f>
        <v>2382.1000000000004</v>
      </c>
      <c r="D26" s="3152">
        <f>E26/C26</f>
        <v>3000</v>
      </c>
      <c r="E26" s="3152">
        <f>E20+E23+E24+E25</f>
        <v>7146300.0000000009</v>
      </c>
      <c r="F26" s="3152"/>
      <c r="G26" s="3155">
        <f>(G20*E20+G23*E23+G24*E24)/E26</f>
        <v>1</v>
      </c>
    </row>
    <row r="27" spans="2:8" s="3151" customFormat="1"/>
    <row r="28" spans="2:8" s="3151" customFormat="1"/>
    <row r="29" spans="2:8" s="3151" customFormat="1"/>
    <row r="30" spans="2:8" s="3151" customFormat="1">
      <c r="B30" s="3151" t="s">
        <v>3425</v>
      </c>
    </row>
    <row r="31" spans="2:8" s="3151" customFormat="1">
      <c r="B31" s="3152"/>
      <c r="C31" s="3153" t="s">
        <v>3436</v>
      </c>
      <c r="D31" s="3153"/>
      <c r="E31" s="3153" t="s">
        <v>3437</v>
      </c>
      <c r="F31" s="3153" t="s">
        <v>3438</v>
      </c>
      <c r="G31" s="3153" t="s">
        <v>3439</v>
      </c>
      <c r="H31" s="3154" t="s">
        <v>3425</v>
      </c>
    </row>
    <row r="32" spans="2:8" s="3151" customFormat="1">
      <c r="B32" s="3155" t="s">
        <v>3440</v>
      </c>
      <c r="C32" s="3156">
        <v>2008</v>
      </c>
      <c r="D32" s="3156">
        <v>2024</v>
      </c>
      <c r="E32" s="3156">
        <v>50</v>
      </c>
      <c r="F32" s="3152">
        <v>60</v>
      </c>
      <c r="G32" s="3152">
        <v>0</v>
      </c>
      <c r="H32" s="3159">
        <f>ROUND((1-2%)-(D32-C32)/E32,2)</f>
        <v>0.66</v>
      </c>
    </row>
    <row r="33" spans="2:22" s="3151" customFormat="1">
      <c r="B33" s="3153" t="s">
        <v>3441</v>
      </c>
      <c r="C33" s="3158"/>
      <c r="D33" s="3152"/>
      <c r="E33" s="3152"/>
      <c r="F33" s="3152"/>
      <c r="G33" s="3152"/>
      <c r="H33" s="3157">
        <v>0.8</v>
      </c>
    </row>
    <row r="34" spans="2:22" s="3151" customFormat="1">
      <c r="B34" s="3153"/>
      <c r="C34" s="3152"/>
      <c r="D34" s="3152"/>
      <c r="E34" s="3152"/>
      <c r="F34" s="3152"/>
      <c r="G34" s="3152"/>
      <c r="H34" s="3160">
        <f>ROUND((H33+H32)/2,2)</f>
        <v>0.73</v>
      </c>
    </row>
    <row r="35" spans="2:22" s="3151" customFormat="1"/>
    <row r="36" spans="2:22" s="3151" customFormat="1">
      <c r="B36" s="3152"/>
      <c r="C36" s="3153" t="s">
        <v>3436</v>
      </c>
      <c r="D36" s="3153"/>
      <c r="E36" s="3153" t="s">
        <v>3437</v>
      </c>
      <c r="F36" s="3153" t="s">
        <v>3438</v>
      </c>
      <c r="G36" s="3153" t="s">
        <v>3439</v>
      </c>
      <c r="H36" s="3154" t="s">
        <v>3425</v>
      </c>
    </row>
    <row r="37" spans="2:22" s="3151" customFormat="1">
      <c r="B37" s="3155" t="s">
        <v>3440</v>
      </c>
      <c r="C37" s="3156">
        <v>2008</v>
      </c>
      <c r="D37" s="3156">
        <v>2032</v>
      </c>
      <c r="E37" s="3156">
        <v>50</v>
      </c>
      <c r="F37" s="3152">
        <v>60</v>
      </c>
      <c r="G37" s="3152">
        <v>0</v>
      </c>
      <c r="H37" s="3159">
        <f>ROUND((1-2%)-(D37-C37)/E37,2)</f>
        <v>0.5</v>
      </c>
    </row>
    <row r="38" spans="2:22" s="3151" customFormat="1">
      <c r="B38" s="3153" t="s">
        <v>3441</v>
      </c>
      <c r="C38" s="3158"/>
      <c r="D38" s="3152"/>
      <c r="E38" s="3152"/>
      <c r="F38" s="3152"/>
      <c r="G38" s="3152"/>
      <c r="H38" s="3157">
        <v>0.7</v>
      </c>
    </row>
    <row r="39" spans="2:22" s="3151" customFormat="1">
      <c r="B39" s="3153"/>
      <c r="C39" s="3152"/>
      <c r="D39" s="3152"/>
      <c r="E39" s="3152"/>
      <c r="F39" s="3152"/>
      <c r="G39" s="3152"/>
      <c r="H39" s="3160">
        <f>ROUND((H38+H37)/2,2)</f>
        <v>0.6</v>
      </c>
    </row>
    <row r="40" spans="2:22" s="3151" customFormat="1"/>
    <row r="42" spans="2:22" s="3141" customFormat="1" ht="15.75">
      <c r="B42" s="3141" t="s">
        <v>3442</v>
      </c>
      <c r="C42" s="3161">
        <v>41075</v>
      </c>
      <c r="D42" s="3161">
        <v>48379</v>
      </c>
    </row>
    <row r="43" spans="2:22" s="3141" customFormat="1" ht="15.75">
      <c r="C43" s="3141" t="s">
        <v>3443</v>
      </c>
      <c r="D43" s="3141">
        <v>2014</v>
      </c>
      <c r="E43" s="3141">
        <v>2015</v>
      </c>
      <c r="F43" s="3141">
        <v>2016</v>
      </c>
      <c r="G43" s="3141">
        <v>2017</v>
      </c>
      <c r="H43" s="3141">
        <v>2018</v>
      </c>
      <c r="I43" s="3141">
        <v>2019</v>
      </c>
      <c r="J43" s="3141">
        <v>2020</v>
      </c>
      <c r="K43" s="3141">
        <v>2021</v>
      </c>
      <c r="L43" s="3141">
        <v>2022</v>
      </c>
      <c r="M43" s="3141">
        <v>2023</v>
      </c>
      <c r="N43" s="3141" t="s">
        <v>3444</v>
      </c>
      <c r="O43" s="3141">
        <v>2025</v>
      </c>
      <c r="P43" s="3141">
        <v>2026</v>
      </c>
      <c r="Q43" s="3141">
        <v>2027</v>
      </c>
      <c r="R43" s="3141">
        <v>2028</v>
      </c>
      <c r="S43" s="3141">
        <v>2029</v>
      </c>
      <c r="T43" s="3141">
        <v>2030</v>
      </c>
      <c r="U43" s="3141">
        <v>2031</v>
      </c>
      <c r="V43" s="3141">
        <v>2032</v>
      </c>
    </row>
    <row r="44" spans="2:22" s="3141" customFormat="1" ht="15.75">
      <c r="C44" s="3141">
        <v>1</v>
      </c>
      <c r="D44" s="3141">
        <v>2</v>
      </c>
      <c r="E44" s="3141">
        <v>3</v>
      </c>
      <c r="F44" s="3141">
        <v>4</v>
      </c>
      <c r="G44" s="3141">
        <v>5</v>
      </c>
      <c r="H44" s="3141">
        <v>6</v>
      </c>
      <c r="I44" s="3141">
        <v>7</v>
      </c>
      <c r="J44" s="3141">
        <v>8</v>
      </c>
      <c r="K44" s="3141">
        <v>9</v>
      </c>
      <c r="L44" s="3141">
        <v>10</v>
      </c>
      <c r="M44" s="3141">
        <v>11</v>
      </c>
      <c r="N44" s="3141">
        <v>12</v>
      </c>
      <c r="O44" s="3141">
        <v>13</v>
      </c>
      <c r="P44" s="3141">
        <v>14</v>
      </c>
      <c r="Q44" s="3141">
        <v>15</v>
      </c>
      <c r="R44" s="3141">
        <v>16</v>
      </c>
      <c r="S44" s="3141">
        <v>17</v>
      </c>
      <c r="T44" s="3141">
        <v>18</v>
      </c>
      <c r="U44" s="3141">
        <v>19</v>
      </c>
      <c r="V44" s="3141">
        <v>20</v>
      </c>
    </row>
    <row r="45" spans="2:22" s="3141" customFormat="1" ht="15.75">
      <c r="C45" s="3141">
        <v>48</v>
      </c>
      <c r="D45" s="3141">
        <v>48</v>
      </c>
      <c r="E45" s="3141">
        <v>48</v>
      </c>
      <c r="F45" s="3141">
        <v>48</v>
      </c>
      <c r="G45" s="3141">
        <v>48</v>
      </c>
      <c r="H45" s="3141">
        <v>53</v>
      </c>
      <c r="I45" s="3141">
        <v>53</v>
      </c>
      <c r="J45" s="3141">
        <v>53</v>
      </c>
      <c r="K45" s="3141">
        <v>53</v>
      </c>
      <c r="L45" s="3141">
        <v>53</v>
      </c>
      <c r="M45" s="3141">
        <v>56.2</v>
      </c>
      <c r="N45" s="3141">
        <v>56.2</v>
      </c>
      <c r="O45" s="3141">
        <v>56.2</v>
      </c>
      <c r="P45" s="3141">
        <v>56.2</v>
      </c>
      <c r="Q45" s="3141">
        <v>56.2</v>
      </c>
      <c r="R45" s="3141">
        <v>59.55</v>
      </c>
      <c r="S45" s="3141">
        <v>59.55</v>
      </c>
      <c r="T45" s="3141">
        <v>59.55</v>
      </c>
      <c r="U45" s="3141">
        <v>59.55</v>
      </c>
      <c r="V45" s="3141">
        <v>59.55</v>
      </c>
    </row>
    <row r="46" spans="2:22" s="3141" customFormat="1" ht="15.75">
      <c r="V46" s="3141">
        <f>ROUND(SUM(O45:V45)*10000/365/8/G14,2)</f>
        <v>0.67</v>
      </c>
    </row>
    <row r="49" spans="3:5">
      <c r="C49" s="2444">
        <f>G14</f>
        <v>2382.1000000000004</v>
      </c>
      <c r="D49" s="2444">
        <v>1.2</v>
      </c>
      <c r="E49" s="2444">
        <f>C49*D49</f>
        <v>2858.5200000000004</v>
      </c>
    </row>
    <row r="50" spans="3:5">
      <c r="C50" s="2446">
        <f>G2-(G5/4+G14-G5)</f>
        <v>9878.51</v>
      </c>
      <c r="D50" s="2444">
        <v>0.1</v>
      </c>
      <c r="E50" s="2444">
        <f>C50*D50</f>
        <v>987.85100000000011</v>
      </c>
    </row>
    <row r="51" spans="3:5">
      <c r="C51" s="2444"/>
      <c r="D51" s="2444">
        <f>E51/C49</f>
        <v>1.6146975357877502</v>
      </c>
      <c r="E51" s="2444">
        <f>E49+E50</f>
        <v>3846.3710000000005</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面积及取费!G2</f>
        <v>10810.26</v>
      </c>
      <c r="B3" s="11">
        <f>IF(C3="否",G5-AT5,G5)</f>
        <v>2382.1000000000004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2382.1000000000004</v>
      </c>
      <c r="H5" s="13">
        <f t="shared" ref="H5:AT5" si="0">SUM(H13:H656)</f>
        <v>2382.1000000000004</v>
      </c>
      <c r="I5" s="13">
        <f t="shared" si="0"/>
        <v>2382.1000000000004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2382.1000000000004</v>
      </c>
      <c r="BA5" s="15">
        <f t="shared" si="1"/>
        <v>2382.1000000000004</v>
      </c>
      <c r="BB5" s="15">
        <f t="shared" si="1"/>
        <v>2382.1000000000004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10810.26</v>
      </c>
      <c r="F6" s="13" t="s">
        <v>0</v>
      </c>
      <c r="G6" s="13" t="s">
        <v>1</v>
      </c>
      <c r="H6" s="17">
        <f>SUMIF(I$12:AB$12,"总值",I6:AB6)</f>
        <v>10810.26</v>
      </c>
      <c r="I6" s="13">
        <f t="shared" ref="I6:AB6" si="2">ROUND($A$3*I5/$B$3,2)</f>
        <v>10810.26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10810.26</v>
      </c>
      <c r="AZ6" s="13" t="s">
        <v>2</v>
      </c>
      <c r="BA6" s="13">
        <f>ROUND($AY$6*BA5/$AZ$5,2)</f>
        <v>10810.26</v>
      </c>
      <c r="BB6" s="13">
        <f>ROUND($AY$6*BB5/$AZ$5,2)</f>
        <v>10810.26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3416</v>
      </c>
      <c r="E13" s="13">
        <f>IF($C$3="是",ROUND($A$3*G13/$B$3,2),ROUND($A$3*(G13-AT13)/$B$3,2))</f>
        <v>10810.26</v>
      </c>
      <c r="F13" s="29"/>
      <c r="G13" s="30">
        <f>H13+AC13+AT13</f>
        <v>2382.1000000000004</v>
      </c>
      <c r="H13" s="17">
        <f>SUMIF(I$12:AB$12,"总值",I13:AB13)</f>
        <v>2382.1000000000004</v>
      </c>
      <c r="I13" s="1513">
        <f>面积及取费!G14</f>
        <v>2382.1000000000004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10810.26</v>
      </c>
      <c r="AZ13" s="13">
        <f>BA13+BL13</f>
        <v>2382.1000000000004</v>
      </c>
      <c r="BA13" s="13">
        <f>SUM(BB13:BK13)</f>
        <v>2382.1000000000004</v>
      </c>
      <c r="BB13" s="13">
        <f>IF($D13="是",I13-J13,0)</f>
        <v>2382.1000000000004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I43" sqref="I4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1" t="s">
        <v>1131</v>
      </c>
      <c r="B2" s="3261"/>
      <c r="C2" s="3261"/>
      <c r="D2" s="747" t="s">
        <v>1107</v>
      </c>
      <c r="E2" s="1522" t="s">
        <v>1108</v>
      </c>
      <c r="F2" s="2435"/>
      <c r="G2" s="2429"/>
      <c r="H2" s="2430"/>
      <c r="I2" s="2145" t="s">
        <v>1132</v>
      </c>
      <c r="J2" s="2435"/>
      <c r="K2" s="2435"/>
      <c r="L2" s="2435"/>
      <c r="M2" s="2435"/>
      <c r="N2" s="2436"/>
      <c r="O2" s="2435"/>
      <c r="P2" s="2435"/>
    </row>
    <row r="3" spans="1:16" ht="15.75" thickBot="1">
      <c r="A3" s="3262" t="s">
        <v>1105</v>
      </c>
      <c r="B3" s="3262"/>
      <c r="C3" s="3262"/>
      <c r="D3" s="41">
        <f>'数据-基础表'!AY6</f>
        <v>10810.26</v>
      </c>
      <c r="E3" s="41">
        <f>'数据-基础表'!AZ5</f>
        <v>2382.1000000000004</v>
      </c>
      <c r="F3" s="2435"/>
      <c r="G3" s="42"/>
      <c r="H3" s="43" t="s">
        <v>1106</v>
      </c>
      <c r="I3" s="801">
        <f>ROUND('数据-基础表'!B3/'数据-基础表'!A3,2)</f>
        <v>0.22</v>
      </c>
      <c r="J3" s="2435"/>
      <c r="K3" s="2435"/>
      <c r="L3" s="2435"/>
      <c r="M3" s="2435"/>
      <c r="N3" s="2436"/>
      <c r="O3" s="2435"/>
      <c r="P3" s="2435"/>
    </row>
    <row r="4" spans="1:16" ht="15">
      <c r="A4" s="3263"/>
      <c r="B4" s="3264"/>
      <c r="C4" s="3265"/>
      <c r="D4" s="1523" t="s">
        <v>1107</v>
      </c>
      <c r="E4" s="1524" t="s">
        <v>1108</v>
      </c>
      <c r="F4" s="2435"/>
      <c r="G4" s="2431" t="s">
        <v>1133</v>
      </c>
      <c r="H4" s="43" t="s">
        <v>1113</v>
      </c>
      <c r="I4" s="801">
        <f>ROUND(SUMIF('数据-基础表'!I9:AS9,"地上",'数据-基础表'!I5:AS5)/'数据-基础表'!A3,2)</f>
        <v>0.22</v>
      </c>
      <c r="J4" s="2435"/>
      <c r="K4" s="2435"/>
      <c r="L4" s="2435"/>
      <c r="M4" s="2435"/>
      <c r="N4" s="2436"/>
      <c r="O4" s="2435"/>
      <c r="P4" s="2435"/>
    </row>
    <row r="5" spans="1:16">
      <c r="A5" s="42" t="s">
        <v>1109</v>
      </c>
      <c r="B5" s="3266" t="s">
        <v>1110</v>
      </c>
      <c r="C5" s="3266"/>
      <c r="D5" s="43">
        <f>ROUND($D$3*E5/$E$3,2)</f>
        <v>0</v>
      </c>
      <c r="E5" s="44">
        <f>SUMIF('数据-基础表'!$11:$11,"住宅",'数据-基础表'!$5:$5)</f>
        <v>0</v>
      </c>
      <c r="F5" s="2435"/>
      <c r="G5" s="42"/>
      <c r="H5" s="43" t="s">
        <v>1106</v>
      </c>
      <c r="I5" s="801">
        <f>ROUND(E31/D31,2)</f>
        <v>0.22</v>
      </c>
      <c r="J5" s="2435"/>
      <c r="K5" s="2435"/>
      <c r="L5" s="2435"/>
      <c r="M5" s="2435"/>
      <c r="N5" s="2435"/>
      <c r="O5" s="2435"/>
      <c r="P5" s="2435"/>
    </row>
    <row r="6" spans="1:16" ht="15" thickBot="1">
      <c r="A6" s="1526"/>
      <c r="B6" s="3266" t="s">
        <v>1111</v>
      </c>
      <c r="C6" s="3266"/>
      <c r="D6" s="43">
        <f>ROUND($D$3*E6/$E$3,2)</f>
        <v>10810.26</v>
      </c>
      <c r="E6" s="44">
        <f>E3-E5</f>
        <v>2382.1000000000004</v>
      </c>
      <c r="F6" s="2435"/>
      <c r="G6" s="1528" t="s">
        <v>1112</v>
      </c>
      <c r="H6" s="45" t="s">
        <v>1113</v>
      </c>
      <c r="I6" s="2432">
        <f>ROUND(F31/D31,2)</f>
        <v>0.22</v>
      </c>
      <c r="J6" s="2435"/>
      <c r="K6" s="2435"/>
      <c r="L6" s="2435"/>
      <c r="M6" s="2435"/>
      <c r="N6" s="2435"/>
      <c r="O6" s="2435"/>
      <c r="P6" s="2435"/>
    </row>
    <row r="7" spans="1:16" ht="15.75" thickBot="1">
      <c r="A7" s="3258"/>
      <c r="B7" s="3259"/>
      <c r="C7" s="3260"/>
      <c r="D7" s="1523" t="s">
        <v>1107</v>
      </c>
      <c r="E7" s="1527" t="s">
        <v>1114</v>
      </c>
      <c r="F7" s="2435"/>
      <c r="G7" s="2433" t="s">
        <v>1115</v>
      </c>
      <c r="H7" s="95"/>
      <c r="I7" s="3150">
        <v>1</v>
      </c>
      <c r="J7" s="2435"/>
      <c r="K7" s="2435"/>
      <c r="L7" s="2435"/>
      <c r="M7" s="2435"/>
      <c r="N7" s="2435"/>
      <c r="O7" s="2435"/>
      <c r="P7" s="2435"/>
    </row>
    <row r="8" spans="1:16">
      <c r="A8" s="42" t="s">
        <v>1116</v>
      </c>
      <c r="B8" s="45" t="s">
        <v>1117</v>
      </c>
      <c r="C8" s="43" t="s">
        <v>1118</v>
      </c>
      <c r="D8" s="43">
        <f t="shared" ref="D8:D15" si="0">ROUND($D$3*E8/$E$3,2)</f>
        <v>10810.26</v>
      </c>
      <c r="E8" s="46">
        <f>SUMIF('数据-基础表'!BB10:BK10,"地上",'数据-基础表'!BB5:BK5)</f>
        <v>2382.1000000000004</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10810.26</v>
      </c>
      <c r="E16" s="48">
        <f>SUM(E8:E15)</f>
        <v>2382.1000000000004</v>
      </c>
      <c r="F16" s="2435"/>
      <c r="G16" s="2435"/>
      <c r="H16" s="1530" t="s">
        <v>1135</v>
      </c>
      <c r="I16" s="1531"/>
      <c r="J16" s="1070"/>
      <c r="K16" s="3255" t="s">
        <v>1135</v>
      </c>
      <c r="L16" s="3256"/>
      <c r="M16" s="3256"/>
      <c r="N16" s="3256"/>
      <c r="O16" s="3256"/>
      <c r="P16" s="3257"/>
    </row>
    <row r="17" spans="1:19" ht="15">
      <c r="A17" s="1532" t="s">
        <v>1136</v>
      </c>
      <c r="B17" s="1533" t="s">
        <v>1137</v>
      </c>
      <c r="C17" s="1534" t="s">
        <v>1138</v>
      </c>
      <c r="D17" s="1535" t="s">
        <v>1126</v>
      </c>
      <c r="E17" s="1536" t="s">
        <v>1127</v>
      </c>
      <c r="F17" s="1537"/>
      <c r="G17" s="1538"/>
      <c r="H17" s="1539" t="s">
        <v>1139</v>
      </c>
      <c r="I17" s="1540" t="s">
        <v>1124</v>
      </c>
      <c r="J17" s="1070"/>
      <c r="K17" s="3252" t="s">
        <v>1140</v>
      </c>
      <c r="L17" s="3253"/>
      <c r="M17" s="3254"/>
      <c r="N17" s="3252" t="s">
        <v>1141</v>
      </c>
      <c r="O17" s="3253"/>
      <c r="P17" s="3254"/>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1" t="s">
        <v>3417</v>
      </c>
      <c r="D19" s="43">
        <f>ROUND($D$3*E19/$E$3,2)</f>
        <v>10810.26</v>
      </c>
      <c r="E19" s="51">
        <f t="shared" ref="E19:E26" si="1">SUM(F19:G19)</f>
        <v>2382.1000000000004</v>
      </c>
      <c r="F19" s="2553">
        <f>'数据-基础表'!I13</f>
        <v>2382.1000000000004</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10810.26</v>
      </c>
      <c r="S19" s="51">
        <f t="shared" si="5"/>
        <v>2382.1000000000004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10810.26</v>
      </c>
      <c r="E27" s="1072">
        <f>IF(SUM(E19:E26)='数据-基础表'!BA5,SUM(E19:E26),IF(F27="地上面积有误","面积有误","地下面积有误"))</f>
        <v>2382.1000000000004</v>
      </c>
      <c r="F27" s="1071">
        <f>IF(SUM(F19:F26)=E8,SUM(F19:F26),"地上面积有误")</f>
        <v>2382.1000000000004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10810.26</v>
      </c>
      <c r="S27" s="43">
        <f>IF(SUM(S19:S26)=$E$3,SUM(S19:S26),SUM(S19:S26)&amp;"误差"&amp;ROUND(SUM(S19:S26)-E3,2))</f>
        <v>2382.1000000000004</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75" thickBot="1">
      <c r="A31" s="1556"/>
      <c r="B31" s="96"/>
      <c r="C31" s="784" t="s">
        <v>1158</v>
      </c>
      <c r="D31" s="642">
        <f>D27+D30</f>
        <v>10810.26</v>
      </c>
      <c r="E31" s="642">
        <f>E27+E30</f>
        <v>2382.1000000000004</v>
      </c>
      <c r="F31" s="643">
        <f>F27+F30</f>
        <v>2382.1000000000004</v>
      </c>
      <c r="G31" s="644">
        <f>G27+G30</f>
        <v>0</v>
      </c>
      <c r="H31" s="2435"/>
      <c r="I31" s="2435"/>
      <c r="J31" s="2435"/>
      <c r="K31" s="2435"/>
      <c r="L31" s="2435"/>
      <c r="M31" s="2435"/>
      <c r="N31" s="2435"/>
      <c r="O31" s="2435"/>
      <c r="P31" s="2435"/>
    </row>
    <row r="32" spans="1:19">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R22" sqref="R2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3">
        <f>项目基本情况!D3</f>
        <v>45587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3425</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工业</v>
      </c>
      <c r="B6" s="1586" t="str">
        <f>IF(A6=0,"","经营性")</f>
        <v>经营性</v>
      </c>
      <c r="C6" s="1587" t="s">
        <v>3</v>
      </c>
      <c r="D6" s="804">
        <f>SUMIF(项目基本情况!C$12:I$12,C6,项目基本情况!C$14:I$14)</f>
        <v>50</v>
      </c>
      <c r="E6" s="803">
        <f>IF(B6="","",SUMIF(项目基本情况!C$12:I$12,C6,项目基本情况!C$13:I$13))</f>
        <v>53996</v>
      </c>
      <c r="F6" s="61">
        <f>SUMIF(项目基本情况!C$12:I$12,C6,项目基本情况!C$15:I$15)</f>
        <v>23.03</v>
      </c>
      <c r="G6" s="62">
        <f>IF(ISERROR(ROUND(POWER(1+H6,D6-F6)*(POWER(1+H6,F6)-1)/(POWER(1+H6,D6)-1),3)),0,ROUND(POWER(1+H6,D6-F6)*(POWER(1+H6,F6)-1)/(POWER(1+H6,D6)-1),3))</f>
        <v>0.71599999999999997</v>
      </c>
      <c r="H6" s="690">
        <v>4.4999999999999998E-2</v>
      </c>
      <c r="I6" s="690">
        <v>0.05</v>
      </c>
      <c r="J6" s="63">
        <v>7.0000000000000007E-2</v>
      </c>
      <c r="K6" s="969">
        <f>SUMIF('数据-汇总表'!C$19:C$33,A6,'数据-汇总表'!E$19:E$33)</f>
        <v>2382.1000000000004</v>
      </c>
      <c r="L6" s="691">
        <v>2700</v>
      </c>
      <c r="M6" s="64">
        <f t="shared" ref="M6:M14" si="0">ROUND(K6*L6/10000,0)</f>
        <v>643</v>
      </c>
      <c r="N6" s="689">
        <f>面积及取费!H34</f>
        <v>0.73</v>
      </c>
      <c r="O6" s="64" t="str">
        <f>IF($N$5="成新度","——",ROUND(M6*N6,0))</f>
        <v>——</v>
      </c>
      <c r="P6" s="65" t="str">
        <f>IF($N$5="成新度","——",M6-O6)</f>
        <v>——</v>
      </c>
      <c r="Q6" s="3177">
        <v>0.05</v>
      </c>
      <c r="R6" s="66">
        <f ca="1">SUMIF('数据-汇总表'!C$19:C$33,A6,'数据-汇总表'!R$19:R$27)</f>
        <v>10810.26</v>
      </c>
      <c r="S6" s="49">
        <f>IF('数据-汇总表'!$I$17="按面积比例",SUMIF('数据-汇总表'!C$19:C$33,A6,'数据-汇总表'!K$19:K$33),SUMIF('数据-汇总表'!C$19:C$33,A6,'数据-汇总表'!N$19:N$33))</f>
        <v>0</v>
      </c>
      <c r="T6" s="1091">
        <f>ROUND($L$14*S6/10000,0)</f>
        <v>0</v>
      </c>
      <c r="U6" s="3122">
        <f>面积及取费!V46</f>
        <v>0.67</v>
      </c>
      <c r="V6" s="67">
        <v>0</v>
      </c>
      <c r="W6" s="67">
        <v>0</v>
      </c>
      <c r="X6" s="978"/>
      <c r="Y6" s="68">
        <f>N6</f>
        <v>0.73</v>
      </c>
      <c r="Z6" s="3178">
        <f>ROUND(1.6*(1+AA6)^AF6,2)</f>
        <v>1.79</v>
      </c>
      <c r="AA6" s="63">
        <v>1.4999999999999999E-2</v>
      </c>
      <c r="AB6" s="63">
        <v>0.1</v>
      </c>
      <c r="AC6" s="978"/>
      <c r="AD6" s="70">
        <v>0.6</v>
      </c>
      <c r="AE6" s="979">
        <f ca="1">IF(AN6="",0,SUMIF(INDIRECT("'"&amp;AN6&amp;"'"&amp;"!E:E"),$AE$5,INDIRECT("'"&amp;AN6&amp;"'"&amp;"!F:F")))</f>
        <v>23.03</v>
      </c>
      <c r="AF6" s="74">
        <f>项目基本情况!I15</f>
        <v>7.64</v>
      </c>
      <c r="AG6" s="130">
        <f ca="1">IF(AF6="",0,AE6-AF6)</f>
        <v>15.39</v>
      </c>
      <c r="AH6" s="71"/>
      <c r="AI6" s="73">
        <v>365</v>
      </c>
      <c r="AJ6" s="74"/>
      <c r="AK6" s="75">
        <v>5.0000000000000001E-3</v>
      </c>
      <c r="AL6" s="76">
        <v>1E-3</v>
      </c>
      <c r="AM6" s="77">
        <v>0.01</v>
      </c>
      <c r="AN6" s="1588" t="s">
        <v>3445</v>
      </c>
      <c r="AO6" s="50">
        <f ca="1">SUMIF(INDIRECT("'"&amp;AN6&amp;"'"&amp;"!A:A"),"总价",INDIRECT("'"&amp;AN6&amp;"'"&amp;"!B:B"))</f>
        <v>1197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2"/>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3"/>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0.71599999999999997</v>
      </c>
      <c r="H16" s="84">
        <f>ROUND(SUMPRODUCT(H6:H13,K6:K13)/SUMPRODUCT((H6:H13&gt;0)*(K6:K13)),3)</f>
        <v>4.4999999999999998E-2</v>
      </c>
      <c r="I16" s="85"/>
      <c r="J16" s="85"/>
      <c r="K16" s="86">
        <f>SUM(K6:K15)</f>
        <v>2382.1000000000004</v>
      </c>
      <c r="L16" s="87">
        <f>ROUND(M16*10000/SUM(K6:K14),0)</f>
        <v>2699</v>
      </c>
      <c r="M16" s="87">
        <f>SUM(M6:M14)</f>
        <v>643</v>
      </c>
      <c r="N16" s="88">
        <f>ROUND(SUMPRODUCT(M6:M14,N6:N14)/M16,3)</f>
        <v>0.73</v>
      </c>
      <c r="O16" s="87">
        <f>SUM(O6:O14)</f>
        <v>0</v>
      </c>
      <c r="P16" s="87">
        <f>SUM(P6:P14)</f>
        <v>0</v>
      </c>
      <c r="Q16" s="89">
        <f>ROUND(SUMPRODUCT(Q6:Q13,K6:K13)/SUMPRODUCT((Q6:Q13&gt;0)*(K6:K13)),2)</f>
        <v>0.05</v>
      </c>
      <c r="R16" s="973">
        <f ca="1">SUM(R6:R13)</f>
        <v>10810.26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120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ROUND(B28*K16/10000,0)</f>
        <v>29</v>
      </c>
      <c r="C29" s="2559" t="s">
        <v>2284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180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75" thickBot="1">
      <c r="A31" s="1601" t="s">
        <v>1224</v>
      </c>
      <c r="B31" s="104">
        <f>B30-B32</f>
        <v>180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39">
        <v>0.03</v>
      </c>
      <c r="C33" s="2560" t="s">
        <v>3368</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v>
      </c>
      <c r="C34" s="2560" t="s">
        <v>2285</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2286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3369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2287</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2302</v>
      </c>
      <c r="B40" s="1014">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0.05</v>
      </c>
      <c r="C44" s="2560" t="s">
        <v>2296</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2297</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29</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v>30</v>
      </c>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v>18</v>
      </c>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v>12</v>
      </c>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8" customFormat="1" ht="18.75" thickBot="1">
      <c r="A1" s="3267" t="s">
        <v>2276</v>
      </c>
      <c r="B1" s="3268"/>
      <c r="C1" s="3268"/>
      <c r="D1" s="3268"/>
      <c r="E1" s="3268"/>
      <c r="F1" s="3268"/>
      <c r="G1" s="326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3173" t="s">
        <v>3564</v>
      </c>
      <c r="H3" s="750"/>
      <c r="I3" s="750"/>
      <c r="J3" s="750"/>
      <c r="K3" s="750"/>
      <c r="L3" s="750"/>
      <c r="M3" s="750"/>
      <c r="N3" s="750"/>
      <c r="O3" s="750"/>
      <c r="P3" s="750"/>
      <c r="Q3" s="750"/>
    </row>
    <row r="4" spans="1:29">
      <c r="A4" s="2247"/>
      <c r="B4" s="315" t="s">
        <v>2253</v>
      </c>
      <c r="C4" s="2267"/>
      <c r="D4" s="2265"/>
      <c r="E4" s="2268"/>
      <c r="F4" s="1280" t="s">
        <v>2254</v>
      </c>
      <c r="G4" s="3174" t="s">
        <v>3566</v>
      </c>
      <c r="H4" s="750"/>
      <c r="I4" s="750"/>
      <c r="J4" s="750"/>
      <c r="K4" s="750"/>
      <c r="L4" s="750"/>
      <c r="M4" s="750"/>
      <c r="N4" s="750"/>
      <c r="O4" s="750"/>
      <c r="P4" s="750"/>
      <c r="Q4" s="750"/>
    </row>
    <row r="5" spans="1:29">
      <c r="A5" s="2247"/>
      <c r="B5" s="315" t="s">
        <v>2255</v>
      </c>
      <c r="C5" s="2267"/>
      <c r="D5" s="2265"/>
      <c r="E5" s="2268"/>
      <c r="F5" s="315" t="s">
        <v>2256</v>
      </c>
      <c r="G5" s="3174" t="s">
        <v>3566</v>
      </c>
      <c r="H5" s="750"/>
      <c r="I5" s="750"/>
      <c r="J5" s="750"/>
      <c r="K5" s="750"/>
      <c r="L5" s="750"/>
      <c r="M5" s="750"/>
      <c r="N5" s="750"/>
      <c r="O5" s="750"/>
      <c r="P5" s="750"/>
      <c r="Q5" s="750"/>
    </row>
    <row r="6" spans="1:29">
      <c r="A6" s="2247"/>
      <c r="B6" s="315" t="s">
        <v>2257</v>
      </c>
      <c r="C6" s="2269"/>
      <c r="D6" s="2265"/>
      <c r="E6" s="2268"/>
      <c r="F6" s="315" t="s">
        <v>2258</v>
      </c>
      <c r="G6" s="3174" t="s">
        <v>3568</v>
      </c>
      <c r="H6" s="750"/>
      <c r="I6" s="750"/>
      <c r="J6" s="750"/>
      <c r="K6" s="750"/>
      <c r="L6" s="750"/>
      <c r="M6" s="750"/>
      <c r="N6" s="750"/>
      <c r="O6" s="750"/>
      <c r="P6" s="750"/>
      <c r="Q6" s="750"/>
    </row>
    <row r="7" spans="1:29" ht="15" thickBot="1">
      <c r="A7" s="2247"/>
      <c r="B7" s="315" t="s">
        <v>2256</v>
      </c>
      <c r="C7" s="2269"/>
      <c r="D7" s="2244"/>
      <c r="E7" s="2270"/>
      <c r="F7" s="2271" t="s">
        <v>2259</v>
      </c>
      <c r="G7" s="3175" t="s">
        <v>3564</v>
      </c>
      <c r="H7" s="750"/>
      <c r="I7" s="750"/>
      <c r="J7" s="750"/>
      <c r="K7" s="750"/>
      <c r="L7" s="750"/>
      <c r="M7" s="750"/>
      <c r="N7" s="750"/>
      <c r="O7" s="750"/>
      <c r="P7" s="750"/>
      <c r="Q7" s="750"/>
    </row>
    <row r="8" spans="1:29">
      <c r="A8" s="2247"/>
      <c r="B8" s="315" t="s">
        <v>2258</v>
      </c>
      <c r="C8" s="2269"/>
      <c r="D8" s="2244"/>
      <c r="E8" s="2244"/>
      <c r="F8" s="121"/>
      <c r="G8" s="121"/>
      <c r="H8" s="750"/>
      <c r="I8" s="750"/>
      <c r="J8" s="750"/>
      <c r="K8" s="750"/>
      <c r="L8" s="750"/>
      <c r="M8" s="750"/>
      <c r="N8" s="750"/>
      <c r="O8" s="750"/>
      <c r="P8" s="750"/>
      <c r="Q8" s="750"/>
    </row>
    <row r="9" spans="1:29">
      <c r="A9" s="2247"/>
      <c r="B9" s="315" t="s">
        <v>2260</v>
      </c>
      <c r="C9" s="2267"/>
      <c r="D9" s="2265"/>
      <c r="E9" s="2244"/>
      <c r="F9" s="121"/>
      <c r="G9" s="121"/>
      <c r="H9" s="750"/>
      <c r="I9" s="750"/>
      <c r="J9" s="750"/>
      <c r="K9" s="750"/>
      <c r="L9" s="750"/>
      <c r="M9" s="750"/>
      <c r="N9" s="750"/>
      <c r="O9" s="750"/>
      <c r="P9" s="750"/>
      <c r="Q9" s="750"/>
    </row>
    <row r="10" spans="1:29" ht="15" thickBot="1">
      <c r="A10" s="2248"/>
      <c r="B10" s="2272" t="s">
        <v>2261</v>
      </c>
      <c r="C10" s="2273"/>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8">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2277</v>
      </c>
      <c r="B13" s="2277"/>
      <c r="C13" s="2277"/>
      <c r="D13" s="2276"/>
      <c r="E13" s="2277"/>
      <c r="F13" s="2277"/>
      <c r="G13" s="2277"/>
    </row>
    <row r="14" spans="1:29" ht="15" thickBot="1">
      <c r="A14" s="2282"/>
      <c r="B14" s="2282"/>
      <c r="C14" s="2283" t="s">
        <v>2262</v>
      </c>
      <c r="D14" s="2265"/>
      <c r="E14" s="2284"/>
      <c r="F14" s="2284"/>
      <c r="G14" s="2261" t="s">
        <v>2263</v>
      </c>
    </row>
    <row r="15" spans="1:29" ht="24">
      <c r="A15" s="2249" t="s">
        <v>2264</v>
      </c>
      <c r="B15" s="2285" t="s">
        <v>2251</v>
      </c>
      <c r="C15" s="2286">
        <f>C3</f>
        <v>0</v>
      </c>
      <c r="D15" s="2265"/>
      <c r="E15" s="2250" t="s">
        <v>2265</v>
      </c>
      <c r="F15" s="2285" t="s">
        <v>2266</v>
      </c>
      <c r="G15" s="2287" t="str">
        <f>G3</f>
        <v>一般</v>
      </c>
    </row>
    <row r="16" spans="1:29">
      <c r="A16" s="2251"/>
      <c r="B16" s="2288" t="s">
        <v>2253</v>
      </c>
      <c r="C16" s="2289">
        <f>C4</f>
        <v>0</v>
      </c>
      <c r="D16" s="2265"/>
      <c r="E16" s="2252"/>
      <c r="F16" s="2290" t="s">
        <v>2254</v>
      </c>
      <c r="G16" s="2291" t="str">
        <f>G4</f>
        <v>较差</v>
      </c>
    </row>
    <row r="17" spans="1:17">
      <c r="A17" s="2251"/>
      <c r="B17" s="2288" t="s">
        <v>2255</v>
      </c>
      <c r="C17" s="2289">
        <f>C5</f>
        <v>0</v>
      </c>
      <c r="D17" s="2244"/>
      <c r="E17" s="2252"/>
      <c r="F17" s="2290" t="s">
        <v>2267</v>
      </c>
      <c r="G17" s="2292"/>
    </row>
    <row r="18" spans="1:17">
      <c r="A18" s="2251"/>
      <c r="B18" s="2290" t="s">
        <v>2257</v>
      </c>
      <c r="C18" s="2291">
        <f>C6</f>
        <v>0</v>
      </c>
      <c r="D18" s="2244"/>
      <c r="E18" s="2252"/>
      <c r="F18" s="2290" t="s">
        <v>2259</v>
      </c>
      <c r="G18" s="2291" t="str">
        <f>G7</f>
        <v>一般</v>
      </c>
    </row>
    <row r="19" spans="1:17">
      <c r="A19" s="2251"/>
      <c r="B19" s="2290" t="s">
        <v>2268</v>
      </c>
      <c r="C19" s="2292"/>
      <c r="D19" s="2265"/>
      <c r="E19" s="2252"/>
      <c r="F19" s="315" t="s">
        <v>2256</v>
      </c>
      <c r="G19" s="2291" t="str">
        <f>G5</f>
        <v>较差</v>
      </c>
    </row>
    <row r="20" spans="1:17">
      <c r="A20" s="2251"/>
      <c r="B20" s="2290" t="s">
        <v>2269</v>
      </c>
      <c r="C20" s="2289">
        <f>C9</f>
        <v>0</v>
      </c>
      <c r="D20" s="2244"/>
      <c r="E20" s="2252"/>
      <c r="F20" s="315" t="s">
        <v>2258</v>
      </c>
      <c r="G20" s="2291" t="str">
        <f>G6</f>
        <v>七通</v>
      </c>
    </row>
    <row r="21" spans="1:17">
      <c r="A21" s="2251"/>
      <c r="B21" s="315" t="s">
        <v>2256</v>
      </c>
      <c r="C21" s="2291">
        <f>C7</f>
        <v>0</v>
      </c>
      <c r="D21" s="2265"/>
      <c r="E21" s="2252"/>
      <c r="F21" s="2290" t="s">
        <v>2270</v>
      </c>
      <c r="G21" s="2293"/>
    </row>
    <row r="22" spans="1:17" ht="13.5" customHeight="1">
      <c r="A22" s="2251"/>
      <c r="B22" s="315" t="s">
        <v>2258</v>
      </c>
      <c r="C22" s="2291">
        <f>C8</f>
        <v>0</v>
      </c>
      <c r="D22" s="2265"/>
      <c r="E22" s="2252"/>
      <c r="F22" s="2290" t="s">
        <v>2261</v>
      </c>
      <c r="G22" s="2292"/>
    </row>
    <row r="23" spans="1:17" s="750" customFormat="1" ht="15" thickBot="1">
      <c r="A23" s="2251"/>
      <c r="B23" s="2290" t="s">
        <v>2270</v>
      </c>
      <c r="C23" s="2293"/>
      <c r="D23" s="1613"/>
      <c r="E23" s="2253"/>
      <c r="F23" s="2294" t="s">
        <v>2271</v>
      </c>
      <c r="G23" s="2295" t="s">
        <v>3572</v>
      </c>
      <c r="H23" s="2274"/>
      <c r="I23" s="2274"/>
      <c r="J23" s="2274"/>
      <c r="K23" s="2274"/>
      <c r="L23" s="2274"/>
      <c r="M23" s="2274"/>
      <c r="N23" s="2274"/>
      <c r="O23" s="2274"/>
      <c r="P23" s="2274"/>
      <c r="Q23" s="2274"/>
    </row>
    <row r="24" spans="1:17" s="750" customFormat="1" ht="15"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2382.1000000000004</v>
      </c>
      <c r="C1" s="2457"/>
      <c r="D1" s="2457"/>
      <c r="E1" s="2457"/>
      <c r="F1" s="2457"/>
      <c r="G1" s="2458"/>
      <c r="H1" s="2458"/>
      <c r="I1" s="2458"/>
      <c r="J1" s="2458"/>
      <c r="K1" s="2458"/>
    </row>
    <row r="2" spans="1:11" ht="16.5">
      <c r="A2" s="2297" t="s">
        <v>653</v>
      </c>
      <c r="B2" s="2297">
        <f>SUM(C14:C23)</f>
        <v>10810.26</v>
      </c>
      <c r="C2" s="2457"/>
      <c r="D2" s="2457"/>
      <c r="E2" s="2457"/>
      <c r="F2" s="2457"/>
      <c r="G2" s="2458"/>
      <c r="H2" s="2458"/>
      <c r="I2" s="2458"/>
      <c r="J2" s="2458"/>
      <c r="K2" s="2458"/>
    </row>
    <row r="3" spans="1:11" ht="16.5">
      <c r="A3" s="2297" t="s">
        <v>662</v>
      </c>
      <c r="B3" s="2299">
        <f>项目基本情况!D3</f>
        <v>45587</v>
      </c>
      <c r="C3" s="2457"/>
      <c r="D3" s="2457"/>
      <c r="E3" s="2457"/>
      <c r="F3" s="2457"/>
      <c r="G3" s="2458"/>
      <c r="H3" s="2458"/>
      <c r="I3" s="2458"/>
      <c r="J3" s="2458"/>
      <c r="K3" s="2458"/>
    </row>
    <row r="4" spans="1:11" ht="33">
      <c r="A4" s="2297" t="s">
        <v>661</v>
      </c>
      <c r="B4" s="2297" t="s">
        <v>660</v>
      </c>
      <c r="C4" s="2297" t="s">
        <v>659</v>
      </c>
      <c r="D4" s="2297" t="s">
        <v>658</v>
      </c>
      <c r="E4" s="2457"/>
      <c r="F4" s="2458"/>
      <c r="G4" s="2458"/>
      <c r="H4" s="2458"/>
      <c r="I4" s="2458"/>
      <c r="J4" s="2458"/>
      <c r="K4" s="2458"/>
    </row>
    <row r="5" spans="1:11" ht="16.5">
      <c r="A5" s="2297" t="s">
        <v>657</v>
      </c>
      <c r="B5" s="2297">
        <f ca="1">SUM(D14:D23)</f>
        <v>2386</v>
      </c>
      <c r="C5" s="2297">
        <f ca="1">IF(B5=D14,结果表!H102,ROUND(B5*10000/$B$1,0))</f>
        <v>10016</v>
      </c>
      <c r="D5" s="2297">
        <f ca="1">ROUND(B5*10000/$B$2,0)</f>
        <v>2207</v>
      </c>
      <c r="E5" s="2457"/>
      <c r="F5" s="2458"/>
      <c r="G5" s="2458"/>
      <c r="H5" s="2458"/>
      <c r="I5" s="2458"/>
      <c r="J5" s="2458"/>
      <c r="K5" s="2458"/>
    </row>
    <row r="6" spans="1:11" ht="16.5">
      <c r="A6" s="2297" t="s">
        <v>656</v>
      </c>
      <c r="B6" s="2297">
        <f ca="1">SUM(G14:G23)</f>
        <v>2386</v>
      </c>
      <c r="C6" s="2297">
        <f ca="1">IF(B6=G14,结果表!H108,ROUND(B6*10000/$B$1,0))</f>
        <v>10016</v>
      </c>
      <c r="D6" s="2297">
        <f ca="1">ROUND(B6*10000/$B$2,0)</f>
        <v>2207</v>
      </c>
      <c r="E6" s="2457"/>
      <c r="F6" s="2458"/>
      <c r="G6" s="2458"/>
      <c r="H6" s="2458"/>
      <c r="I6" s="2458"/>
      <c r="J6" s="2458"/>
      <c r="K6" s="2458"/>
    </row>
    <row r="7" spans="1:11" ht="16.5">
      <c r="A7" s="2297" t="s">
        <v>664</v>
      </c>
      <c r="B7" s="2297">
        <f>SUM(H14:H23)</f>
        <v>0</v>
      </c>
      <c r="C7" s="2297" t="str">
        <f>IF(B7=H14,结果表!H110,ROUND(B7*10000/$B$1,0))</f>
        <v>——</v>
      </c>
      <c r="D7" s="2297">
        <f>ROUND(B7*10000/$B$2,0)</f>
        <v>0</v>
      </c>
      <c r="E7" s="2457"/>
      <c r="F7" s="2458"/>
      <c r="G7" s="2458"/>
      <c r="H7" s="2458"/>
      <c r="I7" s="2458"/>
      <c r="J7" s="2458"/>
      <c r="K7" s="2458"/>
    </row>
    <row r="8" spans="1:11" ht="16.5">
      <c r="A8" s="2297" t="s">
        <v>587</v>
      </c>
      <c r="B8" s="2297">
        <f>SUM(I14:I23)</f>
        <v>0</v>
      </c>
      <c r="C8" s="2297" t="str">
        <f>IF(B8=I14,结果表!H112,ROUND(B8*10000/$B$1,0))</f>
        <v>——</v>
      </c>
      <c r="D8" s="2297">
        <f>ROUND(B8*10000/$B$2,0)</f>
        <v>0</v>
      </c>
      <c r="E8" s="2457"/>
      <c r="F8" s="2458"/>
      <c r="G8" s="2458"/>
      <c r="H8" s="2458"/>
      <c r="I8" s="2458"/>
      <c r="J8" s="2458"/>
      <c r="K8" s="2458"/>
    </row>
    <row r="9" spans="1:11" ht="16.5">
      <c r="A9" s="2297" t="s">
        <v>655</v>
      </c>
      <c r="B9" s="1243"/>
      <c r="C9" s="2457"/>
      <c r="D9" s="2457"/>
      <c r="E9" s="2457"/>
      <c r="F9" s="2458"/>
      <c r="G9" s="2458"/>
      <c r="H9" s="2458"/>
      <c r="I9" s="2458"/>
      <c r="J9" s="2458"/>
      <c r="K9" s="2458"/>
    </row>
    <row r="10" spans="1:11" ht="16.5">
      <c r="A10" s="2297" t="s">
        <v>654</v>
      </c>
      <c r="B10" s="2297">
        <f>IF(E10="",0,ROUND(B1*(E10*365/G10)/10000,0))</f>
        <v>0</v>
      </c>
      <c r="C10" s="2297" t="s">
        <v>3348</v>
      </c>
      <c r="D10" s="2297" t="s">
        <v>3349</v>
      </c>
      <c r="E10" s="3132"/>
      <c r="F10" s="3136" t="s">
        <v>3350</v>
      </c>
      <c r="G10" s="3133"/>
      <c r="H10" s="2458"/>
      <c r="I10" s="2458"/>
      <c r="J10" s="2458"/>
      <c r="K10" s="2458"/>
    </row>
    <row r="11" spans="1:11" ht="16.5">
      <c r="A11" s="2297"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300" t="s">
        <v>669</v>
      </c>
      <c r="B13" s="2301" t="s">
        <v>666</v>
      </c>
      <c r="C13" s="2301" t="s">
        <v>668</v>
      </c>
      <c r="D13" s="2301" t="s">
        <v>667</v>
      </c>
      <c r="E13" s="2297" t="s">
        <v>659</v>
      </c>
      <c r="F13" s="2297" t="s">
        <v>658</v>
      </c>
      <c r="G13" s="2301" t="s">
        <v>652</v>
      </c>
      <c r="H13" s="2301" t="s">
        <v>663</v>
      </c>
      <c r="I13" s="2301" t="s">
        <v>651</v>
      </c>
      <c r="J13" s="2458"/>
      <c r="K13" s="2458"/>
    </row>
    <row r="14" spans="1:11" ht="16.5">
      <c r="A14" s="2302" t="s">
        <v>650</v>
      </c>
      <c r="B14" s="2303">
        <f>结果表!B118</f>
        <v>2382.1000000000004</v>
      </c>
      <c r="C14" s="2303">
        <f>结果表!C118</f>
        <v>10810.26</v>
      </c>
      <c r="D14" s="2303">
        <f ca="1">结果表!H118</f>
        <v>2386</v>
      </c>
      <c r="E14" s="2303">
        <f ca="1">ROUND(D14*10000/B14,0)</f>
        <v>10016</v>
      </c>
      <c r="F14" s="2303">
        <f ca="1">ROUND(D14*10000/C14,0)</f>
        <v>2207</v>
      </c>
      <c r="G14" s="2303">
        <f ca="1">D14</f>
        <v>2386</v>
      </c>
      <c r="H14" s="2303"/>
      <c r="I14" s="2303"/>
      <c r="J14" s="2458"/>
      <c r="K14" s="2458"/>
    </row>
    <row r="15" spans="1:11" ht="16.5">
      <c r="A15" s="2302" t="s">
        <v>649</v>
      </c>
      <c r="B15" s="2304"/>
      <c r="C15" s="2304"/>
      <c r="D15" s="2304"/>
      <c r="E15" s="2303" t="e">
        <f t="shared" ref="E15:E23" si="0">ROUND(D15*10000/B15,0)</f>
        <v>#DIV/0!</v>
      </c>
      <c r="F15" s="2303" t="e">
        <f t="shared" ref="F15:F23" si="1">ROUND(D15*10000/C15,0)</f>
        <v>#DIV/0!</v>
      </c>
      <c r="G15" s="1243"/>
      <c r="H15" s="1243"/>
      <c r="I15" s="2304"/>
      <c r="J15" s="2458"/>
      <c r="K15" s="2458"/>
    </row>
    <row r="16" spans="1:11" ht="16.5">
      <c r="A16" s="2302" t="s">
        <v>648</v>
      </c>
      <c r="B16" s="2304"/>
      <c r="C16" s="2304"/>
      <c r="D16" s="2304"/>
      <c r="E16" s="2303" t="e">
        <f t="shared" si="0"/>
        <v>#DIV/0!</v>
      </c>
      <c r="F16" s="2303" t="e">
        <f t="shared" si="1"/>
        <v>#DIV/0!</v>
      </c>
      <c r="G16" s="1243"/>
      <c r="H16" s="1243"/>
      <c r="I16" s="2304"/>
      <c r="J16" s="2458"/>
      <c r="K16" s="2458"/>
    </row>
    <row r="17" spans="1:11" ht="16.5">
      <c r="A17" s="2302" t="s">
        <v>647</v>
      </c>
      <c r="B17" s="2304"/>
      <c r="C17" s="2304"/>
      <c r="D17" s="2304"/>
      <c r="E17" s="2303" t="e">
        <f t="shared" si="0"/>
        <v>#DIV/0!</v>
      </c>
      <c r="F17" s="2303" t="e">
        <f t="shared" si="1"/>
        <v>#DIV/0!</v>
      </c>
      <c r="G17" s="1243"/>
      <c r="H17" s="1243"/>
      <c r="I17" s="2304"/>
      <c r="J17" s="2458"/>
      <c r="K17" s="2458"/>
    </row>
    <row r="18" spans="1:11" ht="16.5">
      <c r="A18" s="2302" t="s">
        <v>646</v>
      </c>
      <c r="B18" s="2304"/>
      <c r="C18" s="2304"/>
      <c r="D18" s="2304"/>
      <c r="E18" s="2303" t="e">
        <f t="shared" si="0"/>
        <v>#DIV/0!</v>
      </c>
      <c r="F18" s="2303" t="e">
        <f t="shared" si="1"/>
        <v>#DIV/0!</v>
      </c>
      <c r="G18" s="2304"/>
      <c r="H18" s="2304"/>
      <c r="I18" s="2304"/>
      <c r="J18" s="2458"/>
      <c r="K18" s="2458"/>
    </row>
    <row r="19" spans="1:11" ht="16.5">
      <c r="A19" s="2302" t="s">
        <v>645</v>
      </c>
      <c r="B19" s="2304"/>
      <c r="C19" s="2304"/>
      <c r="D19" s="2304"/>
      <c r="E19" s="2303" t="e">
        <f t="shared" si="0"/>
        <v>#DIV/0!</v>
      </c>
      <c r="F19" s="2303" t="e">
        <f t="shared" si="1"/>
        <v>#DIV/0!</v>
      </c>
      <c r="G19" s="2304"/>
      <c r="H19" s="2304"/>
      <c r="I19" s="2304"/>
      <c r="J19" s="2458"/>
      <c r="K19" s="2458"/>
    </row>
    <row r="20" spans="1:11" ht="16.5">
      <c r="A20" s="2302" t="s">
        <v>644</v>
      </c>
      <c r="B20" s="2304"/>
      <c r="C20" s="2304"/>
      <c r="D20" s="2304"/>
      <c r="E20" s="2303" t="e">
        <f t="shared" si="0"/>
        <v>#DIV/0!</v>
      </c>
      <c r="F20" s="2303" t="e">
        <f t="shared" si="1"/>
        <v>#DIV/0!</v>
      </c>
      <c r="G20" s="2304"/>
      <c r="H20" s="2304"/>
      <c r="I20" s="2304"/>
      <c r="J20" s="2458"/>
      <c r="K20" s="2458"/>
    </row>
    <row r="21" spans="1:11" ht="16.5">
      <c r="A21" s="2302" t="s">
        <v>643</v>
      </c>
      <c r="B21" s="2304"/>
      <c r="C21" s="2304"/>
      <c r="D21" s="2304"/>
      <c r="E21" s="2303" t="e">
        <f t="shared" si="0"/>
        <v>#DIV/0!</v>
      </c>
      <c r="F21" s="2303" t="e">
        <f t="shared" si="1"/>
        <v>#DIV/0!</v>
      </c>
      <c r="G21" s="2304"/>
      <c r="H21" s="2304"/>
      <c r="I21" s="2304"/>
      <c r="J21" s="2458"/>
      <c r="K21" s="2458"/>
    </row>
    <row r="22" spans="1:11" ht="16.5">
      <c r="A22" s="2302" t="s">
        <v>642</v>
      </c>
      <c r="B22" s="2304"/>
      <c r="C22" s="2304"/>
      <c r="D22" s="2304"/>
      <c r="E22" s="2303" t="e">
        <f t="shared" si="0"/>
        <v>#DIV/0!</v>
      </c>
      <c r="F22" s="2303" t="e">
        <f t="shared" si="1"/>
        <v>#DIV/0!</v>
      </c>
      <c r="G22" s="2304"/>
      <c r="H22" s="2304"/>
      <c r="I22" s="2304"/>
      <c r="J22" s="2458"/>
      <c r="K22" s="2458"/>
    </row>
    <row r="23" spans="1:11" ht="16.5">
      <c r="A23" s="2302" t="s">
        <v>641</v>
      </c>
      <c r="B23" s="2304"/>
      <c r="C23" s="2304"/>
      <c r="D23" s="2304"/>
      <c r="E23" s="1243" t="e">
        <f t="shared" si="0"/>
        <v>#DIV/0!</v>
      </c>
      <c r="F23" s="1243" t="e">
        <f t="shared" si="1"/>
        <v>#DIV/0!</v>
      </c>
      <c r="G23" s="2304"/>
      <c r="H23" s="2304"/>
      <c r="I23" s="2304"/>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3" zoomScaleNormal="100" zoomScaleSheetLayoutView="100" zoomScalePageLayoutView="80" workbookViewId="0">
      <selection activeCell="I118" sqref="I118"/>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v>
      </c>
      <c r="D1" s="645"/>
      <c r="E1" s="645"/>
      <c r="F1" s="1620" t="s">
        <v>1263</v>
      </c>
      <c r="G1" s="1452" t="s">
        <v>3449</v>
      </c>
      <c r="H1" s="1620" t="str">
        <f>IF(G1="现房","——","估价对象范围")</f>
        <v>——</v>
      </c>
      <c r="I1" s="1621"/>
    </row>
    <row r="2" spans="1:12" ht="21.75" customHeight="1" thickBot="1">
      <c r="A2" s="3303" t="str">
        <f>项目基本情况!S2</f>
        <v>北京市怀柔区雁栖经济开发区雁栖大街8号房地产</v>
      </c>
      <c r="B2" s="3304"/>
      <c r="C2" s="3304"/>
      <c r="D2" s="3304"/>
      <c r="E2" s="3304"/>
      <c r="F2" s="3304"/>
      <c r="G2" s="3304"/>
      <c r="H2" s="3304"/>
      <c r="I2" s="3305"/>
    </row>
    <row r="3" spans="1:12" ht="12.75">
      <c r="A3" s="3307" t="s">
        <v>1264</v>
      </c>
      <c r="B3" s="3308"/>
      <c r="C3" s="3308"/>
      <c r="D3" s="3308"/>
      <c r="E3" s="3308"/>
      <c r="F3" s="3308"/>
      <c r="G3" s="3308"/>
      <c r="H3" s="3308"/>
      <c r="I3" s="3308"/>
    </row>
    <row r="4" spans="1:12" ht="14.25">
      <c r="A4" s="1623" t="s">
        <v>1265</v>
      </c>
      <c r="B4" s="1624" t="s">
        <v>1266</v>
      </c>
      <c r="C4" s="1625" t="s">
        <v>3450</v>
      </c>
      <c r="D4" s="1625" t="s">
        <v>3445</v>
      </c>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3" t="s">
        <v>1268</v>
      </c>
      <c r="B5" s="3270">
        <v>25</v>
      </c>
      <c r="C5" s="3286"/>
      <c r="D5" s="3306"/>
      <c r="E5" s="123" t="s">
        <v>1269</v>
      </c>
      <c r="F5" s="1626"/>
      <c r="G5" s="1626"/>
      <c r="H5" s="1626"/>
      <c r="I5" s="1280"/>
    </row>
    <row r="6" spans="1:12" ht="12.75">
      <c r="A6" s="3283"/>
      <c r="B6" s="3270"/>
      <c r="C6" s="3287"/>
      <c r="D6" s="3306"/>
      <c r="E6" s="123" t="s">
        <v>1270</v>
      </c>
      <c r="F6" s="1626"/>
      <c r="G6" s="1626"/>
      <c r="H6" s="1626"/>
      <c r="I6" s="1280"/>
    </row>
    <row r="7" spans="1:12" ht="12.75">
      <c r="A7" s="3283"/>
      <c r="B7" s="3270"/>
      <c r="C7" s="3288"/>
      <c r="D7" s="3306"/>
      <c r="E7" s="123" t="s">
        <v>1271</v>
      </c>
      <c r="F7" s="1626"/>
      <c r="G7" s="1626"/>
      <c r="H7" s="1626"/>
      <c r="I7" s="1280"/>
    </row>
    <row r="8" spans="1:12" ht="12.75">
      <c r="A8" s="3283" t="s">
        <v>1272</v>
      </c>
      <c r="B8" s="3270">
        <v>15</v>
      </c>
      <c r="C8" s="3286"/>
      <c r="D8" s="3306"/>
      <c r="E8" s="123" t="s">
        <v>1273</v>
      </c>
      <c r="F8" s="1626"/>
      <c r="G8" s="1626"/>
      <c r="H8" s="1626"/>
      <c r="I8" s="1280"/>
    </row>
    <row r="9" spans="1:12" ht="12.75">
      <c r="A9" s="3283"/>
      <c r="B9" s="3270"/>
      <c r="C9" s="3288"/>
      <c r="D9" s="3306"/>
      <c r="E9" s="123" t="s">
        <v>1274</v>
      </c>
      <c r="F9" s="1626"/>
      <c r="G9" s="1626"/>
      <c r="H9" s="1626"/>
      <c r="I9" s="1280"/>
    </row>
    <row r="10" spans="1:12" ht="12.75">
      <c r="A10" s="3283" t="s">
        <v>1275</v>
      </c>
      <c r="B10" s="3270">
        <v>15</v>
      </c>
      <c r="C10" s="3286"/>
      <c r="D10" s="3306"/>
      <c r="E10" s="123" t="s">
        <v>1276</v>
      </c>
      <c r="F10" s="1626"/>
      <c r="G10" s="1626"/>
      <c r="H10" s="1626"/>
      <c r="I10" s="1280"/>
    </row>
    <row r="11" spans="1:12" ht="12.75">
      <c r="A11" s="3283"/>
      <c r="B11" s="3270"/>
      <c r="C11" s="3288"/>
      <c r="D11" s="3306"/>
      <c r="E11" s="123" t="s">
        <v>1277</v>
      </c>
      <c r="F11" s="1626"/>
      <c r="G11" s="1626"/>
      <c r="H11" s="1626"/>
      <c r="I11" s="1280"/>
    </row>
    <row r="12" spans="1:12" ht="12.75">
      <c r="A12" s="3283" t="s">
        <v>1278</v>
      </c>
      <c r="B12" s="3270">
        <v>15</v>
      </c>
      <c r="C12" s="3286"/>
      <c r="D12" s="3306"/>
      <c r="E12" s="123" t="s">
        <v>1279</v>
      </c>
      <c r="F12" s="1626"/>
      <c r="G12" s="1626"/>
      <c r="H12" s="1626"/>
      <c r="I12" s="1280"/>
    </row>
    <row r="13" spans="1:12" ht="12.75">
      <c r="A13" s="3283"/>
      <c r="B13" s="3270"/>
      <c r="C13" s="3288"/>
      <c r="D13" s="3306"/>
      <c r="E13" s="123" t="s">
        <v>1280</v>
      </c>
      <c r="F13" s="1626"/>
      <c r="G13" s="1626"/>
      <c r="H13" s="1626"/>
      <c r="I13" s="1280"/>
    </row>
    <row r="14" spans="1:12" ht="12.75">
      <c r="A14" s="3283" t="s">
        <v>1281</v>
      </c>
      <c r="B14" s="3270">
        <v>30</v>
      </c>
      <c r="C14" s="3286">
        <v>7</v>
      </c>
      <c r="D14" s="3306">
        <v>3</v>
      </c>
      <c r="E14" s="123" t="s">
        <v>1282</v>
      </c>
      <c r="F14" s="1626"/>
      <c r="G14" s="1626"/>
      <c r="H14" s="1626"/>
      <c r="I14" s="1280"/>
    </row>
    <row r="15" spans="1:12" ht="12.75">
      <c r="A15" s="3283"/>
      <c r="B15" s="3270"/>
      <c r="C15" s="3287"/>
      <c r="D15" s="3306"/>
      <c r="E15" s="123" t="s">
        <v>1283</v>
      </c>
      <c r="F15" s="1626"/>
      <c r="G15" s="1626"/>
      <c r="H15" s="1626"/>
      <c r="I15" s="1280"/>
    </row>
    <row r="16" spans="1:12" ht="12.75">
      <c r="A16" s="3283"/>
      <c r="B16" s="3270"/>
      <c r="C16" s="3288"/>
      <c r="D16" s="3306"/>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93" t="s">
        <v>2130</v>
      </c>
      <c r="F18" s="3294"/>
      <c r="G18" s="3294"/>
      <c r="H18" s="3294"/>
      <c r="I18" s="3294"/>
      <c r="K18" s="294" t="s">
        <v>1289</v>
      </c>
      <c r="L18" s="294">
        <f>IF(C1="",'数据-汇总表'!E3,SUMIF(项目类型,C1,'数据-汇总表'!E17:E26)+SUMIF(项目类型,C1,'数据-汇总表'!I17:I26))</f>
        <v>2382.1000000000004</v>
      </c>
      <c r="M18" s="294">
        <f>IF(C1="",'数据-汇总表'!E3,SUMIF(项目类型,C1,'数据-汇总表'!E17:E26))</f>
        <v>2382.1000000000004</v>
      </c>
    </row>
    <row r="19" spans="1:36" ht="15">
      <c r="A19" s="1629" t="s">
        <v>1290</v>
      </c>
      <c r="B19" s="1630" t="s">
        <v>1291</v>
      </c>
      <c r="C19" s="126">
        <f ca="1">SUMIF(INDIRECT("'"&amp;C4&amp;"'"&amp;"!A:A"),结果表!B19,INDIRECT("'"&amp;C4&amp;"'"&amp;"!B:B"))</f>
        <v>2896</v>
      </c>
      <c r="D19" s="127">
        <f ca="1">SUMIF(INDIRECT("'"&amp;D4&amp;"'"&amp;"!A:A"),结果表!B19,INDIRECT("'"&amp;D4&amp;"'"&amp;"!B:B"))</f>
        <v>1197</v>
      </c>
      <c r="E19" s="1629" t="s">
        <v>1292</v>
      </c>
      <c r="F19" s="1630" t="s">
        <v>1291</v>
      </c>
      <c r="G19" s="128">
        <f ca="1">ROUND(C19*$C$18+D19*$D$18,0)</f>
        <v>2386</v>
      </c>
      <c r="H19" s="1631" t="s">
        <v>1293</v>
      </c>
      <c r="I19" s="121"/>
      <c r="K19" s="294" t="s">
        <v>1294</v>
      </c>
      <c r="L19" s="294">
        <f>IF(C1="",'数据-汇总表'!D3,SUMIF(项目类型,C1,'数据-汇总表'!D17:D26)+SUMIF(项目类型,C1,'数据-汇总表'!H17:H27))</f>
        <v>10810.26</v>
      </c>
      <c r="M19" s="294">
        <f>IF(C1="",'数据-汇总表'!D3,SUMIF(项目类型,C1,'数据-汇总表'!D17:D26))</f>
        <v>10810.26</v>
      </c>
    </row>
    <row r="20" spans="1:36" ht="15">
      <c r="A20" s="1632"/>
      <c r="B20" s="43" t="s">
        <v>1295</v>
      </c>
      <c r="C20" s="129">
        <f ca="1">SUMIF(INDIRECT("'"&amp;C4&amp;"'"&amp;"!A:A"),结果表!B20,INDIRECT("'"&amp;C4&amp;"'"&amp;"!B:B"))</f>
        <v>12157</v>
      </c>
      <c r="D20" s="130">
        <f ca="1">SUMIF(INDIRECT("'"&amp;D4&amp;"'"&amp;"!A:A"),结果表!B20,INDIRECT("'"&amp;D4&amp;"'"&amp;"!B:B"))</f>
        <v>5025</v>
      </c>
      <c r="E20" s="1632"/>
      <c r="F20" s="43" t="s">
        <v>1295</v>
      </c>
      <c r="G20" s="131">
        <f ca="1">ROUND(C20*$C$18+D20*$D$18,0)</f>
        <v>10017</v>
      </c>
      <c r="H20" s="759" t="s">
        <v>1296</v>
      </c>
      <c r="I20" s="121"/>
    </row>
    <row r="21" spans="1:36" ht="15" customHeight="1" thickBot="1">
      <c r="A21" s="449"/>
      <c r="B21" s="93" t="s">
        <v>1297</v>
      </c>
      <c r="C21" s="677">
        <f ca="1">ROUND(C19*10000/L19,0)</f>
        <v>2679</v>
      </c>
      <c r="D21" s="678">
        <f ca="1">ROUND(D19*10000/L19,0)</f>
        <v>1107</v>
      </c>
      <c r="E21" s="449"/>
      <c r="F21" s="93" t="s">
        <v>1297</v>
      </c>
      <c r="G21" s="132">
        <f ca="1">ROUND(G19*10000/L19,0)</f>
        <v>2207</v>
      </c>
      <c r="H21" s="1633" t="s">
        <v>1296</v>
      </c>
      <c r="I21" s="121"/>
    </row>
    <row r="22" spans="1:36" ht="15" thickBot="1">
      <c r="A22" s="1563" t="s">
        <v>1298</v>
      </c>
      <c r="B22" s="1634"/>
      <c r="C22" s="1635"/>
      <c r="D22" s="679">
        <f ca="1">IF(C19&lt;D19,D19/C19-1,C19/D19-1)</f>
        <v>1.4193817878028403</v>
      </c>
      <c r="E22" s="121"/>
      <c r="F22" s="121"/>
      <c r="G22" s="121"/>
      <c r="H22" s="121"/>
      <c r="I22" s="121"/>
    </row>
    <row r="23" spans="1:36" ht="13.5" thickBot="1">
      <c r="A23" s="645"/>
      <c r="B23" s="645"/>
      <c r="C23" s="645"/>
      <c r="D23" s="645"/>
      <c r="E23" s="121"/>
      <c r="F23" s="121"/>
      <c r="G23" s="121"/>
      <c r="H23" s="121"/>
      <c r="I23" s="121"/>
    </row>
    <row r="24" spans="1:36" ht="14.25">
      <c r="A24" s="3277" t="s">
        <v>1299</v>
      </c>
      <c r="B24" s="1630" t="s">
        <v>1291</v>
      </c>
      <c r="C24" s="128">
        <f>IF(B30=0,0,D30)</f>
        <v>0</v>
      </c>
      <c r="D24" s="1636"/>
      <c r="E24" s="121"/>
      <c r="F24" s="121"/>
      <c r="G24" s="121"/>
      <c r="H24" s="121"/>
      <c r="I24" s="121"/>
    </row>
    <row r="25" spans="1:36" ht="14.25">
      <c r="A25" s="327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2386</v>
      </c>
      <c r="D32" s="1640" t="s">
        <v>3578</v>
      </c>
      <c r="E32" s="121"/>
      <c r="F32" s="121"/>
      <c r="G32" s="121"/>
      <c r="H32" s="121"/>
      <c r="I32" s="121"/>
    </row>
    <row r="33" spans="1:15" ht="15">
      <c r="A33" s="739" t="s">
        <v>1306</v>
      </c>
      <c r="B33" s="123"/>
      <c r="C33" s="1641" t="s">
        <v>3579</v>
      </c>
      <c r="D33" s="1642" t="s">
        <v>3450</v>
      </c>
      <c r="E33" s="1643" t="s">
        <v>1307</v>
      </c>
      <c r="F33" s="1644" t="str">
        <f>IF(D32="楼面单价","取值（单价）","取值（总价）")</f>
        <v>取值（总价）</v>
      </c>
      <c r="G33" s="121"/>
      <c r="H33" s="121"/>
      <c r="I33" s="121"/>
    </row>
    <row r="34" spans="1:15" ht="15">
      <c r="A34" s="1645"/>
      <c r="B34" s="1646" t="s">
        <v>1308</v>
      </c>
      <c r="C34" s="140">
        <f ca="1">IF(C33="自定义",F34,C32-C35)</f>
        <v>1935</v>
      </c>
      <c r="D34" s="807">
        <f ca="1">IF(C33="自定义",ROUND(C34/C32,3),IF(C33="收益比率",SUMIF(INDIRECT("'"&amp;D33&amp;"'"&amp;"!b:b"),"土地收益比率",INDIRECT("'"&amp;D33&amp;"'"&amp;"!c:c")),SUMIF(INDIRECT("'"&amp;D33&amp;"'"&amp;"!b:b"),"土地成本比率",INDIRECT("'"&amp;D33&amp;"'"&amp;"!c:c"))))</f>
        <v>0.81099999999999994</v>
      </c>
      <c r="E34" s="1647" t="s">
        <v>1309</v>
      </c>
      <c r="F34" s="1242"/>
      <c r="G34" s="121"/>
      <c r="H34" s="121"/>
      <c r="I34" s="121"/>
    </row>
    <row r="35" spans="1:15" ht="15.75" thickBot="1">
      <c r="A35" s="1648"/>
      <c r="B35" s="1649" t="s">
        <v>1310</v>
      </c>
      <c r="C35" s="1089">
        <f ca="1">IF(C33="自定义",F35,ROUND(C32*D35,0))</f>
        <v>451</v>
      </c>
      <c r="D35" s="1090">
        <f ca="1">IF(C33="自定义",ROUND(C35/C32,3),IF(C33="收益比率",SUMIF(INDIRECT("'"&amp;D33&amp;"'"&amp;"!b:b"),"建筑物收益比率",INDIRECT("'"&amp;D33&amp;"'"&amp;"!c:c")),SUMIF(INDIRECT("'"&amp;D33&amp;"'"&amp;"!b:b"),"建筑物成本比率",INDIRECT("'"&amp;D33&amp;"'"&amp;"!c:c"))))</f>
        <v>0.189</v>
      </c>
      <c r="E35" s="1650" t="s">
        <v>1311</v>
      </c>
      <c r="F35" s="146"/>
      <c r="G35" s="121"/>
      <c r="H35" s="121"/>
      <c r="I35" s="121"/>
    </row>
    <row r="36" spans="1:15" ht="15.75" thickBot="1">
      <c r="A36" s="3297" t="s">
        <v>1312</v>
      </c>
      <c r="B36" s="1651" t="s">
        <v>1313</v>
      </c>
      <c r="C36" s="137"/>
      <c r="D36" s="1652"/>
      <c r="E36" s="1566"/>
      <c r="F36" s="1653"/>
      <c r="G36" s="121"/>
      <c r="H36" s="121"/>
      <c r="I36" s="121"/>
    </row>
    <row r="37" spans="1:15" ht="15.75" thickBot="1">
      <c r="A37" s="3298"/>
      <c r="B37" s="1554" t="s">
        <v>1314</v>
      </c>
      <c r="C37" s="139"/>
      <c r="D37" s="1070"/>
      <c r="E37" s="1070"/>
      <c r="F37" s="1653"/>
      <c r="G37" s="121"/>
      <c r="H37" s="121"/>
      <c r="I37" s="121"/>
    </row>
    <row r="38" spans="1:15" ht="15.75" thickBot="1">
      <c r="A38" s="3299"/>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4" t="s">
        <v>1326</v>
      </c>
      <c r="B45" s="3275"/>
      <c r="C45" s="3276"/>
      <c r="D45" s="147">
        <f ca="1">ROUND(H101*F45,0)</f>
        <v>2386</v>
      </c>
      <c r="E45" s="148" t="s">
        <v>1327</v>
      </c>
      <c r="F45" s="149">
        <v>1</v>
      </c>
      <c r="G45" s="150" t="s">
        <v>1328</v>
      </c>
      <c r="H45" s="121"/>
      <c r="I45" s="121"/>
      <c r="J45" s="3352" t="s">
        <v>1329</v>
      </c>
      <c r="K45" s="3352"/>
      <c r="L45" s="3352"/>
      <c r="M45" s="3352"/>
      <c r="N45" s="3352"/>
      <c r="O45" s="3352"/>
    </row>
    <row r="46" spans="1:15" ht="14.25" customHeight="1">
      <c r="A46" s="3271" t="s">
        <v>1330</v>
      </c>
      <c r="B46" s="3272"/>
      <c r="C46" s="3272"/>
      <c r="D46" s="3272"/>
      <c r="E46" s="3272"/>
      <c r="F46" s="3272"/>
      <c r="G46" s="3273"/>
      <c r="H46" s="1667"/>
      <c r="I46" s="151"/>
      <c r="J46" s="2307">
        <v>1</v>
      </c>
      <c r="K46" s="3333" t="s">
        <v>1331</v>
      </c>
      <c r="L46" s="3333"/>
      <c r="M46" s="3353"/>
      <c r="N46" s="3353"/>
      <c r="O46" s="3353"/>
    </row>
    <row r="47" spans="1:15" ht="12" customHeight="1">
      <c r="A47" s="152" t="s">
        <v>1332</v>
      </c>
      <c r="B47" s="153"/>
      <c r="C47" s="154"/>
      <c r="D47" s="1023" t="s">
        <v>1333</v>
      </c>
      <c r="E47" s="294" t="s">
        <v>1334</v>
      </c>
      <c r="F47" s="155" t="s">
        <v>1335</v>
      </c>
      <c r="G47" s="2330" t="s">
        <v>1336</v>
      </c>
      <c r="H47" s="2331"/>
      <c r="I47" s="151"/>
      <c r="J47" s="2307">
        <v>2</v>
      </c>
      <c r="K47" s="3333" t="s">
        <v>1337</v>
      </c>
      <c r="L47" s="3333"/>
      <c r="M47" s="3354">
        <f>'数据-取费表'!B2</f>
        <v>45587</v>
      </c>
      <c r="N47" s="3354"/>
      <c r="O47" s="3354"/>
    </row>
    <row r="48" spans="1:15" ht="25.5">
      <c r="A48" s="3302" t="s">
        <v>1338</v>
      </c>
      <c r="B48" s="3285"/>
      <c r="C48" s="3285"/>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33" t="s">
        <v>1340</v>
      </c>
      <c r="L48" s="3333"/>
      <c r="M48" s="3355">
        <f ca="1">H101</f>
        <v>2386</v>
      </c>
      <c r="N48" s="3355"/>
      <c r="O48" s="3355"/>
    </row>
    <row r="49" spans="1:35" ht="25.5" customHeight="1">
      <c r="A49" s="2151" t="s">
        <v>1341</v>
      </c>
      <c r="B49" s="3269" t="s">
        <v>1342</v>
      </c>
      <c r="C49" s="3269"/>
      <c r="D49" s="1477">
        <v>0</v>
      </c>
      <c r="E49" s="316" t="s">
        <v>1343</v>
      </c>
      <c r="F49" s="2232" t="s">
        <v>28</v>
      </c>
      <c r="G49" s="3339"/>
      <c r="H49" s="2133" t="s">
        <v>2133</v>
      </c>
      <c r="I49" s="2134"/>
      <c r="J49" s="2307">
        <v>4</v>
      </c>
      <c r="K49" s="3333" t="str">
        <f>IF(项目基本情况!E8="房地产抵押价值","房地产抵押价值","抵押担保权已注销时的房地产抵押价值")</f>
        <v>房地产抵押价值</v>
      </c>
      <c r="L49" s="3333"/>
      <c r="M49" s="3355">
        <f ca="1">IF(项目基本情况!E8="房地产抵押价值",H107,H109)</f>
        <v>2386</v>
      </c>
      <c r="N49" s="3355"/>
      <c r="O49" s="3355"/>
    </row>
    <row r="50" spans="1:35" ht="25.5" customHeight="1">
      <c r="A50" s="2335"/>
      <c r="B50" s="3269" t="s">
        <v>1344</v>
      </c>
      <c r="C50" s="3269"/>
      <c r="D50" s="2188"/>
      <c r="E50" s="323"/>
      <c r="F50" s="2232"/>
      <c r="G50" s="3340"/>
      <c r="H50" s="2135" t="s">
        <v>2134</v>
      </c>
      <c r="I50" s="2134"/>
      <c r="J50" s="3352" t="s">
        <v>1345</v>
      </c>
      <c r="K50" s="3352"/>
      <c r="L50" s="3352"/>
      <c r="M50" s="3352"/>
      <c r="N50" s="3352"/>
      <c r="O50" s="3352"/>
    </row>
    <row r="51" spans="1:35" ht="20.45" customHeight="1">
      <c r="A51" s="2336"/>
      <c r="B51" s="3269" t="s">
        <v>1346</v>
      </c>
      <c r="C51" s="3269"/>
      <c r="D51" s="1023"/>
      <c r="E51" s="319"/>
      <c r="F51" s="2232"/>
      <c r="G51" s="3341"/>
      <c r="H51" s="2135" t="s">
        <v>2135</v>
      </c>
      <c r="I51" s="2134"/>
      <c r="J51" s="2308" t="s">
        <v>1347</v>
      </c>
      <c r="K51" s="3333" t="s">
        <v>1348</v>
      </c>
      <c r="L51" s="3333"/>
      <c r="M51" s="2308" t="s">
        <v>1349</v>
      </c>
      <c r="N51" s="2308" t="s">
        <v>1350</v>
      </c>
      <c r="O51" s="2308" t="s">
        <v>1351</v>
      </c>
    </row>
    <row r="52" spans="1:35" ht="24" customHeight="1">
      <c r="A52" s="2152" t="s">
        <v>1352</v>
      </c>
      <c r="B52" s="3269" t="s">
        <v>1353</v>
      </c>
      <c r="C52" s="3269"/>
      <c r="D52" s="1023">
        <f ca="1">ROUND(D45*'数据-取费表'!B41/(1+'数据-取费表'!C42),0)</f>
        <v>125</v>
      </c>
      <c r="E52" s="1255" t="s">
        <v>1354</v>
      </c>
      <c r="F52" s="2337">
        <f>'数据-取费表'!B41</f>
        <v>5.5000000000000007E-2</v>
      </c>
      <c r="G52" s="2338"/>
      <c r="H52" s="2328"/>
      <c r="I52" s="1668"/>
      <c r="J52" s="2307">
        <v>1</v>
      </c>
      <c r="K52" s="3334" t="s">
        <v>1355</v>
      </c>
      <c r="L52" s="3334"/>
      <c r="M52" s="2309" t="b">
        <f>D48</f>
        <v>0</v>
      </c>
      <c r="N52" s="2307" t="str">
        <f>E48</f>
        <v>销售额×税（费）率</v>
      </c>
      <c r="O52" s="2310">
        <f>F48</f>
        <v>5.5000000000000007E-2</v>
      </c>
    </row>
    <row r="53" spans="1:35" ht="12" customHeight="1">
      <c r="A53" s="2152" t="s">
        <v>1356</v>
      </c>
      <c r="B53" s="3295" t="s">
        <v>2281</v>
      </c>
      <c r="C53" s="3296"/>
      <c r="D53" s="1023">
        <f ca="1">ROUND(D45*'数据-取费表'!B41/(1+'数据-取费表'!C42),0)</f>
        <v>125</v>
      </c>
      <c r="E53" s="1255" t="s">
        <v>1354</v>
      </c>
      <c r="F53" s="2337">
        <f>'数据-取费表'!B41</f>
        <v>5.5000000000000007E-2</v>
      </c>
      <c r="G53" s="2338"/>
      <c r="H53" s="2328"/>
      <c r="I53" s="1668"/>
      <c r="J53" s="2307">
        <v>2</v>
      </c>
      <c r="K53" s="3334" t="s">
        <v>1357</v>
      </c>
      <c r="L53" s="3334"/>
      <c r="M53" s="2309">
        <f t="shared" ref="M53:O54" ca="1" si="0">D55</f>
        <v>1</v>
      </c>
      <c r="N53" s="2307" t="str">
        <f t="shared" si="0"/>
        <v>销售额×税（费）率</v>
      </c>
      <c r="O53" s="2310" t="str">
        <f t="shared" si="0"/>
        <v>免征</v>
      </c>
    </row>
    <row r="54" spans="1:35" ht="12" customHeight="1">
      <c r="A54" s="2152" t="s">
        <v>1358</v>
      </c>
      <c r="B54" s="3295" t="s">
        <v>2282</v>
      </c>
      <c r="C54" s="3296"/>
      <c r="D54" s="1023">
        <f ca="1">C68</f>
        <v>125</v>
      </c>
      <c r="E54" s="319" t="s">
        <v>1359</v>
      </c>
      <c r="F54" s="2337">
        <f>'数据-取费表'!B41</f>
        <v>5.5000000000000007E-2</v>
      </c>
      <c r="G54" s="2338"/>
      <c r="H54" s="2339"/>
      <c r="I54" s="1668"/>
      <c r="J54" s="2307">
        <v>3</v>
      </c>
      <c r="K54" s="3334" t="s">
        <v>1360</v>
      </c>
      <c r="L54" s="3334"/>
      <c r="M54" s="2309">
        <f t="shared" ca="1" si="0"/>
        <v>1353</v>
      </c>
      <c r="N54" s="2307" t="str">
        <f t="shared" si="0"/>
        <v>增值额×税（费）率</v>
      </c>
      <c r="O54" s="2311" t="str">
        <f t="shared" si="0"/>
        <v>免征</v>
      </c>
    </row>
    <row r="55" spans="1:35" ht="24" customHeight="1">
      <c r="A55" s="3284" t="s">
        <v>1361</v>
      </c>
      <c r="B55" s="3285"/>
      <c r="C55" s="3285"/>
      <c r="D55" s="12">
        <f ca="1">IF(H55="个人住宅",0,ROUND(D45*I55,0))</f>
        <v>1</v>
      </c>
      <c r="E55" s="1255" t="s">
        <v>1362</v>
      </c>
      <c r="F55" s="2337" t="str">
        <f>IF(H55="正常",I55,"免征")</f>
        <v>免征</v>
      </c>
      <c r="G55" s="2338"/>
      <c r="H55" s="2334"/>
      <c r="I55" s="157">
        <f>'数据-取费表'!B49</f>
        <v>5.0000000000000001E-4</v>
      </c>
      <c r="J55" s="2307">
        <f>IF(H59="非个人房产","",4)</f>
        <v>4</v>
      </c>
      <c r="K55" s="3334" t="str">
        <f>IF(H59="非个人房产","——","个人所得税")</f>
        <v>个人所得税</v>
      </c>
      <c r="L55" s="3334"/>
      <c r="M55" s="2312">
        <f ca="1">D59</f>
        <v>23</v>
      </c>
      <c r="N55" s="1882" t="str">
        <f>E59</f>
        <v>差额计税</v>
      </c>
      <c r="O55" s="2313">
        <f>F59</f>
        <v>0.01</v>
      </c>
    </row>
    <row r="56" spans="1:35" ht="24.75">
      <c r="A56" s="3284" t="s">
        <v>1363</v>
      </c>
      <c r="B56" s="3285"/>
      <c r="C56" s="3285"/>
      <c r="D56" s="12">
        <f ca="1">IF(H56="个人住宅",D57,D58)</f>
        <v>1353</v>
      </c>
      <c r="E56" s="1255" t="s">
        <v>1364</v>
      </c>
      <c r="F56" s="2337" t="str">
        <f>IF(H56="正常",F58,"免征")</f>
        <v>免征</v>
      </c>
      <c r="G56" s="2340" t="s">
        <v>1365</v>
      </c>
      <c r="H56" s="2341"/>
      <c r="I56" s="1669"/>
      <c r="J56" s="2307" t="str">
        <f>IF(项目基本情况!K6="上海银行",IF(J55="",4,J55+1),"")</f>
        <v/>
      </c>
      <c r="K56" s="3357" t="str">
        <f>IF(项目基本情况!K6="上海银行","其他处置费用","")</f>
        <v/>
      </c>
      <c r="L56" s="3358"/>
      <c r="M56" s="2309" t="str">
        <f>IF(项目基本情况!K6="上海银行",M69,"")</f>
        <v/>
      </c>
      <c r="N56" s="3357" t="str">
        <f>IF(项目基本情况!K6="上海银行","包含处置中涉及的律师、诉讼、拍卖、评估等费用","")</f>
        <v/>
      </c>
      <c r="O56" s="3360"/>
    </row>
    <row r="57" spans="1:35" ht="12.75">
      <c r="A57" s="2152" t="s">
        <v>1341</v>
      </c>
      <c r="B57" s="3295" t="s">
        <v>1366</v>
      </c>
      <c r="C57" s="3296"/>
      <c r="D57" s="1477">
        <v>0</v>
      </c>
      <c r="E57" s="316" t="s">
        <v>1343</v>
      </c>
      <c r="F57" s="294"/>
      <c r="G57" s="2338"/>
      <c r="H57" s="2342"/>
      <c r="I57" s="1669"/>
      <c r="J57" s="3334">
        <f>IF(AND(J55="",J56=""),4,IF(项目基本情况!K6="上海银行",结果表!J56+1,结果表!J55+1))</f>
        <v>5</v>
      </c>
      <c r="K57" s="3334" t="s">
        <v>1367</v>
      </c>
      <c r="L57" s="2314" t="s">
        <v>1368</v>
      </c>
      <c r="M57" s="2315"/>
      <c r="N57" s="2316">
        <f ca="1">SUMIF(M52:M56,"&lt;9e307")</f>
        <v>1377</v>
      </c>
      <c r="O57" s="2317"/>
      <c r="P57" s="2460">
        <f ca="1">N57/M49</f>
        <v>0.57711651299245603</v>
      </c>
    </row>
    <row r="58" spans="1:35" ht="24.75">
      <c r="A58" s="2152" t="s">
        <v>1352</v>
      </c>
      <c r="B58" s="3295" t="s">
        <v>1369</v>
      </c>
      <c r="C58" s="3269"/>
      <c r="D58" s="12">
        <f ca="1">IF(H58="转让取得",C81,C97)</f>
        <v>1353</v>
      </c>
      <c r="E58" s="1255" t="s">
        <v>1364</v>
      </c>
      <c r="F58" s="294" t="s">
        <v>28</v>
      </c>
      <c r="G58" s="2338"/>
      <c r="H58" s="2341"/>
      <c r="I58" s="1669"/>
      <c r="J58" s="3334"/>
      <c r="K58" s="3334"/>
      <c r="L58" s="2314" t="s">
        <v>1370</v>
      </c>
      <c r="M58" s="2318"/>
      <c r="N58" s="2319" t="str">
        <f ca="1">NUMBERSTRING(INT(N57*10000),2)&amp;"元整"</f>
        <v>壹仟叁佰柒拾柒万元整</v>
      </c>
      <c r="O58" s="2320"/>
    </row>
    <row r="59" spans="1:35" ht="24.75" thickBot="1">
      <c r="A59" s="3337" t="s">
        <v>1371</v>
      </c>
      <c r="B59" s="3338"/>
      <c r="C59" s="3338"/>
      <c r="D59" s="2343">
        <f ca="1">IF(H59="非个人房产","——",IF(H59="个人住宅（满五唯一有凭证）",0,IF(H59="个人其他（无凭证）",ROUND(D45*F59,0),ROUND(C67*F59,0))))</f>
        <v>23</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35">
        <f>J57+1</f>
        <v>6</v>
      </c>
      <c r="K59" s="3334" t="s">
        <v>1372</v>
      </c>
      <c r="L59" s="2307" t="s">
        <v>1368</v>
      </c>
      <c r="M59" s="2321"/>
      <c r="N59" s="2322">
        <f ca="1">M49-N57</f>
        <v>1009</v>
      </c>
      <c r="O59" s="2323"/>
    </row>
    <row r="60" spans="1:35" ht="12" customHeight="1">
      <c r="A60" s="1670"/>
      <c r="B60" s="645"/>
      <c r="C60" s="645"/>
      <c r="D60" s="645"/>
      <c r="E60" s="1465"/>
      <c r="F60" s="1669"/>
      <c r="G60" s="1669"/>
      <c r="H60" s="151"/>
      <c r="I60" s="121"/>
      <c r="J60" s="3336"/>
      <c r="K60" s="3334"/>
      <c r="L60" s="2314" t="s">
        <v>1370</v>
      </c>
      <c r="M60" s="2318"/>
      <c r="N60" s="2319" t="str">
        <f ca="1">NUMBERSTRING(INT(N59*10000),2)&amp;"元整"</f>
        <v>壹仟零玖万元整</v>
      </c>
      <c r="O60" s="2320"/>
    </row>
    <row r="61" spans="1:35" ht="13.5" thickBot="1">
      <c r="A61" s="3282" t="s">
        <v>1373</v>
      </c>
      <c r="B61" s="3282"/>
      <c r="C61" s="3282"/>
      <c r="D61" s="3282"/>
      <c r="E61" s="3282"/>
      <c r="F61" s="1669"/>
      <c r="G61" s="1669"/>
      <c r="H61" s="151"/>
      <c r="I61" s="121"/>
      <c r="J61" s="2307">
        <f>J59+1</f>
        <v>7</v>
      </c>
      <c r="K61" s="3334" t="s">
        <v>1374</v>
      </c>
      <c r="L61" s="3334"/>
      <c r="M61" s="2324"/>
      <c r="N61" s="2325">
        <f ca="1">ROUND(N59*10000/'数据-汇总表'!E3,0)</f>
        <v>4236</v>
      </c>
      <c r="O61" s="2326"/>
    </row>
    <row r="62" spans="1:35" ht="12.75">
      <c r="A62" s="3300" t="s">
        <v>1375</v>
      </c>
      <c r="B62" s="3301"/>
      <c r="C62" s="1864"/>
      <c r="D62" s="1864" t="s">
        <v>1376</v>
      </c>
      <c r="E62" s="158" t="s">
        <v>1377</v>
      </c>
      <c r="F62" s="1669"/>
      <c r="G62" s="1669"/>
      <c r="H62" s="151"/>
      <c r="I62" s="121"/>
    </row>
    <row r="63" spans="1:35" ht="12.75">
      <c r="A63" s="165" t="s">
        <v>330</v>
      </c>
      <c r="B63" s="159" t="s">
        <v>1378</v>
      </c>
      <c r="C63" s="2347">
        <f ca="1">ROUND((C64+C65)/(1+'数据-取费表'!C42),0)</f>
        <v>2272</v>
      </c>
      <c r="D63" s="159"/>
      <c r="E63" s="160"/>
      <c r="F63" s="1669"/>
      <c r="G63" s="1669"/>
      <c r="H63" s="151"/>
      <c r="I63" s="121"/>
      <c r="J63" s="3359" t="s">
        <v>1379</v>
      </c>
      <c r="K63" s="1244" t="s">
        <v>1380</v>
      </c>
      <c r="L63" s="1244">
        <f ca="1">IF(M49&gt;10000,M49*0.5%,IF(AND(M49&gt;1000,M49&lt;=10000),M49*1%,IF(AND(M49&gt;100,M49&lt;=1000),M49*3%,IF(AND(M49&gt;10,M49&lt;=100),M49*5%,M49*8%))))</f>
        <v>23.86</v>
      </c>
      <c r="M63" s="294">
        <f ca="1">ROUND(L63,1)</f>
        <v>23.9</v>
      </c>
      <c r="N63" s="2327"/>
      <c r="Z63" s="1622"/>
      <c r="AI63" s="1560"/>
    </row>
    <row r="64" spans="1:35" ht="14.25" customHeight="1">
      <c r="A64" s="161" t="s">
        <v>325</v>
      </c>
      <c r="B64" s="162" t="s">
        <v>1381</v>
      </c>
      <c r="C64" s="2348">
        <f ca="1">D45</f>
        <v>2386</v>
      </c>
      <c r="D64" s="162" t="s">
        <v>26</v>
      </c>
      <c r="E64" s="164"/>
      <c r="F64" s="1669"/>
      <c r="G64" s="1669"/>
      <c r="H64" s="151"/>
      <c r="I64" s="121"/>
      <c r="J64" s="3359"/>
      <c r="K64" s="1244" t="s">
        <v>1382</v>
      </c>
      <c r="L64" s="1244">
        <f ca="1">IF(M49&gt;2000,M49*0.5%,IF(AND(M49&gt;1000,M49&lt;=2000),M49*0.6%,IF(AND(M49&gt;500,M49&lt;=1000),M49*0.7%,IF(AND(M49&gt;200,M49&lt;=500),M49*0.8%,IF(AND(M49&gt;100,M49&lt;=200),M49*0.9%,IF(AND(M49&gt;50,M49&lt;=100),M49*1%,IF(AND(M49&gt;20,M49&lt;=50),M49*1.5%,IF(AND(M49&gt;10,M49&lt;=20),M49*2%,IF(AND(M49&gt;1,M49&lt;=10),M49*2.5%)))))))))</f>
        <v>11.93</v>
      </c>
      <c r="M64" s="294">
        <f t="shared" ref="M64:M65" ca="1" si="1">ROUND(L64,1)</f>
        <v>11.9</v>
      </c>
      <c r="N64" s="2328" t="s">
        <v>1383</v>
      </c>
      <c r="Z64" s="1622"/>
      <c r="AI64" s="1560"/>
    </row>
    <row r="65" spans="1:35" ht="14.25" customHeight="1">
      <c r="A65" s="161" t="s">
        <v>326</v>
      </c>
      <c r="B65" s="162" t="s">
        <v>1384</v>
      </c>
      <c r="C65" s="2349"/>
      <c r="D65" s="162"/>
      <c r="E65" s="164"/>
      <c r="F65" s="1669"/>
      <c r="G65" s="1669"/>
      <c r="H65" s="151"/>
      <c r="I65" s="121"/>
      <c r="J65" s="3359"/>
      <c r="K65" s="1244" t="s">
        <v>1385</v>
      </c>
      <c r="L65" s="1244">
        <f ca="1">IF(M49&gt;1000,M49*0.1%,IF(AND(M49&gt;500,M49&lt;=1000),M49*0.5%,IF(AND(M49&gt;50,M49&lt;=500),M49*1%,IF(AND(M49&gt;1,M49&lt;=50),M49*1.5%))))</f>
        <v>2.3860000000000001</v>
      </c>
      <c r="M65" s="294">
        <f t="shared" ca="1" si="1"/>
        <v>2.4</v>
      </c>
      <c r="N65" s="2328" t="s">
        <v>1383</v>
      </c>
      <c r="Z65" s="1622"/>
      <c r="AI65" s="1560"/>
    </row>
    <row r="66" spans="1:35" ht="14.25" customHeight="1">
      <c r="A66" s="165" t="s">
        <v>327</v>
      </c>
      <c r="B66" s="166" t="s">
        <v>1386</v>
      </c>
      <c r="C66" s="2350"/>
      <c r="D66" s="166" t="s">
        <v>26</v>
      </c>
      <c r="E66" s="1250" t="s">
        <v>671</v>
      </c>
      <c r="F66" s="1669"/>
      <c r="G66" s="1669"/>
      <c r="H66" s="151"/>
      <c r="I66" s="121"/>
      <c r="J66" s="3359"/>
      <c r="K66" s="1244" t="s">
        <v>1387</v>
      </c>
      <c r="L66" s="1244">
        <f ca="1">M49*0.5%</f>
        <v>11.93</v>
      </c>
      <c r="M66" s="294">
        <f ca="1">IF(L66&gt;0.5,0.5,ROUND(L66,0))</f>
        <v>0.5</v>
      </c>
      <c r="N66" s="2328" t="s">
        <v>1388</v>
      </c>
      <c r="Z66" s="1622"/>
      <c r="AI66" s="1560"/>
    </row>
    <row r="67" spans="1:35" ht="14.25" customHeight="1">
      <c r="A67" s="165" t="s">
        <v>328</v>
      </c>
      <c r="B67" s="166" t="s">
        <v>1389</v>
      </c>
      <c r="C67" s="2351">
        <f ca="1">C63-C66</f>
        <v>2272</v>
      </c>
      <c r="D67" s="162" t="s">
        <v>26</v>
      </c>
      <c r="E67" s="164"/>
      <c r="F67" s="1669"/>
      <c r="G67" s="1669"/>
      <c r="H67" s="151"/>
      <c r="I67" s="121"/>
      <c r="J67" s="3359"/>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7"/>
      <c r="Z67" s="1622"/>
      <c r="AI67" s="1560"/>
    </row>
    <row r="68" spans="1:35" ht="14.25" customHeight="1" thickBot="1">
      <c r="A68" s="168" t="s">
        <v>329</v>
      </c>
      <c r="B68" s="169" t="s">
        <v>1391</v>
      </c>
      <c r="C68" s="2352">
        <f ca="1">IF(C67&lt;=0,0,ROUND(C67*D68,0))</f>
        <v>125</v>
      </c>
      <c r="D68" s="2353">
        <f>'数据-取费表'!B41</f>
        <v>5.5000000000000007E-2</v>
      </c>
      <c r="E68" s="170"/>
      <c r="F68" s="1669"/>
      <c r="G68" s="1669"/>
      <c r="H68" s="151"/>
      <c r="I68" s="121"/>
      <c r="J68" s="3359"/>
      <c r="K68" s="1244" t="s">
        <v>1392</v>
      </c>
      <c r="L68" s="1244">
        <f ca="1">IF(M49&gt;10000,M49*0.5%,IF(AND(M49&gt;5000,M49&lt;=10000),M49*1%,IF(AND(M49&gt;1000,M49&lt;=5000),M49*2%,IF(AND(M49&gt;200,M49&lt;=1000),M49*3%,M49*5%))))</f>
        <v>47.72</v>
      </c>
      <c r="M68" s="294">
        <f ca="1">ROUND(L68,1)</f>
        <v>47.7</v>
      </c>
      <c r="N68" s="2327"/>
      <c r="Z68" s="1622"/>
      <c r="AI68" s="1560"/>
    </row>
    <row r="69" spans="1:35" ht="16.5" customHeight="1">
      <c r="A69" s="1671"/>
      <c r="B69" s="1672"/>
      <c r="C69" s="1673"/>
      <c r="D69" s="1674"/>
      <c r="E69" s="1675"/>
      <c r="F69" s="1465"/>
      <c r="G69" s="1465"/>
      <c r="H69" s="1466"/>
      <c r="I69" s="645"/>
      <c r="J69" s="3359"/>
      <c r="K69" s="1244" t="s">
        <v>1393</v>
      </c>
      <c r="L69" s="1244"/>
      <c r="M69" s="294">
        <f ca="1">ROUND(SUM(M63:M68),0)</f>
        <v>89</v>
      </c>
      <c r="N69" s="2329">
        <f ca="1">M69/M49</f>
        <v>3.7300922045264043E-2</v>
      </c>
      <c r="Z69" s="1622"/>
      <c r="AI69" s="1560"/>
    </row>
    <row r="70" spans="1:35" s="641" customFormat="1" ht="15" thickBot="1">
      <c r="A70" s="3321" t="s">
        <v>1394</v>
      </c>
      <c r="B70" s="3322"/>
      <c r="C70" s="3322"/>
      <c r="D70" s="3322"/>
      <c r="E70" s="3322"/>
      <c r="F70" s="3322"/>
      <c r="G70" s="3322"/>
      <c r="H70" s="332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0" t="s">
        <v>1375</v>
      </c>
      <c r="B71" s="3301"/>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1">
        <f ca="1">ROUND(D45/(1+'数据-取费表'!C42),0)</f>
        <v>2272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1">
        <f ca="1">C74+C78</f>
        <v>11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7">
        <v>0.05</v>
      </c>
      <c r="E76" s="3295" t="s">
        <v>1402</v>
      </c>
      <c r="F76" s="3269"/>
      <c r="G76" s="3269"/>
      <c r="H76" s="332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11</v>
      </c>
      <c r="D78" s="2360">
        <f>'数据-取费表'!B43</f>
        <v>5.000000000000001E-3</v>
      </c>
      <c r="E78" s="3279" t="s">
        <v>1406</v>
      </c>
      <c r="F78" s="3280"/>
      <c r="G78" s="3280"/>
      <c r="H78" s="328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1">
        <f ca="1">C72-C73</f>
        <v>2261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205.54545454545453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2">
        <f ca="1">ROUND(IF(C79&lt;=0,0,IF(C80&gt;=200%,C79*60%-C73*35%,IF(C80&gt;=100%,C79*50%-C73*15%,IF(C80&gt;=50%,C79*40%-C73*5%,IF(C80&lt;50%,C79*30%,0))))),0)</f>
        <v>1353</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1" t="s">
        <v>1410</v>
      </c>
      <c r="B83" s="3322"/>
      <c r="C83" s="3322"/>
      <c r="D83" s="3322"/>
      <c r="E83" s="3322"/>
      <c r="F83" s="3322"/>
      <c r="G83" s="3322"/>
      <c r="H83" s="332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0" t="s">
        <v>1375</v>
      </c>
      <c r="B84" s="3301"/>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1">
        <f ca="1">ROUND(D45/(1+'数据-取费表'!C42),0)</f>
        <v>2272</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1">
        <f ca="1">IF(H88="仅含出让金",C87+C90+C91+C92+C93+C94,C87+C91+C92+C93+C94)</f>
        <v>11</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5"/>
      <c r="D88" s="2360"/>
      <c r="E88" s="185" t="s">
        <v>1413</v>
      </c>
      <c r="F88" s="2147"/>
      <c r="G88" s="186"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5"/>
      <c r="D90" s="2360"/>
      <c r="E90" s="185" t="str">
        <f>IF(H88="-","土地取得成本中已包含该笔费用"," ")</f>
        <v xml:space="preserve"> </v>
      </c>
      <c r="F90" s="2147"/>
      <c r="G90" s="3361" t="s">
        <v>2128</v>
      </c>
      <c r="H90" s="3362"/>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279" t="s">
        <v>1419</v>
      </c>
      <c r="F91" s="3280"/>
      <c r="G91" s="328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279" t="s">
        <v>1422</v>
      </c>
      <c r="F92" s="3280"/>
      <c r="G92" s="3280"/>
      <c r="H92" s="3289"/>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11</v>
      </c>
      <c r="D93" s="2360">
        <f>'数据-取费表'!B43</f>
        <v>5.000000000000001E-3</v>
      </c>
      <c r="E93" s="3279" t="s">
        <v>1406</v>
      </c>
      <c r="F93" s="3280"/>
      <c r="G93" s="3280"/>
      <c r="H93" s="328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290" t="s">
        <v>1426</v>
      </c>
      <c r="F94" s="3291"/>
      <c r="G94" s="3291"/>
      <c r="H94" s="329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1">
        <f ca="1">ROUND(C85-C86,0)</f>
        <v>2261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205.54545454545453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2">
        <f ca="1">ROUND(IF(C95&lt;=0,0,IF(C96&gt;=200%,C95*60%-C86*35%,IF(C96&gt;=100%,C95*50%-C86*15%,IF(C96&gt;=50%,C95*40%-C86*5%,IF(C96&lt;50%,C95*30%,0))))),0)</f>
        <v>1353</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3" t="s">
        <v>1428</v>
      </c>
      <c r="B100" s="3264"/>
      <c r="C100" s="3264"/>
      <c r="D100" s="3281"/>
      <c r="E100" s="3264" t="s">
        <v>1429</v>
      </c>
      <c r="F100" s="3264"/>
      <c r="G100" s="3264"/>
      <c r="H100" s="3281"/>
      <c r="I100" s="121"/>
    </row>
    <row r="101" spans="1:35" ht="18.75" customHeight="1">
      <c r="A101" s="3342" t="s">
        <v>1430</v>
      </c>
      <c r="B101" s="3343"/>
      <c r="C101" s="2368" t="str">
        <f>C4</f>
        <v>成本法</v>
      </c>
      <c r="D101" s="2369" t="str">
        <f>D4</f>
        <v>收益法</v>
      </c>
      <c r="E101" s="3356" t="s">
        <v>1431</v>
      </c>
      <c r="F101" s="3313"/>
      <c r="G101" s="1686" t="s">
        <v>1432</v>
      </c>
      <c r="H101" s="2378">
        <f ca="1">H118</f>
        <v>2386</v>
      </c>
      <c r="I101" s="121"/>
    </row>
    <row r="102" spans="1:35" ht="18.75" customHeight="1">
      <c r="A102" s="3315" t="s">
        <v>1433</v>
      </c>
      <c r="B102" s="2367" t="s">
        <v>1432</v>
      </c>
      <c r="C102" s="2368">
        <f ca="1">IF(D32="楼面单价",ROUND(C19,0),C19)</f>
        <v>2896</v>
      </c>
      <c r="D102" s="2369">
        <f ca="1">IF(D32="楼面单价",ROUND(D19,0),D19)</f>
        <v>1197</v>
      </c>
      <c r="E102" s="3356"/>
      <c r="F102" s="3313"/>
      <c r="G102" s="1686" t="s">
        <v>1434</v>
      </c>
      <c r="H102" s="2338">
        <f ca="1">I118</f>
        <v>10016</v>
      </c>
      <c r="I102" s="121"/>
    </row>
    <row r="103" spans="1:35" ht="42.75" customHeight="1">
      <c r="A103" s="3315"/>
      <c r="B103" s="2367" t="s">
        <v>1434</v>
      </c>
      <c r="C103" s="2370">
        <f ca="1">C20</f>
        <v>12157</v>
      </c>
      <c r="D103" s="2371">
        <f ca="1">D20</f>
        <v>5025</v>
      </c>
      <c r="E103" s="3350" t="s">
        <v>1435</v>
      </c>
      <c r="F103" s="3351"/>
      <c r="G103" s="1687" t="s">
        <v>1436</v>
      </c>
      <c r="H103" s="2378">
        <f>IF(D36="正常操作",H104+H105+H106,H105+H106)</f>
        <v>0</v>
      </c>
      <c r="I103" s="121"/>
    </row>
    <row r="104" spans="1:35" ht="18.75" customHeight="1">
      <c r="A104" s="3315" t="s">
        <v>1437</v>
      </c>
      <c r="B104" s="2372" t="s">
        <v>1432</v>
      </c>
      <c r="C104" s="2373">
        <f ca="1">H118</f>
        <v>2386</v>
      </c>
      <c r="D104" s="2374"/>
      <c r="E104" s="1554" t="s">
        <v>1438</v>
      </c>
      <c r="F104" s="1547"/>
      <c r="G104" s="1687" t="s">
        <v>1436</v>
      </c>
      <c r="H104" s="2379">
        <f>IF(D36="同一抵押权人同一抵押物续贷",C36&amp;"（续贷，未扣减，详见特别提示）",C36)</f>
        <v>0</v>
      </c>
      <c r="I104" s="121"/>
    </row>
    <row r="105" spans="1:35" ht="18.75" customHeight="1" thickBot="1">
      <c r="A105" s="3316"/>
      <c r="B105" s="2375" t="s">
        <v>1434</v>
      </c>
      <c r="C105" s="2376">
        <f ca="1">I118</f>
        <v>10016</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12" t="str">
        <f>IF(项目基本情况!E8="已注销","——","3.房地产抵押价值")</f>
        <v>3.房地产抵押价值</v>
      </c>
      <c r="F107" s="3313"/>
      <c r="G107" s="1686" t="s">
        <v>1432</v>
      </c>
      <c r="H107" s="2378">
        <f ca="1">IF(E107="——","——",H101-H103)</f>
        <v>2386</v>
      </c>
      <c r="I107" s="121"/>
    </row>
    <row r="108" spans="1:35" ht="18.75" customHeight="1">
      <c r="A108" s="121"/>
      <c r="B108" s="121"/>
      <c r="C108" s="121"/>
      <c r="D108" s="121"/>
      <c r="E108" s="3312"/>
      <c r="F108" s="3313"/>
      <c r="G108" s="1686" t="s">
        <v>1434</v>
      </c>
      <c r="H108" s="2338">
        <f ca="1">IF(H107=H101,H102,ROUND(H107*10000/'数据-汇总表'!E3,0))</f>
        <v>10016</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6" t="s">
        <v>1432</v>
      </c>
      <c r="H109" s="2381" t="str">
        <f>IF(E109="——","——",H101-H105-H106)</f>
        <v>——</v>
      </c>
      <c r="I109" s="121"/>
    </row>
    <row r="110" spans="1:35" ht="18.75" customHeight="1">
      <c r="A110" s="121"/>
      <c r="B110" s="121"/>
      <c r="C110" s="121"/>
      <c r="D110" s="121"/>
      <c r="E110" s="3312"/>
      <c r="F110" s="3313"/>
      <c r="G110" s="1686" t="s">
        <v>1434</v>
      </c>
      <c r="H110" s="2338"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v>
      </c>
      <c r="F111" s="3314"/>
      <c r="G111" s="1686" t="s">
        <v>1432</v>
      </c>
      <c r="H111" s="2378" t="str">
        <f>IF(E111="——","——",N59)</f>
        <v>——</v>
      </c>
      <c r="I111" s="121"/>
    </row>
    <row r="112" spans="1:35" ht="18.75" customHeight="1" thickBot="1">
      <c r="A112" s="121"/>
      <c r="B112" s="121"/>
      <c r="C112" s="121"/>
      <c r="D112" s="121"/>
      <c r="E112" s="3345"/>
      <c r="F112" s="3346"/>
      <c r="G112" s="1689" t="s">
        <v>1434</v>
      </c>
      <c r="H112" s="2382" t="str">
        <f>IF(E111="——","——",N61)</f>
        <v>——</v>
      </c>
      <c r="I112" s="121"/>
    </row>
    <row r="113" spans="1:27" ht="18.75" customHeight="1">
      <c r="A113" s="121"/>
      <c r="B113" s="121"/>
      <c r="C113" s="121"/>
      <c r="D113" s="121"/>
      <c r="E113" s="3317" t="s">
        <v>1440</v>
      </c>
      <c r="F113" s="3317"/>
      <c r="G113" s="3317"/>
      <c r="H113" s="3317"/>
      <c r="I113" s="121"/>
    </row>
    <row r="114" spans="1:27" ht="3.75" customHeight="1">
      <c r="A114" s="645"/>
      <c r="B114" s="645"/>
      <c r="C114" s="645"/>
      <c r="D114" s="645"/>
      <c r="E114" s="1670"/>
      <c r="F114" s="1670"/>
      <c r="G114" s="1670"/>
      <c r="H114" s="1670"/>
      <c r="I114" s="645"/>
    </row>
    <row r="115" spans="1:27" ht="18.75" customHeight="1">
      <c r="A115" s="3327" t="s">
        <v>1442</v>
      </c>
      <c r="B115" s="3328"/>
      <c r="C115" s="3328"/>
      <c r="D115" s="3328"/>
      <c r="E115" s="3328"/>
      <c r="F115" s="3328"/>
      <c r="G115" s="3328"/>
      <c r="H115" s="3328"/>
      <c r="I115" s="3329"/>
    </row>
    <row r="116" spans="1:27" ht="27" customHeight="1">
      <c r="A116" s="3283" t="s">
        <v>1443</v>
      </c>
      <c r="B116" s="3318" t="s">
        <v>1444</v>
      </c>
      <c r="C116" s="3318" t="s">
        <v>1445</v>
      </c>
      <c r="D116" s="3331" t="s">
        <v>1446</v>
      </c>
      <c r="E116" s="3332"/>
      <c r="F116" s="3326" t="s">
        <v>1447</v>
      </c>
      <c r="G116" s="3326"/>
      <c r="H116" s="3283" t="s">
        <v>1448</v>
      </c>
      <c r="I116" s="3283"/>
    </row>
    <row r="117" spans="1:27" ht="18.75" customHeight="1">
      <c r="A117" s="3283"/>
      <c r="B117" s="3319"/>
      <c r="C117" s="3319"/>
      <c r="D117" s="2149" t="s">
        <v>1449</v>
      </c>
      <c r="E117" s="2149" t="s">
        <v>1450</v>
      </c>
      <c r="F117" s="2149" t="s">
        <v>1449</v>
      </c>
      <c r="G117" s="2149" t="s">
        <v>1451</v>
      </c>
      <c r="H117" s="2149" t="s">
        <v>1449</v>
      </c>
      <c r="I117" s="2149" t="s">
        <v>1451</v>
      </c>
    </row>
    <row r="118" spans="1:27" ht="24.75" customHeight="1">
      <c r="A118" s="2383" t="str">
        <f>项目基本情况!S2</f>
        <v>北京市怀柔区雁栖经济开发区雁栖大街8号房地产</v>
      </c>
      <c r="B118" s="2149">
        <f>M18</f>
        <v>2382.1000000000004</v>
      </c>
      <c r="C118" s="2149">
        <f>M19</f>
        <v>10810.26</v>
      </c>
      <c r="D118" s="2149">
        <f ca="1">ROUND(IF(D32="总价",C34,E118*B118/10000),0)</f>
        <v>1935</v>
      </c>
      <c r="E118" s="2149">
        <f ca="1">ROUND(IF(C33="自定义",IF(D32="楼面单价",C34,D118*10000/B118),I118-G118),0)</f>
        <v>8123</v>
      </c>
      <c r="F118" s="2149">
        <f ca="1">ROUND(IF(D32="总价",C35,G118*B118/10000),0)</f>
        <v>451</v>
      </c>
      <c r="G118" s="2149">
        <f ca="1">ROUND(IF(D32="楼面单价",C35,F118*10000/B118),0)</f>
        <v>1893</v>
      </c>
      <c r="H118" s="2149">
        <f ca="1">ROUND(IF(D32="总价",C32,I118*B118/10000),0)</f>
        <v>2386</v>
      </c>
      <c r="I118" s="2149">
        <f ca="1">ROUND(IF(D32="楼面单价",C32,H118*10000/B118),0)</f>
        <v>10016</v>
      </c>
    </row>
    <row r="119" spans="1:27" ht="18.75" customHeight="1">
      <c r="A119" s="3283" t="s">
        <v>1452</v>
      </c>
      <c r="B119" s="3283"/>
      <c r="C119" s="3283"/>
      <c r="D119" s="3323" t="str">
        <f ca="1">NUMBERSTRING(INT(D118*10000),2)&amp;"元整"</f>
        <v>壹仟玖佰叁拾伍万元整</v>
      </c>
      <c r="E119" s="3325"/>
      <c r="F119" s="3323" t="str">
        <f ca="1">NUMBERSTRING(INT(F118*10000),2)&amp;"元整"</f>
        <v>肆佰伍拾壹万元整</v>
      </c>
      <c r="G119" s="3325"/>
      <c r="H119" s="3323" t="str">
        <f ca="1">NUMBERSTRING(INT(H118*10000),2)&amp;"元整"</f>
        <v>贰仟叁佰捌拾陆万元整</v>
      </c>
      <c r="I119" s="3325"/>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3" t="s">
        <v>1452</v>
      </c>
      <c r="B121" s="3324"/>
      <c r="C121" s="3325"/>
      <c r="D121" s="3323" t="str">
        <f>IF(D120=0,"零元整",NUMBERSTRING(INT(D120*10000),2)&amp;"元整")</f>
        <v>零元整</v>
      </c>
      <c r="E121" s="3324"/>
      <c r="F121" s="3324"/>
      <c r="G121" s="3324"/>
      <c r="H121" s="3324"/>
      <c r="I121" s="3325"/>
      <c r="AA121" s="683"/>
    </row>
    <row r="122" spans="1:27" ht="18.75" customHeight="1">
      <c r="A122" s="3314" t="str">
        <f>IF(项目基本情况!B9="房地产市场价值","",MID(E107,3,LEN(E107)-2))</f>
        <v>房地产抵押价值</v>
      </c>
      <c r="B122" s="3314"/>
      <c r="C122" s="3314"/>
      <c r="D122" s="3347">
        <f ca="1">H107</f>
        <v>2386</v>
      </c>
      <c r="E122" s="3348"/>
      <c r="F122" s="3348"/>
      <c r="G122" s="3348"/>
      <c r="H122" s="3348"/>
      <c r="I122" s="3349"/>
      <c r="AA122" s="683"/>
    </row>
    <row r="123" spans="1:27" ht="18.75" customHeight="1">
      <c r="A123" s="3283" t="s">
        <v>1452</v>
      </c>
      <c r="B123" s="3283"/>
      <c r="C123" s="3283"/>
      <c r="D123" s="3323" t="str">
        <f ca="1">NUMBERSTRING(INT(D122*10000),2)&amp;"元整"</f>
        <v>贰仟叁佰捌拾陆万元整</v>
      </c>
      <c r="E123" s="3324"/>
      <c r="F123" s="3324"/>
      <c r="G123" s="3324"/>
      <c r="H123" s="3324"/>
      <c r="I123" s="3325"/>
      <c r="AA123" s="683"/>
    </row>
    <row r="124" spans="1:27" ht="18.75" customHeight="1">
      <c r="A124" s="3314" t="str">
        <f>IF(项目基本情况!B9="房地产市场价值","",MID(E109,3,LEN(E109)-2))</f>
        <v/>
      </c>
      <c r="B124" s="3314"/>
      <c r="C124" s="3314"/>
      <c r="D124" s="3347" t="str">
        <f>H109</f>
        <v>——</v>
      </c>
      <c r="E124" s="3348"/>
      <c r="F124" s="3348"/>
      <c r="G124" s="3348"/>
      <c r="H124" s="3348"/>
      <c r="I124" s="3349"/>
      <c r="AA124" s="683"/>
    </row>
    <row r="125" spans="1:27" ht="18.75" customHeight="1">
      <c r="A125" s="3283" t="s">
        <v>1452</v>
      </c>
      <c r="B125" s="3283"/>
      <c r="C125" s="3283"/>
      <c r="D125" s="3323" t="e">
        <f>NUMBERSTRING(INT(D124*10000),2)&amp;"元整"</f>
        <v>#VALUE!</v>
      </c>
      <c r="E125" s="3324"/>
      <c r="F125" s="3324"/>
      <c r="G125" s="3324"/>
      <c r="H125" s="3324"/>
      <c r="I125" s="3325"/>
      <c r="AA125" s="683"/>
    </row>
    <row r="126" spans="1:27" ht="18.75" customHeight="1">
      <c r="A126" s="3314" t="str">
        <f>IF(项目基本情况!B9="房地产市场价值","",MID(E111,3,LEN(E111)-2))</f>
        <v/>
      </c>
      <c r="B126" s="3314"/>
      <c r="C126" s="3314"/>
      <c r="D126" s="3347" t="str">
        <f>H111</f>
        <v>——</v>
      </c>
      <c r="E126" s="3348"/>
      <c r="F126" s="3348"/>
      <c r="G126" s="3348"/>
      <c r="H126" s="3348"/>
      <c r="I126" s="3349"/>
      <c r="AA126" s="683"/>
    </row>
    <row r="127" spans="1:27" ht="18.75" customHeight="1">
      <c r="A127" s="3283" t="s">
        <v>1452</v>
      </c>
      <c r="B127" s="3283"/>
      <c r="C127" s="3283"/>
      <c r="D127" s="3323" t="e">
        <f>NUMBERSTRING(INT(D126*10000),2)&amp;"元整"</f>
        <v>#VALUE!</v>
      </c>
      <c r="E127" s="3324"/>
      <c r="F127" s="3324"/>
      <c r="G127" s="3324"/>
      <c r="H127" s="3324"/>
      <c r="I127" s="3325"/>
      <c r="AA127" s="683"/>
    </row>
    <row r="128" spans="1:27" ht="21.75" customHeight="1">
      <c r="A128" s="3330" t="s">
        <v>1453</v>
      </c>
      <c r="B128" s="3330"/>
      <c r="C128" s="3330"/>
      <c r="D128" s="3330"/>
      <c r="E128" s="3330"/>
      <c r="F128" s="3330"/>
      <c r="G128" s="3330"/>
      <c r="H128" s="3330"/>
      <c r="I128" s="333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1" t="str">
        <f>项目基本情况!B1</f>
        <v>北京市怀柔区雁栖经济开发区雁栖大街8号房地产抵押价值预评估</v>
      </c>
      <c r="C37" s="3181"/>
      <c r="D37" s="3181"/>
      <c r="E37" s="3181"/>
      <c r="F37" s="3181"/>
      <c r="G37" s="3181"/>
      <c r="H37" s="3181"/>
      <c r="I37" s="3181"/>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E123"/>
  <sheetViews>
    <sheetView view="pageBreakPreview" topLeftCell="M16" zoomScale="85" zoomScaleNormal="60" zoomScaleSheetLayoutView="85" workbookViewId="0">
      <selection activeCell="R41" sqref="R41:W4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f>F61</f>
        <v>2131</v>
      </c>
      <c r="C2" s="854"/>
      <c r="D2" s="854"/>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ROUND(IF(D3="",B2*10000/'数据-汇总表'!E3,B2*10000/D3),0)</f>
        <v>8946</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3" t="s">
        <v>1770</v>
      </c>
      <c r="D4" s="3389"/>
      <c r="E4" s="3390" t="s">
        <v>1771</v>
      </c>
      <c r="F4" s="3391"/>
      <c r="G4" s="3363" t="s">
        <v>1772</v>
      </c>
      <c r="H4" s="3389"/>
      <c r="I4" s="3363" t="s">
        <v>1773</v>
      </c>
      <c r="J4" s="3389"/>
      <c r="K4" s="537" t="s">
        <v>1774</v>
      </c>
      <c r="L4" s="2482"/>
      <c r="M4" s="2483"/>
      <c r="N4" s="2483"/>
      <c r="O4" s="2483"/>
      <c r="P4" s="3392" t="s">
        <v>1775</v>
      </c>
      <c r="Q4" s="3393"/>
      <c r="R4" s="3369" t="s">
        <v>1771</v>
      </c>
      <c r="S4" s="3370"/>
      <c r="T4" s="3369" t="s">
        <v>1772</v>
      </c>
      <c r="U4" s="3370"/>
      <c r="V4" s="3382" t="s">
        <v>1773</v>
      </c>
      <c r="W4" s="3382"/>
      <c r="X4" s="1264"/>
      <c r="Y4" s="3369" t="s">
        <v>1775</v>
      </c>
      <c r="Z4" s="3370"/>
      <c r="AA4" s="3386" t="s">
        <v>1771</v>
      </c>
      <c r="AB4" s="3387" t="s">
        <v>1772</v>
      </c>
      <c r="AC4" s="3386" t="s">
        <v>1773</v>
      </c>
    </row>
    <row r="5" spans="1:29" ht="63.75" customHeight="1">
      <c r="A5" s="348"/>
      <c r="B5" s="349"/>
      <c r="C5" s="3373" t="s">
        <v>1673</v>
      </c>
      <c r="D5" s="3374"/>
      <c r="E5" s="3398" t="str">
        <f>Sheet1!A2</f>
        <v>怀柔科学城HR00-0213-6038地块M1一类工业用地国有建设用地</v>
      </c>
      <c r="F5" s="3399"/>
      <c r="G5" s="3373" t="str">
        <f>Sheet1!A3</f>
        <v>未来科学城科研成果转化基地(原小汤山镇工业区)(一期)项目CP04-0201-0010地块M1一类工业用地</v>
      </c>
      <c r="H5" s="3374"/>
      <c r="I5" s="3373" t="str">
        <f>Sheet1!A4</f>
        <v>昌平区北七家工业园区土地一级开发(一期)项目CP01-1502-0007地块M1一类工业用地</v>
      </c>
      <c r="J5" s="3374"/>
      <c r="K5" s="537"/>
      <c r="L5" s="2482"/>
      <c r="M5" s="2483"/>
      <c r="N5" s="2483"/>
      <c r="O5" s="2483"/>
      <c r="P5" s="3394"/>
      <c r="Q5" s="3395"/>
      <c r="R5" s="3371"/>
      <c r="S5" s="3372"/>
      <c r="T5" s="3371"/>
      <c r="U5" s="3372"/>
      <c r="V5" s="3382"/>
      <c r="W5" s="3382"/>
      <c r="X5" s="1264"/>
      <c r="Y5" s="3371"/>
      <c r="Z5" s="3372"/>
      <c r="AA5" s="3387"/>
      <c r="AB5" s="3387"/>
      <c r="AC5" s="3387"/>
    </row>
    <row r="6" spans="1:29" ht="15.75" thickBot="1">
      <c r="A6" s="350"/>
      <c r="B6" s="351"/>
      <c r="C6" s="3375" t="s">
        <v>1919</v>
      </c>
      <c r="D6" s="3376"/>
      <c r="E6" s="3378" t="s">
        <v>1919</v>
      </c>
      <c r="F6" s="3379"/>
      <c r="G6" s="3375" t="s">
        <v>1919</v>
      </c>
      <c r="H6" s="3376"/>
      <c r="I6" s="3375" t="s">
        <v>1919</v>
      </c>
      <c r="J6" s="3376"/>
      <c r="K6" s="537" t="s">
        <v>1678</v>
      </c>
      <c r="L6" s="2482"/>
      <c r="M6" s="2483"/>
      <c r="N6" s="2483"/>
      <c r="O6" s="2483"/>
      <c r="P6" s="3396"/>
      <c r="Q6" s="3397"/>
      <c r="R6" s="3371"/>
      <c r="S6" s="3372"/>
      <c r="T6" s="3380"/>
      <c r="U6" s="3381"/>
      <c r="V6" s="3382"/>
      <c r="W6" s="3382"/>
      <c r="X6" s="1264"/>
      <c r="Y6" s="3380"/>
      <c r="Z6" s="3381"/>
      <c r="AA6" s="3388"/>
      <c r="AB6" s="3388"/>
      <c r="AC6" s="3388"/>
    </row>
    <row r="7" spans="1:29" s="102" customFormat="1" ht="15.75" thickBot="1">
      <c r="A7" s="352" t="s">
        <v>1679</v>
      </c>
      <c r="B7" s="353"/>
      <c r="C7" s="354">
        <f>'数据-取费表'!B2</f>
        <v>45587</v>
      </c>
      <c r="D7" s="355">
        <v>100</v>
      </c>
      <c r="E7" s="356">
        <f>Sheet1!AG2</f>
        <v>45587.000497685185</v>
      </c>
      <c r="F7" s="357">
        <f>SUMIF(65:65,YEAR(E7)&amp;"-"&amp;INT((MONTH(E7)+2)/3),66:66)</f>
        <v>100</v>
      </c>
      <c r="G7" s="1821">
        <f>Sheet1!AG3</f>
        <v>45379.000497685185</v>
      </c>
      <c r="H7" s="355">
        <f>SUMIF(65:65,YEAR(G7)&amp;"-"&amp;INT((MONTH(G7)+2)/3),66:66)</f>
        <v>100</v>
      </c>
      <c r="I7" s="1821">
        <f>Sheet1!AG4</f>
        <v>45309.000497685185</v>
      </c>
      <c r="J7" s="355">
        <f>SUMIF(65:65,YEAR(I7)&amp;"-"&amp;INT((MONTH(I7)+2)/3),66:66)</f>
        <v>100</v>
      </c>
      <c r="K7" s="38"/>
      <c r="L7" s="2484"/>
      <c r="M7" s="2436"/>
      <c r="N7" s="2436"/>
      <c r="O7" s="2436"/>
      <c r="P7" s="3367" t="s">
        <v>1680</v>
      </c>
      <c r="Q7" s="3377"/>
      <c r="R7" s="663" t="s">
        <v>14</v>
      </c>
      <c r="S7" s="664">
        <f t="shared" ref="S7:S15" si="0">F7</f>
        <v>100</v>
      </c>
      <c r="T7" s="663" t="s">
        <v>14</v>
      </c>
      <c r="U7" s="664">
        <f t="shared" ref="U7:U15" si="1">H7</f>
        <v>100</v>
      </c>
      <c r="V7" s="663" t="s">
        <v>14</v>
      </c>
      <c r="W7" s="664">
        <f t="shared" ref="W7:W15" si="2">J7</f>
        <v>100</v>
      </c>
      <c r="X7" s="665"/>
      <c r="Y7" s="3367" t="s">
        <v>1680</v>
      </c>
      <c r="Z7" s="3368"/>
      <c r="AA7" s="50">
        <f>D7/F7</f>
        <v>1</v>
      </c>
      <c r="AB7" s="50">
        <f>D7/H7</f>
        <v>1</v>
      </c>
      <c r="AC7" s="50">
        <f>D7/J7</f>
        <v>1</v>
      </c>
    </row>
    <row r="8" spans="1:29" s="102" customFormat="1" ht="15.75" thickBot="1">
      <c r="A8" s="352" t="s">
        <v>1681</v>
      </c>
      <c r="B8" s="353"/>
      <c r="C8" s="358" t="s">
        <v>1682</v>
      </c>
      <c r="D8" s="355">
        <v>100</v>
      </c>
      <c r="E8" s="358" t="s">
        <v>1682</v>
      </c>
      <c r="F8" s="357">
        <f>SUMIF(68:68,E8,69:69)-SUMIF(68:68,C8,69:69)+100</f>
        <v>100</v>
      </c>
      <c r="G8" s="358" t="s">
        <v>1682</v>
      </c>
      <c r="H8" s="355">
        <f>SUMIF(68:68,G8,69:69)-SUMIF(68:68,C8,69:69)+100</f>
        <v>100</v>
      </c>
      <c r="I8" s="358" t="s">
        <v>1682</v>
      </c>
      <c r="J8" s="355">
        <f>SUMIF(68:68,I8,69:69)-SUMIF(68:68,C8,69:69)+100</f>
        <v>100</v>
      </c>
      <c r="K8" s="38"/>
      <c r="L8" s="2484"/>
      <c r="M8" s="2436"/>
      <c r="N8" s="2436"/>
      <c r="O8" s="2436"/>
      <c r="P8" s="3367" t="s">
        <v>1683</v>
      </c>
      <c r="Q8" s="3368"/>
      <c r="R8" s="663" t="s">
        <v>14</v>
      </c>
      <c r="S8" s="664">
        <f t="shared" si="0"/>
        <v>100</v>
      </c>
      <c r="T8" s="663" t="s">
        <v>14</v>
      </c>
      <c r="U8" s="664">
        <f t="shared" si="1"/>
        <v>100</v>
      </c>
      <c r="V8" s="663" t="s">
        <v>14</v>
      </c>
      <c r="W8" s="664">
        <f t="shared" si="2"/>
        <v>100</v>
      </c>
      <c r="X8" s="665"/>
      <c r="Y8" s="3367" t="s">
        <v>1683</v>
      </c>
      <c r="Z8" s="3368"/>
      <c r="AA8" s="50">
        <f t="shared" ref="AA8:AA40" si="3">D8/F8</f>
        <v>1</v>
      </c>
      <c r="AB8" s="50">
        <f t="shared" ref="AB8:AB40" si="4">D8/H8</f>
        <v>1</v>
      </c>
      <c r="AC8" s="50">
        <f t="shared" ref="AC8:AC40" si="5">D8/J8</f>
        <v>1</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366" t="s">
        <v>1686</v>
      </c>
      <c r="Q9" s="530" t="str">
        <f t="shared" ref="Q9:Q15" si="6">B9</f>
        <v>用途</v>
      </c>
      <c r="R9" s="663" t="s">
        <v>14</v>
      </c>
      <c r="S9" s="664">
        <f t="shared" si="0"/>
        <v>100</v>
      </c>
      <c r="T9" s="663" t="s">
        <v>14</v>
      </c>
      <c r="U9" s="664">
        <f t="shared" si="1"/>
        <v>100</v>
      </c>
      <c r="V9" s="663" t="s">
        <v>14</v>
      </c>
      <c r="W9" s="664">
        <f t="shared" si="2"/>
        <v>100</v>
      </c>
      <c r="X9" s="665"/>
      <c r="Y9" s="327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3176">
        <v>100</v>
      </c>
      <c r="G10" s="371"/>
      <c r="H10" s="3176">
        <v>100</v>
      </c>
      <c r="I10" s="371"/>
      <c r="J10" s="3176">
        <v>100</v>
      </c>
      <c r="K10" s="592"/>
      <c r="L10" s="2485"/>
      <c r="M10" s="2486"/>
      <c r="N10" s="2486"/>
      <c r="O10" s="2537"/>
      <c r="P10" s="3366"/>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50">
        <f t="shared" si="5"/>
        <v>1</v>
      </c>
    </row>
    <row r="11" spans="1:29" ht="15">
      <c r="A11" s="367"/>
      <c r="B11" s="364" t="s">
        <v>1689</v>
      </c>
      <c r="C11" s="368">
        <v>1</v>
      </c>
      <c r="D11" s="119">
        <v>100</v>
      </c>
      <c r="E11" s="368">
        <v>1</v>
      </c>
      <c r="F11" s="119">
        <f>LOOKUP(E11,75:75,76:76)-LOOKUP(C11,75:75,76:76)+100</f>
        <v>100</v>
      </c>
      <c r="G11" s="369">
        <v>1</v>
      </c>
      <c r="H11" s="119">
        <f>LOOKUP(G11,75:75,76:76)-LOOKUP(C11,75:75,76:76)+100</f>
        <v>100</v>
      </c>
      <c r="I11" s="368">
        <v>1</v>
      </c>
      <c r="J11" s="119">
        <f>LOOKUP(I11,75:75,76:76)-LOOKUP(C11,75:75,76:76)+100</f>
        <v>100</v>
      </c>
      <c r="K11" s="593"/>
      <c r="L11" s="2487"/>
      <c r="M11" s="2483"/>
      <c r="N11" s="2483"/>
      <c r="O11" s="2538"/>
      <c r="P11" s="3366"/>
      <c r="Q11" s="530" t="str">
        <f t="shared" si="6"/>
        <v>容积率</v>
      </c>
      <c r="R11" s="663" t="s">
        <v>14</v>
      </c>
      <c r="S11" s="664">
        <f t="shared" si="0"/>
        <v>100</v>
      </c>
      <c r="T11" s="663" t="s">
        <v>14</v>
      </c>
      <c r="U11" s="664">
        <f t="shared" si="1"/>
        <v>100</v>
      </c>
      <c r="V11" s="663" t="s">
        <v>14</v>
      </c>
      <c r="W11" s="664">
        <f t="shared" si="2"/>
        <v>100</v>
      </c>
      <c r="X11" s="665"/>
      <c r="Y11" s="3270"/>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66"/>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6"/>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6"/>
      <c r="Q14" s="530">
        <f t="shared" si="6"/>
        <v>111</v>
      </c>
      <c r="R14" s="663" t="s">
        <v>14</v>
      </c>
      <c r="S14" s="664">
        <f t="shared" si="0"/>
        <v>100</v>
      </c>
      <c r="T14" s="663" t="s">
        <v>14</v>
      </c>
      <c r="U14" s="664">
        <f t="shared" si="1"/>
        <v>100</v>
      </c>
      <c r="V14" s="663" t="s">
        <v>14</v>
      </c>
      <c r="W14" s="664">
        <f t="shared" si="2"/>
        <v>100</v>
      </c>
      <c r="X14" s="665"/>
      <c r="Y14" s="3270"/>
      <c r="Z14" s="50">
        <f t="shared" si="7"/>
        <v>111</v>
      </c>
      <c r="AA14" s="50">
        <f t="shared" si="3"/>
        <v>1</v>
      </c>
      <c r="AB14" s="50">
        <f t="shared" si="4"/>
        <v>1</v>
      </c>
      <c r="AC14" s="50">
        <f t="shared" si="5"/>
        <v>1</v>
      </c>
    </row>
    <row r="15" spans="1:29" ht="15">
      <c r="A15" s="379" t="s">
        <v>1690</v>
      </c>
      <c r="B15" s="554" t="s">
        <v>1920</v>
      </c>
      <c r="C15" s="1818" t="str">
        <f>估价对象房地状况!G15</f>
        <v>一般</v>
      </c>
      <c r="D15" s="380">
        <v>100</v>
      </c>
      <c r="E15" s="381"/>
      <c r="F15" s="380">
        <f>SUMIF(83:83,E16,84:84)-SUMIF(83:83,C16,84:84)+100</f>
        <v>100</v>
      </c>
      <c r="G15" s="381"/>
      <c r="H15" s="380">
        <f>SUMIF(83:83,G16,84:84)-SUMIF(83:83,C16,84:84)+100</f>
        <v>100</v>
      </c>
      <c r="I15" s="383"/>
      <c r="J15" s="380">
        <f>SUMIF(83:83,I16,84:84)-SUMIF(83:83,C16,84:84)+100</f>
        <v>100</v>
      </c>
      <c r="K15" s="593">
        <v>2</v>
      </c>
      <c r="L15" s="2488"/>
      <c r="M15" s="2483"/>
      <c r="N15" s="2483"/>
      <c r="O15" s="2538"/>
      <c r="P15" s="3383" t="s">
        <v>1691</v>
      </c>
      <c r="Q15" s="1262" t="str">
        <f t="shared" si="6"/>
        <v>产业集聚程度</v>
      </c>
      <c r="R15" s="666" t="s">
        <v>14</v>
      </c>
      <c r="S15" s="667">
        <f t="shared" si="0"/>
        <v>100</v>
      </c>
      <c r="T15" s="666" t="s">
        <v>14</v>
      </c>
      <c r="U15" s="667">
        <f t="shared" si="1"/>
        <v>100</v>
      </c>
      <c r="V15" s="666" t="s">
        <v>14</v>
      </c>
      <c r="W15" s="667">
        <f t="shared" si="2"/>
        <v>100</v>
      </c>
      <c r="X15" s="1264"/>
      <c r="Y15" s="3383" t="s">
        <v>1691</v>
      </c>
      <c r="Z15" s="1263" t="str">
        <f t="shared" si="7"/>
        <v>产业集聚程度</v>
      </c>
      <c r="AA15" s="1263">
        <f t="shared" si="3"/>
        <v>1</v>
      </c>
      <c r="AB15" s="1263">
        <f t="shared" si="4"/>
        <v>1</v>
      </c>
      <c r="AC15" s="1263">
        <f t="shared" si="5"/>
        <v>1</v>
      </c>
    </row>
    <row r="16" spans="1:29" ht="15">
      <c r="A16" s="367"/>
      <c r="B16" s="555"/>
      <c r="C16" s="386" t="s">
        <v>3421</v>
      </c>
      <c r="D16" s="387"/>
      <c r="E16" s="386" t="s">
        <v>3421</v>
      </c>
      <c r="F16" s="387"/>
      <c r="G16" s="386" t="s">
        <v>3421</v>
      </c>
      <c r="H16" s="389"/>
      <c r="I16" s="1757" t="s">
        <v>3421</v>
      </c>
      <c r="J16" s="387"/>
      <c r="K16" s="592"/>
      <c r="L16" s="2488"/>
      <c r="M16" s="2483"/>
      <c r="N16" s="2483"/>
      <c r="O16" s="2538"/>
      <c r="P16" s="3384"/>
      <c r="Q16" s="1262"/>
      <c r="R16" s="666"/>
      <c r="S16" s="667"/>
      <c r="T16" s="666"/>
      <c r="U16" s="667"/>
      <c r="V16" s="666"/>
      <c r="W16" s="667"/>
      <c r="X16" s="1264"/>
      <c r="Y16" s="3384"/>
      <c r="Z16" s="1263"/>
      <c r="AA16" s="1263">
        <v>1</v>
      </c>
      <c r="AB16" s="1263">
        <v>1</v>
      </c>
      <c r="AC16" s="1263">
        <v>1</v>
      </c>
    </row>
    <row r="17" spans="1:29" ht="15">
      <c r="A17" s="367"/>
      <c r="B17" s="556" t="s">
        <v>1833</v>
      </c>
      <c r="C17" s="1753" t="str">
        <f>估价对象房地状况!G16</f>
        <v>较差</v>
      </c>
      <c r="D17" s="389">
        <v>100</v>
      </c>
      <c r="E17" s="391"/>
      <c r="F17" s="394">
        <f>SUMIF(85:85,E18,86:86)-SUMIF(85:85,C18,86:86)+100</f>
        <v>100</v>
      </c>
      <c r="G17" s="391"/>
      <c r="H17" s="394">
        <f>SUMIF(85:85,G18,86:86)-SUMIF(85:85,C18,86:86)+100</f>
        <v>100</v>
      </c>
      <c r="I17" s="393"/>
      <c r="J17" s="389">
        <f>SUMIF(85:85,I18,86:86)-SUMIF(85:85,C18,86:86)+100</f>
        <v>102</v>
      </c>
      <c r="K17" s="593">
        <v>2</v>
      </c>
      <c r="L17" s="2488"/>
      <c r="M17" s="2483"/>
      <c r="N17" s="2483"/>
      <c r="O17" s="2538"/>
      <c r="P17" s="3384"/>
      <c r="Q17" s="1262" t="str">
        <f>B17</f>
        <v>交通便捷度</v>
      </c>
      <c r="R17" s="666" t="s">
        <v>14</v>
      </c>
      <c r="S17" s="667">
        <f>F17</f>
        <v>100</v>
      </c>
      <c r="T17" s="666" t="s">
        <v>14</v>
      </c>
      <c r="U17" s="667">
        <f>H17</f>
        <v>100</v>
      </c>
      <c r="V17" s="666" t="s">
        <v>14</v>
      </c>
      <c r="W17" s="667">
        <f>J17</f>
        <v>102</v>
      </c>
      <c r="X17" s="1264"/>
      <c r="Y17" s="3384"/>
      <c r="Z17" s="1263" t="str">
        <f>Q17</f>
        <v>交通便捷度</v>
      </c>
      <c r="AA17" s="1263">
        <f t="shared" si="3"/>
        <v>1</v>
      </c>
      <c r="AB17" s="1263">
        <f t="shared" si="4"/>
        <v>1</v>
      </c>
      <c r="AC17" s="1263">
        <f t="shared" si="5"/>
        <v>0.98039215686274506</v>
      </c>
    </row>
    <row r="18" spans="1:29" ht="15">
      <c r="A18" s="367"/>
      <c r="B18" s="401"/>
      <c r="C18" s="386" t="s">
        <v>3565</v>
      </c>
      <c r="D18" s="387"/>
      <c r="E18" s="386" t="s">
        <v>3565</v>
      </c>
      <c r="F18" s="387"/>
      <c r="G18" s="386" t="s">
        <v>3565</v>
      </c>
      <c r="H18" s="387"/>
      <c r="I18" s="1750" t="s">
        <v>3421</v>
      </c>
      <c r="J18" s="387"/>
      <c r="K18" s="592"/>
      <c r="L18" s="2488"/>
      <c r="M18" s="2483"/>
      <c r="N18" s="2483"/>
      <c r="O18" s="2538"/>
      <c r="P18" s="3384"/>
      <c r="Q18" s="1262"/>
      <c r="R18" s="666"/>
      <c r="S18" s="667"/>
      <c r="T18" s="666"/>
      <c r="U18" s="667"/>
      <c r="V18" s="666"/>
      <c r="W18" s="667"/>
      <c r="X18" s="1264"/>
      <c r="Y18" s="3384"/>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88"/>
      <c r="M19" s="2483"/>
      <c r="N19" s="2483"/>
      <c r="O19" s="2538"/>
      <c r="P19" s="3384"/>
      <c r="Q19" s="1262" t="str">
        <f t="shared" ref="Q19:Q33" si="8">B19</f>
        <v>区域土地利用方向</v>
      </c>
      <c r="R19" s="666" t="s">
        <v>14</v>
      </c>
      <c r="S19" s="667">
        <f>F19</f>
        <v>100</v>
      </c>
      <c r="T19" s="666" t="s">
        <v>14</v>
      </c>
      <c r="U19" s="667">
        <f>H19</f>
        <v>100</v>
      </c>
      <c r="V19" s="666" t="s">
        <v>14</v>
      </c>
      <c r="W19" s="667">
        <f>J19</f>
        <v>100</v>
      </c>
      <c r="X19" s="1264"/>
      <c r="Y19" s="3384"/>
      <c r="Z19" s="1263" t="str">
        <f>Q19</f>
        <v>区域土地利用方向</v>
      </c>
      <c r="AA19" s="1263">
        <f t="shared" si="3"/>
        <v>1</v>
      </c>
      <c r="AB19" s="1263">
        <f t="shared" si="4"/>
        <v>1</v>
      </c>
      <c r="AC19" s="1263">
        <f t="shared" si="5"/>
        <v>1</v>
      </c>
    </row>
    <row r="20" spans="1:29" ht="15">
      <c r="A20" s="348"/>
      <c r="B20" s="401"/>
      <c r="C20" s="386" t="s">
        <v>3420</v>
      </c>
      <c r="D20" s="387"/>
      <c r="E20" s="386" t="s">
        <v>3420</v>
      </c>
      <c r="F20" s="387"/>
      <c r="G20" s="386" t="s">
        <v>3420</v>
      </c>
      <c r="H20" s="387"/>
      <c r="I20" s="386" t="s">
        <v>3420</v>
      </c>
      <c r="J20" s="387"/>
      <c r="K20" s="697"/>
      <c r="L20" s="2488"/>
      <c r="M20" s="2483"/>
      <c r="N20" s="2483"/>
      <c r="O20" s="2538"/>
      <c r="P20" s="3384"/>
      <c r="Q20" s="1262"/>
      <c r="R20" s="666"/>
      <c r="S20" s="667"/>
      <c r="T20" s="666"/>
      <c r="U20" s="667"/>
      <c r="V20" s="666"/>
      <c r="W20" s="667"/>
      <c r="X20" s="1264"/>
      <c r="Y20" s="3384"/>
      <c r="Z20" s="1263"/>
      <c r="AA20" s="1263"/>
      <c r="AB20" s="1263"/>
      <c r="AC20" s="1263"/>
    </row>
    <row r="21" spans="1:29" ht="15">
      <c r="A21" s="348"/>
      <c r="B21" s="556" t="s">
        <v>1921</v>
      </c>
      <c r="C21" s="1753" t="str">
        <f>估价对象房地状况!G18</f>
        <v>一般</v>
      </c>
      <c r="D21" s="389">
        <v>100</v>
      </c>
      <c r="E21" s="391"/>
      <c r="F21" s="389">
        <f>SUMIF(89:89,E22,90:90)-SUMIF(89:89,C22,90:90)+100</f>
        <v>100</v>
      </c>
      <c r="G21" s="391"/>
      <c r="H21" s="389">
        <f>SUMIF(89:89,G22,90:90)-SUMIF(89:89,C22,90:90)+100</f>
        <v>100</v>
      </c>
      <c r="I21" s="393"/>
      <c r="J21" s="389">
        <f>SUMIF(89:89,I22,90:90)-SUMIF(89:89,C22,90:90)+100</f>
        <v>100</v>
      </c>
      <c r="K21" s="593">
        <v>2</v>
      </c>
      <c r="L21" s="2488"/>
      <c r="M21" s="2483"/>
      <c r="N21" s="2483"/>
      <c r="O21" s="2538"/>
      <c r="P21" s="3384"/>
      <c r="Q21" s="1262" t="str">
        <f t="shared" si="8"/>
        <v>环境状况</v>
      </c>
      <c r="R21" s="666" t="s">
        <v>14</v>
      </c>
      <c r="S21" s="667">
        <f>F21</f>
        <v>100</v>
      </c>
      <c r="T21" s="666" t="s">
        <v>14</v>
      </c>
      <c r="U21" s="667">
        <f>H21</f>
        <v>100</v>
      </c>
      <c r="V21" s="666" t="s">
        <v>14</v>
      </c>
      <c r="W21" s="667">
        <f>J21</f>
        <v>100</v>
      </c>
      <c r="X21" s="1264"/>
      <c r="Y21" s="3384"/>
      <c r="Z21" s="1263" t="str">
        <f>Q21</f>
        <v>环境状况</v>
      </c>
      <c r="AA21" s="1263">
        <f t="shared" si="3"/>
        <v>1</v>
      </c>
      <c r="AB21" s="1263">
        <f t="shared" si="4"/>
        <v>1</v>
      </c>
      <c r="AC21" s="1263">
        <f t="shared" si="5"/>
        <v>1</v>
      </c>
    </row>
    <row r="22" spans="1:29" ht="15">
      <c r="A22" s="348"/>
      <c r="B22" s="401"/>
      <c r="C22" s="386" t="s">
        <v>3421</v>
      </c>
      <c r="D22" s="387"/>
      <c r="E22" s="386" t="s">
        <v>3421</v>
      </c>
      <c r="F22" s="387"/>
      <c r="G22" s="386" t="s">
        <v>3421</v>
      </c>
      <c r="H22" s="387"/>
      <c r="I22" s="386" t="s">
        <v>3421</v>
      </c>
      <c r="J22" s="387"/>
      <c r="K22" s="592"/>
      <c r="L22" s="2488"/>
      <c r="M22" s="2483"/>
      <c r="N22" s="2483"/>
      <c r="O22" s="2538"/>
      <c r="P22" s="3384"/>
      <c r="Q22" s="1262"/>
      <c r="R22" s="666"/>
      <c r="S22" s="667"/>
      <c r="T22" s="666"/>
      <c r="U22" s="667"/>
      <c r="V22" s="666"/>
      <c r="W22" s="667"/>
      <c r="X22" s="1264"/>
      <c r="Y22" s="3384"/>
      <c r="Z22" s="1263"/>
      <c r="AA22" s="1263">
        <v>1</v>
      </c>
      <c r="AB22" s="1263">
        <v>1</v>
      </c>
      <c r="AC22" s="1263">
        <v>1</v>
      </c>
    </row>
    <row r="23" spans="1:29" s="102" customFormat="1" ht="15">
      <c r="A23" s="443"/>
      <c r="B23" s="557" t="s">
        <v>1778</v>
      </c>
      <c r="C23" s="1753" t="str">
        <f>估价对象房地状况!G19</f>
        <v>较差</v>
      </c>
      <c r="D23" s="389">
        <v>100</v>
      </c>
      <c r="E23" s="391"/>
      <c r="F23" s="389">
        <f>SUMIF(91:91,E24,92:92)-SUMIF(91:91,C24,92:92)+100</f>
        <v>100</v>
      </c>
      <c r="G23" s="391"/>
      <c r="H23" s="389">
        <f>SUMIF(91:91,G24,92:92)-SUMIF(91:91,C24,92:92)+100</f>
        <v>100</v>
      </c>
      <c r="I23" s="393"/>
      <c r="J23" s="389">
        <f>SUMIF(91:91,I24,92:92)-SUMIF(91:91,C24,92:92)+100</f>
        <v>102</v>
      </c>
      <c r="K23" s="593">
        <v>2</v>
      </c>
      <c r="L23" s="2484"/>
      <c r="M23" s="2436"/>
      <c r="N23" s="2436"/>
      <c r="O23" s="2536"/>
      <c r="P23" s="3384"/>
      <c r="Q23" s="530" t="str">
        <f t="shared" si="8"/>
        <v>公共配套设施</v>
      </c>
      <c r="R23" s="663" t="s">
        <v>14</v>
      </c>
      <c r="S23" s="664">
        <f>F23</f>
        <v>100</v>
      </c>
      <c r="T23" s="663" t="s">
        <v>14</v>
      </c>
      <c r="U23" s="664">
        <f>H23</f>
        <v>100</v>
      </c>
      <c r="V23" s="663" t="s">
        <v>14</v>
      </c>
      <c r="W23" s="664">
        <f>J23</f>
        <v>102</v>
      </c>
      <c r="X23" s="665"/>
      <c r="Y23" s="3384"/>
      <c r="Z23" s="50" t="str">
        <f>Q23</f>
        <v>公共配套设施</v>
      </c>
      <c r="AA23" s="1263">
        <f>D23/F23</f>
        <v>1</v>
      </c>
      <c r="AB23" s="1263">
        <f>D23/H23</f>
        <v>1</v>
      </c>
      <c r="AC23" s="1263">
        <f>D23/J23</f>
        <v>0.98039215686274506</v>
      </c>
    </row>
    <row r="24" spans="1:29" s="102" customFormat="1" ht="15">
      <c r="A24" s="443"/>
      <c r="B24" s="401"/>
      <c r="C24" s="1825" t="s">
        <v>3565</v>
      </c>
      <c r="D24" s="387"/>
      <c r="E24" s="1825" t="s">
        <v>3565</v>
      </c>
      <c r="F24" s="387"/>
      <c r="G24" s="1825" t="s">
        <v>3565</v>
      </c>
      <c r="H24" s="387"/>
      <c r="I24" s="386" t="s">
        <v>3421</v>
      </c>
      <c r="J24" s="387"/>
      <c r="K24" s="592"/>
      <c r="L24" s="2484"/>
      <c r="M24" s="2436"/>
      <c r="N24" s="2436"/>
      <c r="O24" s="2536"/>
      <c r="P24" s="3384"/>
      <c r="Q24" s="530"/>
      <c r="R24" s="663"/>
      <c r="S24" s="664"/>
      <c r="T24" s="663"/>
      <c r="U24" s="664"/>
      <c r="V24" s="663"/>
      <c r="W24" s="664"/>
      <c r="X24" s="665"/>
      <c r="Y24" s="3384"/>
      <c r="Z24" s="50"/>
      <c r="AA24" s="50">
        <v>1</v>
      </c>
      <c r="AB24" s="50">
        <v>1</v>
      </c>
      <c r="AC24" s="50">
        <v>1</v>
      </c>
    </row>
    <row r="25" spans="1:29" s="102" customFormat="1" ht="15">
      <c r="A25" s="443"/>
      <c r="B25" s="557" t="s">
        <v>1779</v>
      </c>
      <c r="C25" s="1753"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v>1</v>
      </c>
      <c r="L25" s="2484"/>
      <c r="M25" s="2436"/>
      <c r="N25" s="2436"/>
      <c r="O25" s="2536"/>
      <c r="P25" s="3384"/>
      <c r="Q25" s="530" t="str">
        <f t="shared" ref="Q25" si="9">B25</f>
        <v>基础设施水平</v>
      </c>
      <c r="R25" s="663" t="s">
        <v>14</v>
      </c>
      <c r="S25" s="664">
        <f>F25</f>
        <v>100</v>
      </c>
      <c r="T25" s="663" t="s">
        <v>14</v>
      </c>
      <c r="U25" s="664">
        <f>H25</f>
        <v>100</v>
      </c>
      <c r="V25" s="663" t="s">
        <v>14</v>
      </c>
      <c r="W25" s="664">
        <f>J25</f>
        <v>100</v>
      </c>
      <c r="X25" s="665"/>
      <c r="Y25" s="3384"/>
      <c r="Z25" s="50" t="str">
        <f>Q25</f>
        <v>基础设施水平</v>
      </c>
      <c r="AA25" s="1263">
        <f>D25/F25</f>
        <v>1</v>
      </c>
      <c r="AB25" s="1263">
        <f>D25/H25</f>
        <v>1</v>
      </c>
      <c r="AC25" s="1263">
        <f>D25/J25</f>
        <v>1</v>
      </c>
    </row>
    <row r="26" spans="1:29" s="102" customFormat="1" ht="15">
      <c r="A26" s="443"/>
      <c r="B26" s="401"/>
      <c r="C26" s="1825" t="s">
        <v>3567</v>
      </c>
      <c r="D26" s="387"/>
      <c r="E26" s="1825" t="s">
        <v>3567</v>
      </c>
      <c r="F26" s="387"/>
      <c r="G26" s="1825" t="s">
        <v>3567</v>
      </c>
      <c r="H26" s="387"/>
      <c r="I26" s="1825" t="s">
        <v>3567</v>
      </c>
      <c r="J26" s="387"/>
      <c r="K26" s="592"/>
      <c r="L26" s="2484"/>
      <c r="M26" s="2436"/>
      <c r="N26" s="2436"/>
      <c r="O26" s="2536"/>
      <c r="P26" s="3384"/>
      <c r="Q26" s="530"/>
      <c r="R26" s="663"/>
      <c r="S26" s="664"/>
      <c r="T26" s="663"/>
      <c r="U26" s="664"/>
      <c r="V26" s="663"/>
      <c r="W26" s="664"/>
      <c r="X26" s="665"/>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8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4"/>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84"/>
      <c r="Q28" s="1262" t="str">
        <f t="shared" si="8"/>
        <v>毗邻道路的类型与等级</v>
      </c>
      <c r="R28" s="666" t="s">
        <v>14</v>
      </c>
      <c r="S28" s="667">
        <f t="shared" si="10"/>
        <v>100</v>
      </c>
      <c r="T28" s="666" t="s">
        <v>14</v>
      </c>
      <c r="U28" s="667">
        <f t="shared" si="11"/>
        <v>100</v>
      </c>
      <c r="V28" s="666" t="s">
        <v>14</v>
      </c>
      <c r="W28" s="667">
        <f t="shared" si="12"/>
        <v>100</v>
      </c>
      <c r="X28" s="1264"/>
      <c r="Y28" s="338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384"/>
      <c r="Q29" s="1262"/>
      <c r="R29" s="666"/>
      <c r="S29" s="667"/>
      <c r="T29" s="666"/>
      <c r="U29" s="667"/>
      <c r="V29" s="666"/>
      <c r="W29" s="667"/>
      <c r="X29" s="1264"/>
      <c r="Y29" s="3384"/>
      <c r="Z29" s="1263"/>
      <c r="AA29" s="1263">
        <v>1</v>
      </c>
      <c r="AB29" s="1263">
        <v>1</v>
      </c>
      <c r="AC29" s="1263">
        <v>1</v>
      </c>
    </row>
    <row r="30" spans="1:29" ht="15">
      <c r="A30" s="367"/>
      <c r="B30" s="119" t="s">
        <v>1873</v>
      </c>
      <c r="C30" s="1068" t="str">
        <f>估价对象房地状况!G23</f>
        <v>9级</v>
      </c>
      <c r="D30" s="374">
        <v>100</v>
      </c>
      <c r="E30" s="558" t="s">
        <v>3573</v>
      </c>
      <c r="F30" s="374">
        <f>SUMIF(99:99,E30,100:100)-SUMIF(99:99,C30,100:100)+100</f>
        <v>100</v>
      </c>
      <c r="G30" s="558" t="s">
        <v>3573</v>
      </c>
      <c r="H30" s="374">
        <f>SUMIF(99:99,G30,100:100)-SUMIF(99:99,C30,100:100)+100</f>
        <v>100</v>
      </c>
      <c r="I30" s="558" t="s">
        <v>3574</v>
      </c>
      <c r="J30" s="374">
        <f>SUMIF(99:99,I30,100:100)-SUMIF(99:99,C30,100:100)+100</f>
        <v>104</v>
      </c>
      <c r="K30" s="538">
        <v>2</v>
      </c>
      <c r="L30" s="2488"/>
      <c r="M30" s="2483"/>
      <c r="N30" s="2483"/>
      <c r="O30" s="2538"/>
      <c r="P30" s="3384"/>
      <c r="Q30" s="1262" t="str">
        <f t="shared" si="8"/>
        <v>土地级别</v>
      </c>
      <c r="R30" s="666" t="s">
        <v>14</v>
      </c>
      <c r="S30" s="667">
        <f t="shared" si="10"/>
        <v>100</v>
      </c>
      <c r="T30" s="666" t="s">
        <v>14</v>
      </c>
      <c r="U30" s="667">
        <f t="shared" si="11"/>
        <v>100</v>
      </c>
      <c r="V30" s="666" t="s">
        <v>14</v>
      </c>
      <c r="W30" s="667">
        <f t="shared" si="12"/>
        <v>104</v>
      </c>
      <c r="X30" s="1264"/>
      <c r="Y30" s="3384"/>
      <c r="Z30" s="1263" t="str">
        <f t="shared" si="13"/>
        <v>土地级别</v>
      </c>
      <c r="AA30" s="1263">
        <f t="shared" si="3"/>
        <v>1</v>
      </c>
      <c r="AB30" s="1263">
        <f t="shared" si="4"/>
        <v>1</v>
      </c>
      <c r="AC30" s="1263">
        <f t="shared" si="5"/>
        <v>0.96153846153846156</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84"/>
      <c r="Q31" s="1262">
        <f t="shared" si="8"/>
        <v>111</v>
      </c>
      <c r="R31" s="666" t="s">
        <v>14</v>
      </c>
      <c r="S31" s="667">
        <f t="shared" si="10"/>
        <v>100</v>
      </c>
      <c r="T31" s="666" t="s">
        <v>14</v>
      </c>
      <c r="U31" s="667">
        <f t="shared" si="11"/>
        <v>100</v>
      </c>
      <c r="V31" s="666" t="s">
        <v>14</v>
      </c>
      <c r="W31" s="667">
        <f t="shared" si="12"/>
        <v>100</v>
      </c>
      <c r="X31" s="1264"/>
      <c r="Y31" s="3384"/>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00" t="s">
        <v>1696</v>
      </c>
      <c r="Q32" s="1262">
        <f t="shared" si="8"/>
        <v>111</v>
      </c>
      <c r="R32" s="666" t="s">
        <v>14</v>
      </c>
      <c r="S32" s="667">
        <f t="shared" si="10"/>
        <v>100</v>
      </c>
      <c r="T32" s="666" t="s">
        <v>14</v>
      </c>
      <c r="U32" s="667">
        <f t="shared" si="11"/>
        <v>100</v>
      </c>
      <c r="V32" s="666" t="s">
        <v>14</v>
      </c>
      <c r="W32" s="667">
        <f t="shared" si="12"/>
        <v>100</v>
      </c>
      <c r="X32" s="1264"/>
      <c r="Y32" s="3385"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85"/>
      <c r="Q33" s="1262">
        <f t="shared" si="8"/>
        <v>111</v>
      </c>
      <c r="R33" s="668" t="s">
        <v>14</v>
      </c>
      <c r="S33" s="669">
        <f t="shared" si="10"/>
        <v>100</v>
      </c>
      <c r="T33" s="668" t="s">
        <v>14</v>
      </c>
      <c r="U33" s="669">
        <f t="shared" si="11"/>
        <v>100</v>
      </c>
      <c r="V33" s="668" t="s">
        <v>14</v>
      </c>
      <c r="W33" s="669">
        <f t="shared" si="12"/>
        <v>100</v>
      </c>
      <c r="X33" s="670"/>
      <c r="Y33" s="3385"/>
      <c r="Z33" s="671">
        <f t="shared" si="13"/>
        <v>111</v>
      </c>
      <c r="AA33" s="1263">
        <f t="shared" si="3"/>
        <v>1</v>
      </c>
      <c r="AB33" s="1263">
        <f t="shared" si="4"/>
        <v>1</v>
      </c>
      <c r="AC33" s="1263">
        <f t="shared" si="5"/>
        <v>1</v>
      </c>
    </row>
    <row r="34" spans="1:31" ht="15">
      <c r="A34" s="379" t="s">
        <v>1694</v>
      </c>
      <c r="B34" s="395" t="s">
        <v>1874</v>
      </c>
      <c r="C34" s="599">
        <f>'数据-汇总表'!D3</f>
        <v>10810.26</v>
      </c>
      <c r="D34" s="405">
        <v>100</v>
      </c>
      <c r="E34" s="599">
        <f>Sheet1!I2</f>
        <v>54070.13</v>
      </c>
      <c r="F34" s="405">
        <f>LOOKUP(E34,108:108,109:109)-LOOKUP(C34,108:108,109:109)+100</f>
        <v>102</v>
      </c>
      <c r="G34" s="599">
        <f>Sheet1!I3</f>
        <v>34759.75</v>
      </c>
      <c r="H34" s="405">
        <f>LOOKUP(G34,108:108,109:109)-LOOKUP(C34,108:108,109:109)+100</f>
        <v>101</v>
      </c>
      <c r="I34" s="462">
        <f>Sheet1!I4</f>
        <v>25709.119999999999</v>
      </c>
      <c r="J34" s="405">
        <f>LOOKUP(I34,108:108,109:109)-LOOKUP(C34,108:108,109:109)+100</f>
        <v>101</v>
      </c>
      <c r="K34" s="539"/>
      <c r="L34" s="2488"/>
      <c r="M34" s="2483"/>
      <c r="N34" s="2483"/>
      <c r="O34" s="2538"/>
      <c r="P34" s="3385"/>
      <c r="Q34" s="1262" t="str">
        <f>B34</f>
        <v>宗地面积</v>
      </c>
      <c r="R34" s="666" t="s">
        <v>14</v>
      </c>
      <c r="S34" s="667">
        <f t="shared" si="10"/>
        <v>102</v>
      </c>
      <c r="T34" s="666" t="s">
        <v>14</v>
      </c>
      <c r="U34" s="667">
        <f t="shared" si="11"/>
        <v>101</v>
      </c>
      <c r="V34" s="666" t="s">
        <v>14</v>
      </c>
      <c r="W34" s="667">
        <f t="shared" si="12"/>
        <v>101</v>
      </c>
      <c r="X34" s="1264"/>
      <c r="Y34" s="3385"/>
      <c r="Z34" s="1263" t="str">
        <f t="shared" si="13"/>
        <v>宗地面积</v>
      </c>
      <c r="AA34" s="1263">
        <f t="shared" si="3"/>
        <v>0.98039215686274506</v>
      </c>
      <c r="AB34" s="1263">
        <f t="shared" si="4"/>
        <v>0.99009900990099009</v>
      </c>
      <c r="AC34" s="1263">
        <f t="shared" si="5"/>
        <v>0.99009900990099009</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85"/>
      <c r="Q35" s="1262" t="str">
        <f t="shared" ref="Q35:Q40" si="14">B35</f>
        <v>宗地形状</v>
      </c>
      <c r="R35" s="666" t="s">
        <v>14</v>
      </c>
      <c r="S35" s="667">
        <f t="shared" si="10"/>
        <v>100</v>
      </c>
      <c r="T35" s="666" t="s">
        <v>14</v>
      </c>
      <c r="U35" s="667">
        <f t="shared" si="11"/>
        <v>100</v>
      </c>
      <c r="V35" s="666" t="s">
        <v>14</v>
      </c>
      <c r="W35" s="667">
        <f t="shared" si="12"/>
        <v>100</v>
      </c>
      <c r="X35" s="1264"/>
      <c r="Y35" s="3385"/>
      <c r="Z35" s="1263" t="str">
        <f t="shared" si="13"/>
        <v>宗地形状</v>
      </c>
      <c r="AA35" s="1263">
        <f t="shared" si="3"/>
        <v>1</v>
      </c>
      <c r="AB35" s="1263">
        <f t="shared" si="4"/>
        <v>1</v>
      </c>
      <c r="AC35" s="1263">
        <f t="shared" si="5"/>
        <v>1</v>
      </c>
    </row>
    <row r="36" spans="1:31" s="102" customFormat="1" ht="15">
      <c r="A36" s="410"/>
      <c r="B36" s="364" t="s">
        <v>1877</v>
      </c>
      <c r="C36" s="1827" t="s">
        <v>3575</v>
      </c>
      <c r="D36" s="119">
        <v>100</v>
      </c>
      <c r="E36" s="1827" t="s">
        <v>3576</v>
      </c>
      <c r="F36" s="374">
        <f>SUMIF(112:112,E36,113:113)-SUMIF(112:112,C36,113:113)+100</f>
        <v>97</v>
      </c>
      <c r="G36" s="1827" t="s">
        <v>3575</v>
      </c>
      <c r="H36" s="374">
        <f>SUMIF(112:112,G36,113:113)-SUMIF(112:112,C36,113:113)+100</f>
        <v>100</v>
      </c>
      <c r="I36" s="1827" t="s">
        <v>3567</v>
      </c>
      <c r="J36" s="374">
        <f>SUMIF(112:112,I36,113:113)-SUMIF(112:112,C36,113:113)+100</f>
        <v>101</v>
      </c>
      <c r="K36" s="538">
        <v>1</v>
      </c>
      <c r="L36" s="2484"/>
      <c r="M36" s="2436"/>
      <c r="N36" s="2436"/>
      <c r="O36" s="2536"/>
      <c r="P36" s="3385"/>
      <c r="Q36" s="1262" t="str">
        <f t="shared" si="14"/>
        <v>宗地开发程度</v>
      </c>
      <c r="R36" s="663" t="s">
        <v>14</v>
      </c>
      <c r="S36" s="664">
        <f t="shared" si="10"/>
        <v>97</v>
      </c>
      <c r="T36" s="663" t="s">
        <v>14</v>
      </c>
      <c r="U36" s="664">
        <f t="shared" si="11"/>
        <v>100</v>
      </c>
      <c r="V36" s="663" t="s">
        <v>14</v>
      </c>
      <c r="W36" s="664">
        <f t="shared" si="12"/>
        <v>101</v>
      </c>
      <c r="X36" s="665"/>
      <c r="Y36" s="3385"/>
      <c r="Z36" s="50" t="str">
        <f t="shared" si="13"/>
        <v>宗地开发程度</v>
      </c>
      <c r="AA36" s="50">
        <f t="shared" si="3"/>
        <v>1.0309278350515463</v>
      </c>
      <c r="AB36" s="50">
        <f t="shared" si="4"/>
        <v>1</v>
      </c>
      <c r="AC36" s="50">
        <f t="shared" si="5"/>
        <v>0.99009900990099009</v>
      </c>
    </row>
    <row r="37" spans="1:31" ht="15">
      <c r="A37" s="409"/>
      <c r="B37" s="364" t="s">
        <v>1878</v>
      </c>
      <c r="C37" s="1759" t="s">
        <v>3420</v>
      </c>
      <c r="D37" s="374">
        <v>100</v>
      </c>
      <c r="E37" s="1759" t="s">
        <v>3420</v>
      </c>
      <c r="F37" s="374">
        <f>SUMIF(114:114,E37,115:115)-SUMIF(114:114,C37,115:115)+100</f>
        <v>100</v>
      </c>
      <c r="G37" s="1759" t="s">
        <v>3420</v>
      </c>
      <c r="H37" s="374">
        <f>SUMIF(114:114,G37,115:115)-SUMIF(114:114,C37,115:115)+100</f>
        <v>100</v>
      </c>
      <c r="I37" s="1759" t="s">
        <v>3420</v>
      </c>
      <c r="J37" s="374">
        <f>SUMIF(114:114,I37,115:115)-SUMIF(114:114,C37,115:115)+100</f>
        <v>100</v>
      </c>
      <c r="K37" s="538">
        <v>2</v>
      </c>
      <c r="L37" s="2488"/>
      <c r="M37" s="2483"/>
      <c r="N37" s="2483"/>
      <c r="O37" s="2538"/>
      <c r="P37" s="3385" t="s">
        <v>1696</v>
      </c>
      <c r="Q37" s="1262" t="str">
        <f t="shared" si="14"/>
        <v>工程地质条件</v>
      </c>
      <c r="R37" s="666" t="s">
        <v>14</v>
      </c>
      <c r="S37" s="667">
        <f t="shared" si="10"/>
        <v>100</v>
      </c>
      <c r="T37" s="666" t="s">
        <v>14</v>
      </c>
      <c r="U37" s="667">
        <f t="shared" si="11"/>
        <v>100</v>
      </c>
      <c r="V37" s="666" t="s">
        <v>14</v>
      </c>
      <c r="W37" s="667">
        <f t="shared" si="12"/>
        <v>100</v>
      </c>
      <c r="X37" s="1264"/>
      <c r="Y37" s="3385"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85"/>
      <c r="Q38" s="1262">
        <f t="shared" si="14"/>
        <v>111</v>
      </c>
      <c r="R38" s="666" t="s">
        <v>14</v>
      </c>
      <c r="S38" s="667">
        <f t="shared" si="10"/>
        <v>100</v>
      </c>
      <c r="T38" s="666" t="s">
        <v>14</v>
      </c>
      <c r="U38" s="667">
        <f t="shared" si="11"/>
        <v>100</v>
      </c>
      <c r="V38" s="666" t="s">
        <v>14</v>
      </c>
      <c r="W38" s="667">
        <f t="shared" si="12"/>
        <v>100</v>
      </c>
      <c r="X38" s="1264"/>
      <c r="Y38" s="3385"/>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85"/>
      <c r="Q39" s="1262">
        <f t="shared" si="14"/>
        <v>111</v>
      </c>
      <c r="R39" s="666" t="s">
        <v>14</v>
      </c>
      <c r="S39" s="667">
        <f t="shared" si="10"/>
        <v>100</v>
      </c>
      <c r="T39" s="666" t="s">
        <v>14</v>
      </c>
      <c r="U39" s="667">
        <f t="shared" si="11"/>
        <v>100</v>
      </c>
      <c r="V39" s="666" t="s">
        <v>14</v>
      </c>
      <c r="W39" s="667">
        <f t="shared" si="12"/>
        <v>100</v>
      </c>
      <c r="X39" s="1264"/>
      <c r="Y39" s="3385"/>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85"/>
      <c r="Q40" s="1262">
        <f t="shared" si="14"/>
        <v>111</v>
      </c>
      <c r="R40" s="668" t="s">
        <v>14</v>
      </c>
      <c r="S40" s="669">
        <f t="shared" si="10"/>
        <v>100</v>
      </c>
      <c r="T40" s="668" t="s">
        <v>14</v>
      </c>
      <c r="U40" s="669">
        <f t="shared" si="11"/>
        <v>100</v>
      </c>
      <c r="V40" s="668" t="s">
        <v>14</v>
      </c>
      <c r="W40" s="669">
        <f t="shared" si="12"/>
        <v>100</v>
      </c>
      <c r="X40" s="670"/>
      <c r="Y40" s="3385"/>
      <c r="Z40" s="671">
        <f t="shared" si="13"/>
        <v>111</v>
      </c>
      <c r="AA40" s="1263">
        <f t="shared" si="3"/>
        <v>1</v>
      </c>
      <c r="AB40" s="1263">
        <f t="shared" si="4"/>
        <v>1</v>
      </c>
      <c r="AC40" s="1263">
        <f t="shared" si="5"/>
        <v>1</v>
      </c>
    </row>
    <row r="41" spans="1:31" ht="15">
      <c r="A41" s="416" t="s">
        <v>1844</v>
      </c>
      <c r="B41" s="1829" t="s">
        <v>3546</v>
      </c>
      <c r="C41" s="602" t="s">
        <v>0</v>
      </c>
      <c r="D41" s="418"/>
      <c r="E41" s="419">
        <f>Sheet1!BR2</f>
        <v>1956</v>
      </c>
      <c r="F41" s="420"/>
      <c r="G41" s="421">
        <f>Sheet1!BR3</f>
        <v>2099</v>
      </c>
      <c r="H41" s="422"/>
      <c r="I41" s="419">
        <f>Sheet1!BR4</f>
        <v>2050</v>
      </c>
      <c r="J41" s="422"/>
      <c r="K41" s="673"/>
      <c r="L41" s="2490"/>
      <c r="M41" s="2483"/>
      <c r="N41" s="2483"/>
      <c r="O41" s="2483"/>
      <c r="P41" s="3366" t="str">
        <f>A41</f>
        <v>成交单价</v>
      </c>
      <c r="Q41" s="3366"/>
      <c r="R41" s="3382">
        <f>E41</f>
        <v>1956</v>
      </c>
      <c r="S41" s="3382"/>
      <c r="T41" s="3382">
        <f>G41</f>
        <v>2099</v>
      </c>
      <c r="U41" s="3382"/>
      <c r="V41" s="3382">
        <f>I41</f>
        <v>2050</v>
      </c>
      <c r="W41" s="3382"/>
      <c r="X41" s="385"/>
      <c r="Y41" s="672"/>
      <c r="Z41" s="385"/>
      <c r="AA41" s="385"/>
      <c r="AB41" s="385"/>
      <c r="AC41" s="385"/>
    </row>
    <row r="42" spans="1:31" ht="15.75" thickBot="1">
      <c r="A42" s="423" t="s">
        <v>1793</v>
      </c>
      <c r="B42" s="603"/>
      <c r="C42" s="426">
        <f>R43</f>
        <v>1971</v>
      </c>
      <c r="D42" s="2140" t="s">
        <v>2137</v>
      </c>
      <c r="E42" s="426">
        <f>R42</f>
        <v>1977</v>
      </c>
      <c r="F42" s="2141"/>
      <c r="G42" s="425">
        <f>T42</f>
        <v>2078</v>
      </c>
      <c r="H42" s="2141"/>
      <c r="I42" s="426">
        <f>V42</f>
        <v>1857</v>
      </c>
      <c r="J42" s="2141"/>
      <c r="K42" s="2143">
        <f>F42+H42+J42</f>
        <v>0</v>
      </c>
      <c r="L42" s="2490"/>
      <c r="M42" s="2483"/>
      <c r="N42" s="2483"/>
      <c r="O42" s="2483"/>
      <c r="P42" s="3366" t="str">
        <f>A42</f>
        <v>比较价值（元/平方米）</v>
      </c>
      <c r="Q42" s="3366"/>
      <c r="R42" s="3404">
        <f>ROUND(PRODUCT(R41,AA7:AA40),0)</f>
        <v>1977</v>
      </c>
      <c r="S42" s="3404"/>
      <c r="T42" s="3404">
        <f>ROUND(PRODUCT(T41,AB7:AB40),0)</f>
        <v>2078</v>
      </c>
      <c r="U42" s="3404"/>
      <c r="V42" s="3404">
        <f>ROUND(PRODUCT(V41,AC7:AC40),0)</f>
        <v>1857</v>
      </c>
      <c r="W42" s="3404"/>
      <c r="X42" s="385"/>
      <c r="Y42" s="385"/>
      <c r="Z42" s="385"/>
      <c r="AA42" s="385"/>
      <c r="AB42" s="385"/>
      <c r="AC42" s="385"/>
    </row>
    <row r="43" spans="1:31" ht="15.75" thickBot="1">
      <c r="A43" s="427" t="s">
        <v>1794</v>
      </c>
      <c r="B43" s="428"/>
      <c r="C43" s="429">
        <f>R43</f>
        <v>1971</v>
      </c>
      <c r="D43" s="429"/>
      <c r="E43" s="429"/>
      <c r="F43" s="429"/>
      <c r="G43" s="429"/>
      <c r="H43" s="429"/>
      <c r="I43" s="429"/>
      <c r="J43" s="429"/>
      <c r="K43" s="674"/>
      <c r="L43" s="2490"/>
      <c r="M43" s="2483"/>
      <c r="N43" s="2483"/>
      <c r="O43" s="2483"/>
      <c r="P43" s="3401" t="str">
        <f>A43</f>
        <v>估价对象XX用房的比较价值（楼面单价，元/平方米）</v>
      </c>
      <c r="Q43" s="3402"/>
      <c r="R43" s="3403">
        <f>ROUND(IF(D42="简单平均",AVERAGE(R42:W42),R42*F42+T42*H42+V42*J42),0)</f>
        <v>1971</v>
      </c>
      <c r="S43" s="3403"/>
      <c r="T43" s="3403"/>
      <c r="U43" s="3403"/>
      <c r="V43" s="3403"/>
      <c r="W43" s="3403"/>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f>IF(E41&lt;E42,E42/E41-1,E41/E42-1)</f>
        <v>1.0736196319018454E-2</v>
      </c>
      <c r="F46" s="435" t="str">
        <f>IF(OR(E46&gt;=0.3,E46&lt;=-0.3),"超过30%","")</f>
        <v/>
      </c>
      <c r="G46" s="434">
        <f>IF(G41&lt;G42,G42/G41-1,G41/G42-1)</f>
        <v>1.0105871029836289E-2</v>
      </c>
      <c r="H46" s="435" t="str">
        <f>IF(OR(G46&gt;=0.3,G46&lt;=-0.3),"超过30%","")</f>
        <v/>
      </c>
      <c r="I46" s="434">
        <f>IF(I41&lt;I42,I42/I41-1,I41/I42-1)</f>
        <v>0.10393107162089388</v>
      </c>
      <c r="J46" s="435" t="str">
        <f>IF(OR(I46&gt;=0.3,I46&lt;=-0.3),"超过30%","")</f>
        <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f>IF(E42&lt;G42,G42/E42-1,E42/G42-1)</f>
        <v>5.1087506322711196E-2</v>
      </c>
      <c r="F47" s="435" t="str">
        <f>IF(OR(E47&gt;=0.2,E47&lt;=-0.2),"超过20%","")</f>
        <v/>
      </c>
      <c r="G47" s="434">
        <f>IF(G42&lt;I42,I42/G42-1,G42/I42-1)</f>
        <v>0.11900915455034999</v>
      </c>
      <c r="H47" s="435" t="str">
        <f>IF(OR(G47&gt;=0.2,G47&lt;=-0.2),"超过20%","")</f>
        <v/>
      </c>
      <c r="I47" s="434">
        <f>IF(I42&lt;E42,E42/I42-1,I42/E42-1)</f>
        <v>6.4620355411954655E-2</v>
      </c>
      <c r="J47" s="435" t="str">
        <f>IF(OR(I47&gt;=0.2,I47&lt;=-0.2),"超过20%","")</f>
        <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f>IF(E41&lt;G41,G41/E41-1,E41/G41-1)</f>
        <v>7.3108384458077769E-2</v>
      </c>
      <c r="F48" s="435" t="str">
        <f>IF(OR(E48&gt;=0.3,E48&lt;=-0.3),"超过30%","")</f>
        <v/>
      </c>
      <c r="G48" s="434">
        <f>IF(G41&lt;I41,I41/G41-1,G41/I41-1)</f>
        <v>2.3902439024390265E-2</v>
      </c>
      <c r="H48" s="435" t="str">
        <f>IF(OR(G48&gt;=0.3,G48&lt;=-0.3),"超过30%","")</f>
        <v/>
      </c>
      <c r="I48" s="434">
        <f>IF(I41&lt;E41,E41/I41-1,I41/E41-1)</f>
        <v>4.805725971370145E-2</v>
      </c>
      <c r="J48" s="435" t="str">
        <f>IF(OR(I48&gt;=0.3,I48&lt;=-0.3),"超过30%","")</f>
        <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0" t="s">
        <v>1883</v>
      </c>
      <c r="D50" s="1831" t="s">
        <v>1884</v>
      </c>
      <c r="E50" s="606" t="s">
        <v>1885</v>
      </c>
      <c r="F50" s="607" t="s">
        <v>1886</v>
      </c>
      <c r="G50" s="3363" t="s">
        <v>1887</v>
      </c>
      <c r="H50" s="3364"/>
      <c r="I50" s="1263" t="s">
        <v>1922</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f>C43</f>
        <v>1971</v>
      </c>
      <c r="C51" s="610">
        <v>1</v>
      </c>
      <c r="D51" s="889">
        <v>1</v>
      </c>
      <c r="E51" s="610">
        <f>'数据-汇总表'!E8+'数据-汇总表'!E9</f>
        <v>2382.1000000000004</v>
      </c>
      <c r="F51" s="611">
        <f t="shared" ref="F51:F60" si="15">ROUND(B51*E51/10000,0)</f>
        <v>470</v>
      </c>
      <c r="G51" s="3365"/>
      <c r="H51" s="3366"/>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f>ROUND($C$43*C52*D52,0)</f>
        <v>0</v>
      </c>
      <c r="C52" s="163">
        <f t="shared" ref="C52:C60" si="16">IF($C$50="北京市系数",I52,J52)</f>
        <v>0</v>
      </c>
      <c r="D52" s="890">
        <v>0.25</v>
      </c>
      <c r="E52" s="614"/>
      <c r="F52" s="611">
        <f t="shared" si="15"/>
        <v>0</v>
      </c>
      <c r="G52" s="2746" t="s">
        <v>1892</v>
      </c>
      <c r="H52" s="833">
        <f>项目基本情况!B37</f>
        <v>0</v>
      </c>
      <c r="I52" s="726">
        <f>SUMIF(修正!A57:A68,H52,修正!B57:B68)</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f t="shared" ref="B53:B60" si="17">ROUND($C$43*C53*D53,0)</f>
        <v>0</v>
      </c>
      <c r="C53" s="163">
        <f t="shared" si="16"/>
        <v>0</v>
      </c>
      <c r="D53" s="890">
        <v>0.25</v>
      </c>
      <c r="E53" s="614"/>
      <c r="F53" s="611">
        <f t="shared" si="15"/>
        <v>0</v>
      </c>
      <c r="G53" s="2747"/>
      <c r="H53" s="833">
        <f>项目基本情况!B37</f>
        <v>0</v>
      </c>
      <c r="I53" s="726">
        <f>SUMIF(修正!A57:A68,H53,修正!C57:C68)</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f t="shared" si="17"/>
        <v>0</v>
      </c>
      <c r="C54" s="163">
        <f t="shared" si="16"/>
        <v>0</v>
      </c>
      <c r="D54" s="890">
        <v>0.25</v>
      </c>
      <c r="E54" s="614"/>
      <c r="F54" s="611">
        <f t="shared" si="15"/>
        <v>0</v>
      </c>
      <c r="G54" s="2747"/>
      <c r="H54" s="833">
        <f>项目基本情况!B37</f>
        <v>0</v>
      </c>
      <c r="I54" s="726">
        <f>SUMIF(修正!A57:A68,H54,修正!D57:D68)</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0"/>
      <c r="E55" s="614"/>
      <c r="F55" s="611"/>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f t="shared" si="17"/>
        <v>0</v>
      </c>
      <c r="C56" s="163">
        <f t="shared" si="16"/>
        <v>0</v>
      </c>
      <c r="D56" s="890">
        <v>0.25</v>
      </c>
      <c r="E56" s="209">
        <f>'数据-汇总表'!E11</f>
        <v>0</v>
      </c>
      <c r="F56" s="611">
        <f t="shared" si="15"/>
        <v>0</v>
      </c>
      <c r="G56" s="1834"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f t="shared" si="17"/>
        <v>0</v>
      </c>
      <c r="C57" s="163">
        <f t="shared" si="16"/>
        <v>0</v>
      </c>
      <c r="D57" s="890">
        <v>0.25</v>
      </c>
      <c r="E57" s="209">
        <f>'数据-汇总表'!E12</f>
        <v>0</v>
      </c>
      <c r="F57" s="611">
        <f t="shared" si="15"/>
        <v>0</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f t="shared" si="17"/>
        <v>0</v>
      </c>
      <c r="C58" s="163">
        <f t="shared" si="16"/>
        <v>0</v>
      </c>
      <c r="D58" s="890">
        <v>0.25</v>
      </c>
      <c r="E58" s="209">
        <f>'数据-汇总表'!E13</f>
        <v>0</v>
      </c>
      <c r="F58" s="611">
        <f t="shared" si="15"/>
        <v>0</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f t="shared" si="17"/>
        <v>0</v>
      </c>
      <c r="C59" s="163">
        <f t="shared" si="16"/>
        <v>0</v>
      </c>
      <c r="D59" s="890">
        <v>0.25</v>
      </c>
      <c r="E59" s="209">
        <f>'数据-汇总表'!E14</f>
        <v>0</v>
      </c>
      <c r="F59" s="611">
        <f t="shared" si="15"/>
        <v>0</v>
      </c>
      <c r="G59" s="1834" t="s">
        <v>1892</v>
      </c>
      <c r="H59" s="833">
        <f>项目基本情况!B37</f>
        <v>0</v>
      </c>
      <c r="I59" s="726">
        <f>SUMIF(修正!A57:A68,H59,修正!G57:G68)</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f t="shared" si="17"/>
        <v>0</v>
      </c>
      <c r="C60" s="163">
        <f t="shared" si="16"/>
        <v>0</v>
      </c>
      <c r="D60" s="890">
        <v>0.25</v>
      </c>
      <c r="E60" s="209">
        <f>'数据-汇总表'!E15</f>
        <v>0</v>
      </c>
      <c r="F60" s="611">
        <f t="shared" si="15"/>
        <v>0</v>
      </c>
      <c r="G60" s="1835"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10810.26</v>
      </c>
      <c r="F61" s="617">
        <f>IF(B41="楼面地价",SUM(F51:F60),ROUND(C43*E61/10000,0))</f>
        <v>2131</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3"/>
      <c r="Q63" s="2483"/>
      <c r="R63" s="2483"/>
      <c r="S63" s="2483"/>
      <c r="T63" s="2483"/>
      <c r="U63" s="2483"/>
      <c r="V63" s="2483"/>
      <c r="W63" s="2483"/>
      <c r="X63" s="2483"/>
      <c r="Y63" s="2483"/>
      <c r="Z63" s="2483"/>
      <c r="AA63" s="2483"/>
      <c r="AB63" s="2483"/>
      <c r="AC63" s="2483"/>
      <c r="AD63" s="2483"/>
      <c r="AE63" s="2483"/>
    </row>
    <row r="64" spans="1:31" ht="21.75" thickBot="1">
      <c r="A64" s="657" t="s">
        <v>1798</v>
      </c>
      <c r="B64" s="385"/>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1923</v>
      </c>
      <c r="B66" s="280" t="str">
        <f>"北京市平均增长率"&amp;TEXT(基准地价修正!P28,"0.00%")</f>
        <v>北京市平均增长率0.00%</v>
      </c>
      <c r="C66" s="530">
        <v>100</v>
      </c>
      <c r="D66" s="6">
        <v>100</v>
      </c>
      <c r="E66" s="6">
        <v>100</v>
      </c>
      <c r="F66" s="6">
        <v>100</v>
      </c>
      <c r="G66" s="6">
        <v>100</v>
      </c>
      <c r="H66" s="6">
        <v>100</v>
      </c>
      <c r="I66" s="6">
        <v>100</v>
      </c>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0（含）-1</v>
      </c>
      <c r="D74" s="478" t="str">
        <f t="shared" ref="D74:L74" si="20">D75&amp;"（含）"&amp;"-"&amp;E75</f>
        <v>1（含）-2</v>
      </c>
      <c r="E74" s="478" t="str">
        <f t="shared" si="20"/>
        <v>2（含）-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v>0</v>
      </c>
      <c r="D75" s="480">
        <v>1</v>
      </c>
      <c r="E75" s="480">
        <v>2</v>
      </c>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98</v>
      </c>
      <c r="E84" s="475">
        <f>D84-$K15</f>
        <v>96</v>
      </c>
      <c r="F84" s="475">
        <f>E84-$K15</f>
        <v>94</v>
      </c>
      <c r="G84" s="475">
        <f>F84-$K15</f>
        <v>92</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98</v>
      </c>
      <c r="E86" s="475">
        <f>D86-$K17</f>
        <v>96</v>
      </c>
      <c r="F86" s="475">
        <f>E86-$K17</f>
        <v>94</v>
      </c>
      <c r="G86" s="475">
        <f>F86-$K17</f>
        <v>92</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99</v>
      </c>
      <c r="E94" s="475">
        <f>D94-$K25</f>
        <v>98</v>
      </c>
      <c r="F94" s="475">
        <f>E94-$K25</f>
        <v>97</v>
      </c>
      <c r="G94" s="475">
        <f>F94-$K25</f>
        <v>96</v>
      </c>
      <c r="H94" s="479"/>
      <c r="I94" s="479"/>
      <c r="J94" s="479"/>
      <c r="K94" s="479"/>
      <c r="L94" s="479"/>
      <c r="M94" s="1064"/>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t="s">
        <v>3569</v>
      </c>
      <c r="D99" s="513" t="s">
        <v>3570</v>
      </c>
      <c r="E99" s="513" t="s">
        <v>3571</v>
      </c>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98</v>
      </c>
      <c r="E100" s="475">
        <f t="shared" si="24"/>
        <v>96</v>
      </c>
      <c r="F100" s="475">
        <f t="shared" si="24"/>
        <v>94</v>
      </c>
      <c r="G100" s="475">
        <f t="shared" si="24"/>
        <v>92</v>
      </c>
      <c r="H100" s="475">
        <f t="shared" si="24"/>
        <v>90</v>
      </c>
      <c r="I100" s="475">
        <f t="shared" si="24"/>
        <v>88</v>
      </c>
      <c r="J100" s="475">
        <f t="shared" si="24"/>
        <v>86</v>
      </c>
      <c r="K100" s="475">
        <f t="shared" si="24"/>
        <v>84</v>
      </c>
      <c r="L100" s="475">
        <f t="shared" si="24"/>
        <v>82</v>
      </c>
      <c r="M100" s="475">
        <f t="shared" si="24"/>
        <v>80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28.5">
      <c r="A107" s="379" t="s">
        <v>1694</v>
      </c>
      <c r="B107" s="460" t="s">
        <v>1913</v>
      </c>
      <c r="C107" s="461" t="str">
        <f t="shared" ref="C107:L107" si="25">C108&amp;"(含)"&amp;"-"&amp;D108</f>
        <v>0(含)-20000</v>
      </c>
      <c r="D107" s="461" t="str">
        <f t="shared" si="25"/>
        <v>20000(含)-40000</v>
      </c>
      <c r="E107" s="461" t="str">
        <f t="shared" si="25"/>
        <v>40000(含)-60000</v>
      </c>
      <c r="F107" s="461" t="str">
        <f t="shared" si="25"/>
        <v>60000(含)-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v>0</v>
      </c>
      <c r="D108" s="6">
        <v>20000</v>
      </c>
      <c r="E108" s="6">
        <v>40000</v>
      </c>
      <c r="F108" s="6">
        <v>60000</v>
      </c>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v>100</v>
      </c>
      <c r="D109" s="521">
        <f>C109+1</f>
        <v>101</v>
      </c>
      <c r="E109" s="521">
        <f t="shared" ref="E109:F109" si="26">D109+1</f>
        <v>102</v>
      </c>
      <c r="F109" s="521">
        <f t="shared" si="26"/>
        <v>103</v>
      </c>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7">C111-$K35</f>
        <v>100</v>
      </c>
      <c r="E111" s="475">
        <f t="shared" si="27"/>
        <v>100</v>
      </c>
      <c r="F111" s="475">
        <f t="shared" si="27"/>
        <v>100</v>
      </c>
      <c r="G111" s="475">
        <f t="shared" si="27"/>
        <v>100</v>
      </c>
      <c r="H111" s="475">
        <f t="shared" si="27"/>
        <v>100</v>
      </c>
      <c r="I111" s="475">
        <f t="shared" si="27"/>
        <v>100</v>
      </c>
      <c r="J111" s="475">
        <f t="shared" si="27"/>
        <v>100</v>
      </c>
      <c r="K111" s="475">
        <f t="shared" si="27"/>
        <v>100</v>
      </c>
      <c r="L111" s="475">
        <f t="shared" si="27"/>
        <v>100</v>
      </c>
      <c r="M111" s="476">
        <f t="shared" si="27"/>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513" t="s">
        <v>1799</v>
      </c>
      <c r="D112" s="513" t="s">
        <v>1800</v>
      </c>
      <c r="E112" s="513" t="s">
        <v>1801</v>
      </c>
      <c r="F112" s="513" t="s">
        <v>1802</v>
      </c>
      <c r="G112" s="513" t="s">
        <v>1803</v>
      </c>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513" t="s">
        <v>1721</v>
      </c>
      <c r="D114" s="513" t="s">
        <v>1722</v>
      </c>
      <c r="E114" s="513" t="s">
        <v>1723</v>
      </c>
      <c r="F114" s="513" t="s">
        <v>1724</v>
      </c>
      <c r="G114" s="513" t="s">
        <v>1725</v>
      </c>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1300-000000000000}">
      <formula1>单价内涵</formula1>
    </dataValidation>
    <dataValidation type="list" allowBlank="1" showInputMessage="1" showErrorMessage="1" sqref="C22 E22 G22 I22" xr:uid="{00000000-0002-0000-1300-000001000000}">
      <formula1>环境</formula1>
    </dataValidation>
    <dataValidation type="list" allowBlank="1" showInputMessage="1" showErrorMessage="1" sqref="E18 C18 G18 I18" xr:uid="{00000000-0002-0000-1300-000002000000}">
      <formula1>交通便捷度</formula1>
    </dataValidation>
    <dataValidation type="list" allowBlank="1" showInputMessage="1" showErrorMessage="1" sqref="E24 C24 G24 I24" xr:uid="{00000000-0002-0000-1300-000003000000}">
      <formula1>公共配套设施</formula1>
    </dataValidation>
    <dataValidation type="list" allowBlank="1" showInputMessage="1" showErrorMessage="1" sqref="C8 E8 G8 I8" xr:uid="{00000000-0002-0000-1300-000004000000}">
      <formula1>套工交易情况</formula1>
    </dataValidation>
    <dataValidation type="list" allowBlank="1" showInputMessage="1" showErrorMessage="1" sqref="C9 E9 G9 I9" xr:uid="{00000000-0002-0000-1300-000005000000}">
      <formula1>套工用途</formula1>
    </dataValidation>
    <dataValidation type="list" allowBlank="1" showInputMessage="1" showErrorMessage="1" sqref="I30 E30 G30" xr:uid="{00000000-0002-0000-1300-000006000000}">
      <formula1>套工土地级别</formula1>
    </dataValidation>
    <dataValidation type="list" allowBlank="1" showInputMessage="1" showErrorMessage="1" sqref="C27 E27 G27 I27" xr:uid="{00000000-0002-0000-1300-000007000000}">
      <formula1>临街状况</formula1>
    </dataValidation>
    <dataValidation type="list" allowBlank="1" showInputMessage="1" showErrorMessage="1" sqref="E20 G20 I20 C20" xr:uid="{00000000-0002-0000-1300-000008000000}">
      <formula1>区域土地利用方向</formula1>
    </dataValidation>
    <dataValidation type="list" allowBlank="1" showInputMessage="1" showErrorMessage="1" sqref="C50" xr:uid="{00000000-0002-0000-1300-000009000000}">
      <formula1>"北京市系数,其他省市系数"</formula1>
    </dataValidation>
    <dataValidation type="list" allowBlank="1" showInputMessage="1" showErrorMessage="1" sqref="C16 E16 G16 I16" xr:uid="{00000000-0002-0000-1300-00000A000000}">
      <formula1>产业集聚程度</formula1>
    </dataValidation>
    <dataValidation type="list" allowBlank="1" showInputMessage="1" showErrorMessage="1" sqref="C29 E29 G29 I29" xr:uid="{00000000-0002-0000-1300-00000B000000}">
      <formula1>套工道路等级</formula1>
    </dataValidation>
    <dataValidation type="list" allowBlank="1" showInputMessage="1" showErrorMessage="1" sqref="C35 E35 G35 I35" xr:uid="{00000000-0002-0000-1300-00000C000000}">
      <formula1>套工宗地形状</formula1>
    </dataValidation>
    <dataValidation type="list" allowBlank="1" showInputMessage="1" showErrorMessage="1" sqref="C36 I36 E36 G36" xr:uid="{00000000-0002-0000-1300-00000D000000}">
      <formula1>套工宗地开发程度</formula1>
    </dataValidation>
    <dataValidation type="list" allowBlank="1" showInputMessage="1" showErrorMessage="1" sqref="C37 G37 E37 I37" xr:uid="{00000000-0002-0000-1300-00000E000000}">
      <formula1>套工地质条件</formula1>
    </dataValidation>
    <dataValidation type="list" allowBlank="1" showInputMessage="1" showErrorMessage="1" sqref="G58" xr:uid="{00000000-0002-0000-1300-00000F000000}">
      <formula1>"住宅,工业"</formula1>
    </dataValidation>
    <dataValidation type="list" allowBlank="1" showInputMessage="1" showErrorMessage="1" sqref="G57" xr:uid="{00000000-0002-0000-1300-000010000000}">
      <formula1>"商业,办公,住宅,工业"</formula1>
    </dataValidation>
    <dataValidation type="list" allowBlank="1" showInputMessage="1" showErrorMessage="1" sqref="D52:D60" xr:uid="{00000000-0002-0000-1300-000011000000}">
      <formula1>"25%,1"</formula1>
    </dataValidation>
    <dataValidation type="list" allowBlank="1" showInputMessage="1" showErrorMessage="1" sqref="C26 E26 G26 I26" xr:uid="{00000000-0002-0000-1300-000012000000}">
      <formula1>基础设施水平</formula1>
    </dataValidation>
    <dataValidation type="list" allowBlank="1" showInputMessage="1" showErrorMessage="1" sqref="D42" xr:uid="{00000000-0002-0000-1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21"/>
  <sheetViews>
    <sheetView topLeftCell="K1" workbookViewId="0">
      <selection activeCell="BP29" sqref="BP29"/>
    </sheetView>
  </sheetViews>
  <sheetFormatPr defaultRowHeight="13.5"/>
  <cols>
    <col min="21" max="29" width="0" hidden="1" customWidth="1"/>
    <col min="30" max="32" width="12.25" hidden="1" customWidth="1"/>
    <col min="33" max="33" width="12.25" bestFit="1" customWidth="1"/>
    <col min="37" max="41" width="0" hidden="1" customWidth="1"/>
    <col min="42" max="42" width="17.375" hidden="1" customWidth="1"/>
    <col min="44" max="44" width="0" hidden="1" customWidth="1"/>
    <col min="46" max="46" width="0" hidden="1" customWidth="1"/>
    <col min="48" max="48" width="0" hidden="1" customWidth="1"/>
    <col min="50" max="59" width="9" hidden="1" customWidth="1"/>
    <col min="60" max="60" width="14.75" customWidth="1"/>
    <col min="61" max="65" width="9" hidden="1" customWidth="1"/>
    <col min="66" max="66" width="0" hidden="1" customWidth="1"/>
    <col min="67" max="67" width="10.375" customWidth="1"/>
    <col min="68" max="68" width="13.125" bestFit="1" customWidth="1"/>
  </cols>
  <sheetData>
    <row r="1" spans="1:70" s="1155" customFormat="1">
      <c r="A1" s="1155" t="s">
        <v>3451</v>
      </c>
      <c r="B1" s="1155" t="s">
        <v>3452</v>
      </c>
      <c r="C1" s="1155" t="s">
        <v>3453</v>
      </c>
      <c r="D1" s="1155" t="s">
        <v>3454</v>
      </c>
      <c r="E1" s="1155" t="s">
        <v>3455</v>
      </c>
      <c r="F1" s="1155" t="s">
        <v>3456</v>
      </c>
      <c r="G1" s="1155" t="s">
        <v>3457</v>
      </c>
      <c r="H1" s="1155" t="s">
        <v>3458</v>
      </c>
      <c r="I1" s="1155" t="s">
        <v>3459</v>
      </c>
      <c r="J1" s="1155" t="s">
        <v>3460</v>
      </c>
      <c r="K1" s="1155" t="s">
        <v>3461</v>
      </c>
      <c r="L1" s="1155" t="s">
        <v>3462</v>
      </c>
      <c r="M1" s="1155" t="s">
        <v>3463</v>
      </c>
      <c r="N1" s="1155" t="s">
        <v>3464</v>
      </c>
      <c r="O1" s="1155" t="s">
        <v>3465</v>
      </c>
      <c r="P1" s="1155" t="s">
        <v>3466</v>
      </c>
      <c r="Q1" s="1155" t="s">
        <v>3467</v>
      </c>
      <c r="R1" s="1155" t="s">
        <v>3468</v>
      </c>
      <c r="S1" s="1155" t="s">
        <v>3469</v>
      </c>
      <c r="T1" s="1155" t="s">
        <v>3470</v>
      </c>
      <c r="U1" s="1155" t="s">
        <v>3471</v>
      </c>
      <c r="V1" s="1155" t="s">
        <v>3472</v>
      </c>
      <c r="W1" s="1155" t="s">
        <v>3473</v>
      </c>
      <c r="X1" s="1155" t="s">
        <v>3474</v>
      </c>
      <c r="Y1" s="1155" t="s">
        <v>3475</v>
      </c>
      <c r="Z1" s="1155" t="s">
        <v>3476</v>
      </c>
      <c r="AA1" s="1155" t="s">
        <v>3477</v>
      </c>
      <c r="AB1" s="1155" t="s">
        <v>3478</v>
      </c>
      <c r="AC1" s="1155" t="s">
        <v>3479</v>
      </c>
      <c r="AD1" s="1155" t="s">
        <v>3480</v>
      </c>
      <c r="AE1" s="1155" t="s">
        <v>3481</v>
      </c>
      <c r="AF1" s="1155" t="s">
        <v>3482</v>
      </c>
      <c r="AG1" s="1155" t="s">
        <v>3483</v>
      </c>
      <c r="AH1" s="1155" t="s">
        <v>3484</v>
      </c>
      <c r="AI1" s="1155" t="s">
        <v>3485</v>
      </c>
      <c r="AJ1" s="1155" t="s">
        <v>3486</v>
      </c>
      <c r="AK1" s="1155" t="s">
        <v>3487</v>
      </c>
      <c r="AL1" s="1155" t="s">
        <v>3488</v>
      </c>
      <c r="AM1" s="1155" t="s">
        <v>3489</v>
      </c>
      <c r="AN1" s="1155" t="s">
        <v>3490</v>
      </c>
      <c r="AO1" s="1155" t="s">
        <v>3491</v>
      </c>
      <c r="AP1" s="1155" t="s">
        <v>3492</v>
      </c>
      <c r="AQ1" s="1155" t="s">
        <v>3493</v>
      </c>
      <c r="AR1" s="1155" t="s">
        <v>3494</v>
      </c>
      <c r="AS1" s="1155" t="s">
        <v>3495</v>
      </c>
      <c r="AT1" s="1155" t="s">
        <v>3496</v>
      </c>
      <c r="AU1" s="1155" t="s">
        <v>3497</v>
      </c>
      <c r="AV1" s="1155" t="s">
        <v>3498</v>
      </c>
      <c r="AW1" s="1155" t="s">
        <v>3499</v>
      </c>
      <c r="AX1" s="1155" t="s">
        <v>3500</v>
      </c>
      <c r="AY1" s="1155" t="s">
        <v>3501</v>
      </c>
      <c r="AZ1" s="1155" t="s">
        <v>3502</v>
      </c>
      <c r="BA1" s="1155" t="s">
        <v>3503</v>
      </c>
      <c r="BB1" s="1155" t="s">
        <v>3504</v>
      </c>
      <c r="BC1" s="1155" t="s">
        <v>3505</v>
      </c>
      <c r="BD1" s="1155" t="s">
        <v>3506</v>
      </c>
      <c r="BE1" s="1155" t="s">
        <v>3507</v>
      </c>
      <c r="BF1" s="1155" t="s">
        <v>3508</v>
      </c>
      <c r="BG1" s="1155" t="s">
        <v>3509</v>
      </c>
      <c r="BH1" s="1155" t="s">
        <v>3510</v>
      </c>
      <c r="BI1" s="1155" t="s">
        <v>3511</v>
      </c>
      <c r="BJ1" s="1155" t="s">
        <v>3512</v>
      </c>
      <c r="BK1" s="1155" t="s">
        <v>3513</v>
      </c>
      <c r="BL1" s="1155" t="s">
        <v>3514</v>
      </c>
      <c r="BM1" s="1155" t="s">
        <v>3515</v>
      </c>
      <c r="BO1" s="3163" t="s">
        <v>3537</v>
      </c>
      <c r="BP1" s="2854"/>
      <c r="BQ1" s="2854"/>
      <c r="BR1" s="2854" t="s">
        <v>3538</v>
      </c>
    </row>
    <row r="2" spans="1:70" s="1155" customFormat="1">
      <c r="A2" s="2577" t="s">
        <v>3577</v>
      </c>
      <c r="B2" s="1155" t="s">
        <v>3516</v>
      </c>
      <c r="C2" s="1155" t="s">
        <v>3517</v>
      </c>
      <c r="D2" s="1155" t="s">
        <v>3518</v>
      </c>
      <c r="E2" s="1155" t="s">
        <v>3519</v>
      </c>
      <c r="F2" s="1155" t="s">
        <v>3520</v>
      </c>
      <c r="G2" s="1155" t="s">
        <v>3520</v>
      </c>
      <c r="H2" s="1155" t="s">
        <v>3521</v>
      </c>
      <c r="I2" s="1155">
        <v>54070.13</v>
      </c>
      <c r="J2" s="1155">
        <v>102800</v>
      </c>
      <c r="K2" s="1155" t="s">
        <v>3522</v>
      </c>
      <c r="L2" s="1155" t="s">
        <v>3522</v>
      </c>
      <c r="M2" s="1155">
        <v>0</v>
      </c>
      <c r="N2" s="1155">
        <v>0</v>
      </c>
      <c r="O2" s="1155" t="s">
        <v>3523</v>
      </c>
      <c r="P2" s="1155" t="s">
        <v>3524</v>
      </c>
      <c r="Q2" s="1155" t="s">
        <v>3524</v>
      </c>
      <c r="R2" s="1155" t="s">
        <v>3525</v>
      </c>
      <c r="S2" s="1155" t="s">
        <v>3526</v>
      </c>
      <c r="T2" s="1155">
        <v>1.9</v>
      </c>
      <c r="U2" s="1155" t="s">
        <v>3522</v>
      </c>
      <c r="V2" s="1155" t="s">
        <v>3522</v>
      </c>
      <c r="W2" s="1155" t="s">
        <v>3522</v>
      </c>
      <c r="X2" s="1155" t="s">
        <v>3527</v>
      </c>
      <c r="Y2" s="1155" t="s">
        <v>3528</v>
      </c>
      <c r="Z2" s="1155" t="s">
        <v>3522</v>
      </c>
      <c r="AA2" s="1155" t="s">
        <v>3522</v>
      </c>
      <c r="AB2" s="1155" t="s">
        <v>3522</v>
      </c>
      <c r="AC2" s="1155" t="s">
        <v>3522</v>
      </c>
      <c r="AD2" s="3162">
        <v>45554.000497685185</v>
      </c>
      <c r="AE2" s="3162">
        <v>45574.000497685185</v>
      </c>
      <c r="AF2" s="3162">
        <v>45587.000497685185</v>
      </c>
      <c r="AG2" s="3162">
        <v>45587.000497685185</v>
      </c>
      <c r="AH2" s="1155" t="s">
        <v>3529</v>
      </c>
      <c r="AI2" s="1155" t="s">
        <v>3530</v>
      </c>
      <c r="AJ2" s="1155" t="s">
        <v>3531</v>
      </c>
      <c r="AK2" s="1155" t="s">
        <v>3532</v>
      </c>
      <c r="AL2" s="1155" t="s">
        <v>3522</v>
      </c>
      <c r="AM2" s="1155" t="s">
        <v>3522</v>
      </c>
      <c r="AN2" s="1155">
        <v>14259.12</v>
      </c>
      <c r="AO2" s="1155">
        <v>2900</v>
      </c>
      <c r="AP2" s="3162">
        <v>45586.708831018521</v>
      </c>
      <c r="AQ2" s="1155">
        <v>14259.12</v>
      </c>
      <c r="AR2" s="1155">
        <v>2637.15</v>
      </c>
      <c r="AS2" s="1155">
        <v>2637.15</v>
      </c>
      <c r="AT2" s="1155">
        <v>175.81</v>
      </c>
      <c r="AU2" s="1155">
        <v>175.81</v>
      </c>
      <c r="AV2" s="1155">
        <v>1387</v>
      </c>
      <c r="AW2" s="1155">
        <v>1387</v>
      </c>
      <c r="AX2" s="1155" t="s">
        <v>3522</v>
      </c>
      <c r="AY2" s="1155" t="s">
        <v>3522</v>
      </c>
      <c r="AZ2" s="1155">
        <v>0</v>
      </c>
      <c r="BA2" s="1155" t="s">
        <v>3522</v>
      </c>
      <c r="BB2" s="1155" t="s">
        <v>3522</v>
      </c>
      <c r="BC2" s="1155" t="s">
        <v>3522</v>
      </c>
      <c r="BD2" s="1155" t="s">
        <v>3522</v>
      </c>
      <c r="BE2" s="1155" t="s">
        <v>3522</v>
      </c>
      <c r="BF2" s="1155" t="s">
        <v>3522</v>
      </c>
      <c r="BG2" s="1155" t="s">
        <v>3522</v>
      </c>
      <c r="BH2" s="1155" t="s">
        <v>3533</v>
      </c>
      <c r="BI2" s="1155" t="s">
        <v>3534</v>
      </c>
      <c r="BJ2" s="1155" t="s">
        <v>3535</v>
      </c>
      <c r="BK2" s="1155" t="s">
        <v>3536</v>
      </c>
      <c r="BL2" s="3162">
        <v>45617.000497685185</v>
      </c>
      <c r="BM2" s="1155">
        <v>14259.12</v>
      </c>
      <c r="BO2" s="3164">
        <f>ROUND(AW2*BQ16,0)</f>
        <v>1509</v>
      </c>
      <c r="BP2" s="3164"/>
      <c r="BQ2" s="3164"/>
      <c r="BR2" s="3164">
        <f>ROUND(BO2/BQ19,0)</f>
        <v>1956</v>
      </c>
    </row>
    <row r="3" spans="1:70" s="1155" customFormat="1">
      <c r="A3" s="1155" t="s">
        <v>3549</v>
      </c>
      <c r="B3" s="1155" t="s">
        <v>3516</v>
      </c>
      <c r="C3" s="1155" t="s">
        <v>3517</v>
      </c>
      <c r="D3" s="1155" t="s">
        <v>3550</v>
      </c>
      <c r="E3" s="1155" t="s">
        <v>3551</v>
      </c>
      <c r="F3" s="1155" t="s">
        <v>3552</v>
      </c>
      <c r="G3" s="1155" t="s">
        <v>3552</v>
      </c>
      <c r="H3" s="1155" t="s">
        <v>3553</v>
      </c>
      <c r="I3" s="1155">
        <v>34759.75</v>
      </c>
      <c r="J3" s="1155">
        <v>52139.63</v>
      </c>
      <c r="K3" s="1155" t="s">
        <v>3522</v>
      </c>
      <c r="L3" s="1155" t="s">
        <v>3522</v>
      </c>
      <c r="M3" s="1155">
        <v>0</v>
      </c>
      <c r="N3" s="1155">
        <v>0</v>
      </c>
      <c r="O3" s="1155" t="s">
        <v>3523</v>
      </c>
      <c r="P3" s="1155" t="s">
        <v>3524</v>
      </c>
      <c r="Q3" s="1155" t="s">
        <v>3524</v>
      </c>
      <c r="R3" s="1155">
        <v>20</v>
      </c>
      <c r="S3" s="1155">
        <v>1.5</v>
      </c>
      <c r="T3" s="1155">
        <v>1.5</v>
      </c>
      <c r="U3" s="1155" t="s">
        <v>3522</v>
      </c>
      <c r="V3" s="1155" t="s">
        <v>3522</v>
      </c>
      <c r="W3" s="1155">
        <v>24</v>
      </c>
      <c r="X3" s="1155" t="s">
        <v>3527</v>
      </c>
      <c r="Y3" s="1155" t="s">
        <v>3528</v>
      </c>
      <c r="Z3" s="1155" t="s">
        <v>3522</v>
      </c>
      <c r="AA3" s="1155" t="s">
        <v>3522</v>
      </c>
      <c r="AB3" s="1155" t="s">
        <v>3522</v>
      </c>
      <c r="AC3" s="1155" t="s">
        <v>3522</v>
      </c>
      <c r="AD3" s="3162">
        <v>45345.000497685185</v>
      </c>
      <c r="AE3" s="3162">
        <v>45365.000497685185</v>
      </c>
      <c r="AF3" s="3162">
        <v>45379.000497685185</v>
      </c>
      <c r="AG3" s="3162">
        <v>45379.000497685185</v>
      </c>
      <c r="AH3" s="1155" t="s">
        <v>3529</v>
      </c>
      <c r="AI3" s="1155" t="s">
        <v>3545</v>
      </c>
      <c r="AJ3" s="1155" t="s">
        <v>3554</v>
      </c>
      <c r="AK3" s="1155" t="s">
        <v>3555</v>
      </c>
      <c r="AL3" s="1155" t="s">
        <v>3548</v>
      </c>
      <c r="AM3" s="1155" t="s">
        <v>3522</v>
      </c>
      <c r="AN3" s="1155">
        <v>8639.5300000000007</v>
      </c>
      <c r="AO3" s="1155">
        <v>1800</v>
      </c>
      <c r="AP3" s="1155" t="s">
        <v>3522</v>
      </c>
      <c r="AQ3" s="1155">
        <v>8639.5300000000007</v>
      </c>
      <c r="AR3" s="1155">
        <v>2485.4899999999998</v>
      </c>
      <c r="AS3" s="1155">
        <v>2485.4899999999998</v>
      </c>
      <c r="AT3" s="1155">
        <v>165.7</v>
      </c>
      <c r="AU3" s="1155">
        <v>165.7</v>
      </c>
      <c r="AV3" s="1155">
        <v>1657</v>
      </c>
      <c r="AW3" s="1155">
        <v>1657</v>
      </c>
      <c r="AX3" s="1155" t="s">
        <v>3522</v>
      </c>
      <c r="AY3" s="1155" t="s">
        <v>3522</v>
      </c>
      <c r="AZ3" s="1155">
        <v>0</v>
      </c>
      <c r="BA3" s="1155" t="s">
        <v>3522</v>
      </c>
      <c r="BB3" s="1155" t="s">
        <v>3522</v>
      </c>
      <c r="BC3" s="1155" t="s">
        <v>3522</v>
      </c>
      <c r="BD3" s="1155" t="s">
        <v>3522</v>
      </c>
      <c r="BE3" s="1155" t="s">
        <v>3522</v>
      </c>
      <c r="BF3" s="1155" t="s">
        <v>3522</v>
      </c>
      <c r="BG3" s="1155" t="s">
        <v>3522</v>
      </c>
      <c r="BH3" s="1155" t="s">
        <v>3533</v>
      </c>
      <c r="BI3" s="1155" t="s">
        <v>3534</v>
      </c>
      <c r="BJ3" s="1155" t="s">
        <v>3535</v>
      </c>
      <c r="BK3" s="1155" t="s">
        <v>3536</v>
      </c>
      <c r="BL3" s="1155" t="s">
        <v>3522</v>
      </c>
      <c r="BM3" s="1155" t="s">
        <v>3522</v>
      </c>
      <c r="BO3" s="3164">
        <f>ROUND(AW3*BQ16,0)</f>
        <v>1803</v>
      </c>
      <c r="BR3" s="3164">
        <f>ROUND(BO3/BP20,0)</f>
        <v>2099</v>
      </c>
    </row>
    <row r="4" spans="1:70" s="3172" customFormat="1">
      <c r="A4" s="1155" t="s">
        <v>3556</v>
      </c>
      <c r="B4" s="1155" t="s">
        <v>3516</v>
      </c>
      <c r="C4" s="1155" t="s">
        <v>3517</v>
      </c>
      <c r="D4" s="1155" t="s">
        <v>3550</v>
      </c>
      <c r="E4" s="1155" t="s">
        <v>3557</v>
      </c>
      <c r="F4" s="1155" t="s">
        <v>3558</v>
      </c>
      <c r="G4" s="1155" t="s">
        <v>3558</v>
      </c>
      <c r="H4" s="1155" t="s">
        <v>3559</v>
      </c>
      <c r="I4" s="1155">
        <v>25709.119999999999</v>
      </c>
      <c r="J4" s="1155">
        <v>38563.68</v>
      </c>
      <c r="K4" s="1155" t="s">
        <v>3522</v>
      </c>
      <c r="L4" s="1155" t="s">
        <v>3522</v>
      </c>
      <c r="M4" s="1155">
        <v>0</v>
      </c>
      <c r="N4" s="1155">
        <v>0</v>
      </c>
      <c r="O4" s="1155" t="s">
        <v>3523</v>
      </c>
      <c r="P4" s="1155" t="s">
        <v>3524</v>
      </c>
      <c r="Q4" s="1155" t="s">
        <v>3560</v>
      </c>
      <c r="R4" s="1155" t="s">
        <v>3525</v>
      </c>
      <c r="S4" s="1155" t="s">
        <v>3561</v>
      </c>
      <c r="T4" s="1155">
        <v>1.5</v>
      </c>
      <c r="U4" s="1155" t="s">
        <v>3522</v>
      </c>
      <c r="V4" s="1155" t="s">
        <v>3522</v>
      </c>
      <c r="W4" s="1155">
        <v>24</v>
      </c>
      <c r="X4" s="1155" t="s">
        <v>3527</v>
      </c>
      <c r="Y4" s="1155" t="s">
        <v>3528</v>
      </c>
      <c r="Z4" s="1155" t="s">
        <v>3522</v>
      </c>
      <c r="AA4" s="1155" t="s">
        <v>3522</v>
      </c>
      <c r="AB4" s="1155" t="s">
        <v>3522</v>
      </c>
      <c r="AC4" s="1155" t="s">
        <v>3522</v>
      </c>
      <c r="AD4" s="3162">
        <v>45275.000497685185</v>
      </c>
      <c r="AE4" s="3162">
        <v>45295.000497685185</v>
      </c>
      <c r="AF4" s="3162">
        <v>45309.000497685185</v>
      </c>
      <c r="AG4" s="3162">
        <v>45309.000497685185</v>
      </c>
      <c r="AH4" s="1155" t="s">
        <v>3529</v>
      </c>
      <c r="AI4" s="1155" t="s">
        <v>3545</v>
      </c>
      <c r="AJ4" s="1155" t="s">
        <v>3562</v>
      </c>
      <c r="AK4" s="1155" t="s">
        <v>3522</v>
      </c>
      <c r="AL4" s="1155" t="s">
        <v>3522</v>
      </c>
      <c r="AM4" s="1155" t="s">
        <v>3522</v>
      </c>
      <c r="AN4" s="1155">
        <v>6710.09</v>
      </c>
      <c r="AO4" s="1155">
        <v>1400</v>
      </c>
      <c r="AP4" s="1155" t="s">
        <v>3522</v>
      </c>
      <c r="AQ4" s="1155">
        <v>6710.09</v>
      </c>
      <c r="AR4" s="1155">
        <v>2610</v>
      </c>
      <c r="AS4" s="1155">
        <v>2610</v>
      </c>
      <c r="AT4" s="1155">
        <v>174</v>
      </c>
      <c r="AU4" s="1155">
        <v>174</v>
      </c>
      <c r="AV4" s="1155">
        <v>1740</v>
      </c>
      <c r="AW4" s="1155">
        <v>1740</v>
      </c>
      <c r="AX4" s="1155" t="s">
        <v>3522</v>
      </c>
      <c r="AY4" s="1155" t="s">
        <v>3522</v>
      </c>
      <c r="AZ4" s="1155">
        <v>0</v>
      </c>
      <c r="BA4" s="1155" t="s">
        <v>3522</v>
      </c>
      <c r="BB4" s="1155" t="s">
        <v>3522</v>
      </c>
      <c r="BC4" s="1155" t="s">
        <v>3522</v>
      </c>
      <c r="BD4" s="1155" t="s">
        <v>3522</v>
      </c>
      <c r="BE4" s="1155" t="s">
        <v>3522</v>
      </c>
      <c r="BF4" s="1155" t="s">
        <v>3522</v>
      </c>
      <c r="BG4" s="1155" t="s">
        <v>3522</v>
      </c>
      <c r="BH4" s="1155" t="s">
        <v>3563</v>
      </c>
      <c r="BI4" s="1155" t="s">
        <v>3534</v>
      </c>
      <c r="BJ4" s="1155" t="s">
        <v>3535</v>
      </c>
      <c r="BK4" s="1155" t="s">
        <v>3536</v>
      </c>
      <c r="BL4" s="3162">
        <v>45341.000497685185</v>
      </c>
      <c r="BM4" s="1155">
        <v>6710.09</v>
      </c>
      <c r="BO4" s="3164">
        <f>ROUND(AW4*BQ16,0)</f>
        <v>1894</v>
      </c>
      <c r="BR4" s="3164">
        <f>ROUND(BO4/BP21,0)</f>
        <v>2050</v>
      </c>
    </row>
    <row r="13" spans="1:70">
      <c r="BO13" s="2854" t="s">
        <v>3539</v>
      </c>
      <c r="BP13" s="3165" t="s">
        <v>3540</v>
      </c>
      <c r="BQ13" s="2854" t="s">
        <v>3541</v>
      </c>
    </row>
    <row r="14" spans="1:70">
      <c r="BO14" s="2854">
        <f>'数据-取费表'!H6</f>
        <v>4.4999999999999998E-2</v>
      </c>
      <c r="BP14" s="3165">
        <f>项目基本情况!H15</f>
        <v>23.03</v>
      </c>
      <c r="BQ14" s="2854">
        <v>0.6371</v>
      </c>
    </row>
    <row r="15" spans="1:70">
      <c r="BO15" s="2854"/>
      <c r="BP15" s="3165" t="s">
        <v>3542</v>
      </c>
      <c r="BQ15" s="2854">
        <f>ROUND(1-1/(1+BO14)^20,4)</f>
        <v>0.58540000000000003</v>
      </c>
      <c r="BR15" s="1404"/>
    </row>
    <row r="16" spans="1:70">
      <c r="BO16" s="2854"/>
      <c r="BP16" s="3165"/>
      <c r="BQ16" s="2854">
        <f>ROUND(BQ14/BQ15,4)</f>
        <v>1.0883</v>
      </c>
    </row>
    <row r="17" spans="60:69">
      <c r="BO17" s="2854" t="s">
        <v>3415</v>
      </c>
      <c r="BP17" s="3165" t="s">
        <v>3543</v>
      </c>
      <c r="BQ17" s="2854" t="s">
        <v>3544</v>
      </c>
    </row>
    <row r="18" spans="60:69">
      <c r="BO18" s="2854">
        <v>1</v>
      </c>
      <c r="BP18" s="2854">
        <v>1</v>
      </c>
      <c r="BQ18" s="2854">
        <v>1</v>
      </c>
    </row>
    <row r="19" spans="60:69">
      <c r="BH19" s="1404" t="s">
        <v>3581</v>
      </c>
      <c r="BO19" s="2854">
        <v>1.9</v>
      </c>
      <c r="BP19" s="2854">
        <v>0.77149999999999996</v>
      </c>
      <c r="BQ19" s="2854">
        <f>BP19*BQ18/BP18</f>
        <v>0.77149999999999996</v>
      </c>
    </row>
    <row r="20" spans="60:69">
      <c r="BH20" s="1404" t="s">
        <v>3581</v>
      </c>
      <c r="BO20" s="3179">
        <v>1.5</v>
      </c>
      <c r="BP20" s="2854">
        <v>0.8589</v>
      </c>
      <c r="BQ20" s="3179">
        <f>BP20*BQ18/BP18</f>
        <v>0.8589</v>
      </c>
    </row>
    <row r="21" spans="60:69">
      <c r="BH21" s="1404" t="s">
        <v>3582</v>
      </c>
      <c r="BO21" s="2854">
        <v>1.5</v>
      </c>
      <c r="BP21" s="2854">
        <v>0.92379999999999995</v>
      </c>
      <c r="BQ21" s="2809">
        <v>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10810.26</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1472</v>
      </c>
      <c r="C2" s="1845" t="s">
        <v>1934</v>
      </c>
      <c r="D2" s="162" t="s">
        <v>1935</v>
      </c>
      <c r="E2" s="3116" t="s">
        <v>3</v>
      </c>
      <c r="F2" s="162" t="s">
        <v>1936</v>
      </c>
      <c r="G2" s="163" t="str">
        <f>IF(E2="商业",项目基本情况!B37,IF(E2="办公",项目基本情况!C37,IF(E2="住宅",项目基本情况!D37,IF(E2="工业",项目基本情况!E37,项目基本情况!F37))))</f>
        <v>九级</v>
      </c>
      <c r="H2" s="162" t="s">
        <v>1937</v>
      </c>
      <c r="I2" s="163" t="str">
        <f>IF(E2="商业",项目基本情况!B38,IF(E2="办公",项目基本情况!C38,IF(E2="住宅",项目基本情况!D38,IF(E2="工业",项目基本情况!E38,项目基本情况!F38))))</f>
        <v>Ⅸ-雁栖开发区A</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59">
        <f>ROUND(SUMPRODUCT((B106:B110=R2)*(C105:N105=G2)*(C106:N110)),4)</f>
        <v>1.5418000000000001</v>
      </c>
      <c r="T2" s="3059">
        <f t="shared" ref="T2:T16" si="0">ROUND($C$5*$C$22*$C$23*$C$24*S2*$C$28,0)</f>
        <v>2100</v>
      </c>
      <c r="U2" s="1129"/>
      <c r="V2" s="3059">
        <f>ROUND(T2*U2/10000,0)</f>
        <v>0</v>
      </c>
      <c r="W2" s="1132"/>
      <c r="X2" s="1132"/>
      <c r="Y2" s="1132"/>
      <c r="Z2" s="1132"/>
      <c r="AA2" s="1132"/>
      <c r="AB2" s="1132"/>
      <c r="AC2" s="1133"/>
      <c r="AD2" s="1134"/>
      <c r="AE2" s="1134"/>
      <c r="AF2" s="1134"/>
      <c r="AG2" s="1134"/>
      <c r="AH2" s="1134"/>
      <c r="AI2" s="1134"/>
      <c r="AJ2" s="1135"/>
    </row>
    <row r="3" spans="1:36" ht="15.75">
      <c r="A3" s="195" t="s">
        <v>1939</v>
      </c>
      <c r="B3" s="196">
        <f>ROUND(B2*10000/D1,0)</f>
        <v>1362</v>
      </c>
      <c r="C3" s="1845" t="s">
        <v>1940</v>
      </c>
      <c r="D3" s="162" t="s">
        <v>1941</v>
      </c>
      <c r="E3" s="3114" t="s">
        <v>2475</v>
      </c>
      <c r="F3" s="1847" t="s">
        <v>3418</v>
      </c>
      <c r="G3" s="707">
        <f>IF(F3="宗地容积率",'数据-汇总表'!I4,IF(F3="估价对象容积率",'数据-汇总表'!I6,'数据-汇总表'!I7))</f>
        <v>1</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59">
        <f>ROUND(SUMPRODUCT((B106:B110=R3)*(C105:N105=G2)*(C106:N110)),4)</f>
        <v>1.1883999999999999</v>
      </c>
      <c r="T3" s="3059">
        <f t="shared" si="0"/>
        <v>1619</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412"/>
      <c r="B4" s="3413"/>
      <c r="C4" s="3413"/>
      <c r="D4" s="3414"/>
      <c r="E4" s="3414"/>
      <c r="F4" s="3414"/>
      <c r="G4" s="3414"/>
      <c r="H4" s="3414"/>
      <c r="I4" s="3414"/>
      <c r="J4" s="3415"/>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59">
        <f>ROUND(SUMPRODUCT((B106:B110=R4)*(C105:N105=G2)*(C106:N110)),4)</f>
        <v>0.96940000000000004</v>
      </c>
      <c r="T4" s="3059">
        <f t="shared" si="0"/>
        <v>1320</v>
      </c>
      <c r="U4" s="1129"/>
      <c r="V4" s="3059">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1120</v>
      </c>
      <c r="D5" s="1251">
        <f>ROUND(C6*C17+C20,0)</f>
        <v>1120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59">
        <f>ROUND(SUMPRODUCT((B106:B110=R5)*(C105:N105=G2)*(C106:N110)),4)</f>
        <v>0.82299999999999995</v>
      </c>
      <c r="T5" s="3059">
        <f t="shared" si="0"/>
        <v>1121</v>
      </c>
      <c r="U5" s="1129"/>
      <c r="V5" s="3059">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1080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59">
        <f>ROUND(SUMPRODUCT((B106:B110=R6)*(C105:N105=G2)*(C106:N110)),4)</f>
        <v>0.74980000000000002</v>
      </c>
      <c r="T6" s="3059">
        <f t="shared" si="0"/>
        <v>1021</v>
      </c>
      <c r="U6" s="1129"/>
      <c r="V6" s="3059">
        <f t="shared" si="1"/>
        <v>0</v>
      </c>
      <c r="W6" s="1132"/>
      <c r="X6" s="1132"/>
      <c r="Y6" s="1132"/>
      <c r="Z6" s="1132"/>
      <c r="AA6" s="1132"/>
      <c r="AB6" s="1132"/>
      <c r="AC6" s="1854"/>
      <c r="AD6" s="1855"/>
      <c r="AE6" s="1855"/>
      <c r="AF6" s="1855"/>
      <c r="AG6" s="1855"/>
      <c r="AH6" s="1855"/>
      <c r="AI6" s="1855"/>
      <c r="AJ6" s="1856"/>
    </row>
    <row r="7" spans="1:36" ht="24.75" thickBot="1">
      <c r="A7" s="3008" t="s">
        <v>3229</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3"/>
      <c r="T7" s="3059">
        <f t="shared" si="0"/>
        <v>0</v>
      </c>
      <c r="U7" s="1129"/>
      <c r="V7" s="3059">
        <f t="shared" si="1"/>
        <v>0</v>
      </c>
      <c r="W7" s="1266" t="s">
        <v>1954</v>
      </c>
      <c r="X7" s="1130" t="str">
        <f>G2</f>
        <v>九级</v>
      </c>
      <c r="Y7" s="1130" t="s">
        <v>1955</v>
      </c>
      <c r="Z7" s="1131">
        <f>G3</f>
        <v>1</v>
      </c>
      <c r="AA7" s="1132"/>
      <c r="AB7" s="1132"/>
      <c r="AC7" s="1133"/>
      <c r="AD7" s="1134"/>
      <c r="AE7" s="1134"/>
      <c r="AF7" s="1134"/>
      <c r="AG7" s="1134"/>
      <c r="AH7" s="1134"/>
      <c r="AI7" s="1134"/>
      <c r="AJ7" s="1135"/>
    </row>
    <row r="8" spans="1:36" ht="15">
      <c r="A8" s="3005"/>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59">
        <f t="shared" si="0"/>
        <v>0</v>
      </c>
      <c r="U8" s="1129"/>
      <c r="V8" s="3059">
        <f t="shared" si="1"/>
        <v>0</v>
      </c>
      <c r="W8" s="3409" t="s">
        <v>1959</v>
      </c>
      <c r="X8" s="3410"/>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5"/>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1080</v>
      </c>
      <c r="N9" s="812">
        <f>SUMPRODUCT((因素修正幅度!B277:B326=I2)*(因素修正幅度!C3:G3=E2)*(因素修正幅度!C277:G326))</f>
        <v>0.05</v>
      </c>
      <c r="O9" s="1055"/>
      <c r="P9" s="1055"/>
      <c r="Q9" s="1055"/>
      <c r="R9" s="1128">
        <v>8</v>
      </c>
      <c r="S9" s="1129"/>
      <c r="T9" s="3059">
        <f t="shared" si="0"/>
        <v>0</v>
      </c>
      <c r="U9" s="1129"/>
      <c r="V9" s="3059">
        <f t="shared" si="1"/>
        <v>0</v>
      </c>
      <c r="W9" s="3411"/>
      <c r="X9" s="3060" t="s">
        <v>3260</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9">
        <f t="shared" si="0"/>
        <v>0</v>
      </c>
      <c r="U10" s="1129"/>
      <c r="V10" s="3059">
        <f t="shared" si="1"/>
        <v>0</v>
      </c>
      <c r="W10" s="3411"/>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3230</v>
      </c>
      <c r="B12" s="3009" t="s">
        <v>3231</v>
      </c>
      <c r="C12" s="3010"/>
      <c r="D12" s="3011" t="s">
        <v>3232</v>
      </c>
      <c r="E12" s="3012" t="s">
        <v>3233</v>
      </c>
      <c r="F12" s="3013"/>
      <c r="G12" s="3014"/>
      <c r="H12" s="3014"/>
      <c r="I12" s="3014"/>
      <c r="J12" s="3015"/>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3234</v>
      </c>
      <c r="B13" s="1877" t="s">
        <v>1981</v>
      </c>
      <c r="C13" s="710">
        <f>ROUND(C16*D16*E16*F16*G16*H16*I16*J16,4)</f>
        <v>0</v>
      </c>
      <c r="D13" s="1878" t="s">
        <v>1982</v>
      </c>
      <c r="E13" s="1879"/>
      <c r="F13" s="1879"/>
      <c r="G13" s="1880"/>
      <c r="H13" s="1880"/>
      <c r="I13" s="1880"/>
      <c r="J13" s="1881"/>
      <c r="K13" s="1055"/>
      <c r="L13" s="3"/>
      <c r="M13" s="4"/>
      <c r="N13" s="3006"/>
      <c r="O13" s="1055"/>
      <c r="P13" s="1055"/>
      <c r="Q13" s="1055"/>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82" t="s">
        <v>1984</v>
      </c>
      <c r="C14" s="1883" t="s">
        <v>1985</v>
      </c>
      <c r="D14" s="1260" t="s">
        <v>1986</v>
      </c>
      <c r="E14" s="27" t="s">
        <v>1987</v>
      </c>
      <c r="F14" s="3016" t="s">
        <v>3235</v>
      </c>
      <c r="G14" s="3016" t="s">
        <v>3235</v>
      </c>
      <c r="H14" s="3016" t="s">
        <v>3235</v>
      </c>
      <c r="I14" s="3016" t="s">
        <v>3235</v>
      </c>
      <c r="J14" s="3016" t="s">
        <v>3235</v>
      </c>
      <c r="K14" s="1055"/>
      <c r="L14" s="1055"/>
      <c r="M14" s="1055"/>
      <c r="N14" s="1055"/>
      <c r="O14" s="1055"/>
      <c r="P14" s="1055"/>
      <c r="Q14" s="1055"/>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3236</v>
      </c>
      <c r="G15" s="1927"/>
      <c r="H15" s="3017"/>
      <c r="I15" s="3018"/>
      <c r="J15" s="3019"/>
      <c r="K15" s="1055"/>
      <c r="L15" s="1055"/>
      <c r="M15" s="1055"/>
      <c r="N15" s="1055"/>
      <c r="O15" s="1055"/>
      <c r="P15" s="1055"/>
      <c r="Q15" s="1055"/>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5"/>
      <c r="L16" s="1843"/>
      <c r="M16" s="1843"/>
      <c r="N16" s="1843"/>
      <c r="O16" s="1843"/>
      <c r="P16" s="1843"/>
      <c r="Q16" s="1055"/>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3237</v>
      </c>
      <c r="B17" s="3023" t="s">
        <v>3238</v>
      </c>
      <c r="C17" s="3032">
        <f>ROUND(IF(OR(E2="工业",E2="公共服务"),1,IF(AND(E18=0,E19=0),1,IF(AND(E18=J24,E19=G19),0.8,IF(E19=0,1+E17*(-0.2),1+E17*G17*(-0.2))))),4)</f>
        <v>1</v>
      </c>
      <c r="D17" s="3024" t="s">
        <v>3239</v>
      </c>
      <c r="E17" s="3032">
        <f>ROUND(G18/I18,2)</f>
        <v>0</v>
      </c>
      <c r="F17" s="3024" t="s">
        <v>3242</v>
      </c>
      <c r="G17" s="3032" t="e">
        <f>ROUND(E19/G19,2)</f>
        <v>#DIV/0!</v>
      </c>
      <c r="H17" s="3032"/>
      <c r="I17" s="3032"/>
      <c r="J17" s="3033"/>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4"/>
      <c r="B18" s="2307"/>
      <c r="C18" s="3030"/>
      <c r="D18" s="3025" t="s">
        <v>3240</v>
      </c>
      <c r="E18" s="2354"/>
      <c r="F18" s="3026" t="s">
        <v>3243</v>
      </c>
      <c r="G18" s="3030">
        <f>ROUND(1-(1/(POWER(1+G24,E18))),4)</f>
        <v>0</v>
      </c>
      <c r="H18" s="3026" t="s">
        <v>3245</v>
      </c>
      <c r="I18" s="3030">
        <f>ROUND(1-(1/(POWER(1+G24,J24))),4)</f>
        <v>0.91279999999999994</v>
      </c>
      <c r="J18" s="3035"/>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8"/>
    </row>
    <row r="19" spans="1:37" s="1857" customFormat="1" ht="15" thickBot="1">
      <c r="A19" s="3036"/>
      <c r="B19" s="3037"/>
      <c r="C19" s="3038"/>
      <c r="D19" s="3038" t="s">
        <v>3241</v>
      </c>
      <c r="E19" s="3039"/>
      <c r="F19" s="3040" t="s">
        <v>3244</v>
      </c>
      <c r="G19" s="3039"/>
      <c r="H19" s="3038"/>
      <c r="I19" s="3038"/>
      <c r="J19" s="3041"/>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1"/>
      <c r="AH19" s="1979"/>
      <c r="AI19" s="561"/>
      <c r="AJ19" s="561"/>
      <c r="AK19" s="1898"/>
    </row>
    <row r="20" spans="1:37" s="1857" customFormat="1" ht="14.25">
      <c r="A20" s="3416" t="s">
        <v>3246</v>
      </c>
      <c r="B20" s="159" t="s">
        <v>1993</v>
      </c>
      <c r="C20" s="3027">
        <f>ROUND(IF(F21="与级别开发程度一致",0,(G21-E21)/C21),0)</f>
        <v>40</v>
      </c>
      <c r="D20" s="3042" t="s">
        <v>1997</v>
      </c>
      <c r="E20" s="3043"/>
      <c r="F20" s="3422" t="s">
        <v>1994</v>
      </c>
      <c r="G20" s="3423"/>
      <c r="H20" s="3028" t="s">
        <v>3387</v>
      </c>
      <c r="I20" s="3028" t="s">
        <v>3388</v>
      </c>
      <c r="J20" s="3029" t="s">
        <v>3389</v>
      </c>
      <c r="K20" s="1888" t="s">
        <v>3390</v>
      </c>
      <c r="L20" s="1888" t="s">
        <v>3391</v>
      </c>
      <c r="M20" s="1888" t="s">
        <v>3392</v>
      </c>
      <c r="N20" s="1888" t="s">
        <v>3393</v>
      </c>
      <c r="O20" s="1889"/>
      <c r="P20" s="1843"/>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7" customFormat="1" ht="26.25" thickBot="1">
      <c r="A21" s="3417"/>
      <c r="B21" s="2001" t="s">
        <v>1996</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3419</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10</v>
      </c>
      <c r="O21" s="2004">
        <f>SUMPRODUCT((七通一平=O20)*(修正!B1:M1=G2)*(修正!B8:M16))</f>
        <v>0</v>
      </c>
      <c r="P21" s="1843"/>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7" customFormat="1" ht="15.75" thickBot="1">
      <c r="A22" s="1995" t="s">
        <v>363</v>
      </c>
      <c r="B22" s="1996" t="s">
        <v>1999</v>
      </c>
      <c r="C22" s="1997">
        <f>SUMIF(修正!C20:C51,E3,修正!E20:E51)</f>
        <v>1.5</v>
      </c>
      <c r="D22" s="1998"/>
      <c r="E22" s="1999"/>
      <c r="F22" s="1999"/>
      <c r="G22" s="1999"/>
      <c r="H22" s="1999"/>
      <c r="I22" s="1999"/>
      <c r="J22" s="2000"/>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2001</v>
      </c>
      <c r="E23" s="716">
        <v>44197</v>
      </c>
      <c r="F23" s="1895" t="s">
        <v>2002</v>
      </c>
      <c r="G23" s="717">
        <f>'数据-取费表'!B2</f>
        <v>45587</v>
      </c>
      <c r="H23" s="3044" t="s">
        <v>3248</v>
      </c>
      <c r="I23" s="3045" t="str">
        <f>IF(H23="季度增幅（自定义）",SUMIF(N25:N28,E2,O25:O28),"")</f>
        <v/>
      </c>
      <c r="J23" s="3137" t="s">
        <v>3247</v>
      </c>
      <c r="K23" s="1060"/>
      <c r="L23" s="1896" t="s">
        <v>2003</v>
      </c>
      <c r="M23" s="1240">
        <f>ROUND(SUMIF(地价!B2:G2,E2,地价!B16:G16),0)</f>
        <v>318</v>
      </c>
      <c r="N23" s="1897" t="s">
        <v>2004</v>
      </c>
      <c r="O23" s="718">
        <f>ROUNDDOWN(DATEDIF(E23,G23,"M")/3,0)</f>
        <v>15</v>
      </c>
      <c r="P23" s="1056"/>
      <c r="Q23" s="2548"/>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0.73939999999999995</v>
      </c>
      <c r="D24" s="1901" t="s">
        <v>2006</v>
      </c>
      <c r="E24" s="1247">
        <f>存贷款利率!E27/100</f>
        <v>4.3499999999999997E-2</v>
      </c>
      <c r="F24" s="1901" t="s">
        <v>1998</v>
      </c>
      <c r="G24" s="723">
        <f>SUMIF(M30:Q30,E2,M33:Q33)</f>
        <v>0.05</v>
      </c>
      <c r="H24" s="1901" t="s">
        <v>2007</v>
      </c>
      <c r="I24" s="724">
        <f>SUMIF('数据-取费表'!C6:C15,E2,'数据-取费表'!F6:F15)/COUNTIF('数据-取费表'!C6:C15,E2)</f>
        <v>23.03</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5">
      <c r="A25" s="1906" t="s">
        <v>366</v>
      </c>
      <c r="B25" s="1907" t="s">
        <v>3327</v>
      </c>
      <c r="C25" s="461">
        <f>IF(B25="容积率修正",IF(G3&lt;10,D26,J26),C27)</f>
        <v>1</v>
      </c>
      <c r="D25" s="1908"/>
      <c r="E25" s="1908"/>
      <c r="F25" s="1908"/>
      <c r="G25" s="1908"/>
      <c r="H25" s="1908"/>
      <c r="I25" s="1908"/>
      <c r="J25" s="1909"/>
      <c r="K25" s="1060"/>
      <c r="L25" s="2548"/>
      <c r="M25" s="2548"/>
      <c r="N25" s="1910" t="s">
        <v>2012</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3249</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3250</v>
      </c>
      <c r="J26" s="374" t="str">
        <f>IF(G3&gt;=10,D115,"——")</f>
        <v>——</v>
      </c>
      <c r="K26" s="1060"/>
      <c r="L26" s="2548"/>
      <c r="M26" s="2548"/>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1.0135000000000001</v>
      </c>
      <c r="D28" s="1893"/>
      <c r="E28" s="1918"/>
      <c r="F28" s="1918"/>
      <c r="G28" s="1918"/>
      <c r="H28" s="1918"/>
      <c r="I28" s="1918"/>
      <c r="J28" s="1919"/>
      <c r="K28" s="1060"/>
      <c r="L28" s="2548"/>
      <c r="M28" s="2548"/>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5" t="s">
        <v>2022</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1472</v>
      </c>
      <c r="D30" s="1924"/>
      <c r="E30" s="1841"/>
      <c r="F30" s="1925"/>
      <c r="G30" s="1841"/>
      <c r="H30" s="1841"/>
      <c r="I30" s="1841"/>
      <c r="J30" s="1926"/>
      <c r="K30" s="1055"/>
      <c r="L30" s="3051" t="s">
        <v>1935</v>
      </c>
      <c r="M30" s="3052" t="s">
        <v>1989</v>
      </c>
      <c r="N30" s="3052" t="s">
        <v>1990</v>
      </c>
      <c r="O30" s="3052" t="s">
        <v>1991</v>
      </c>
      <c r="P30" s="3052" t="s">
        <v>1992</v>
      </c>
      <c r="Q30" s="3055"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3" t="s">
        <v>1995</v>
      </c>
      <c r="M31" s="162">
        <v>0.25</v>
      </c>
      <c r="N31" s="162">
        <v>0.2</v>
      </c>
      <c r="O31" s="162">
        <v>0.15</v>
      </c>
      <c r="P31" s="162">
        <v>0.1</v>
      </c>
      <c r="Q31" s="3048">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4" t="s">
        <v>1998</v>
      </c>
      <c r="M32" s="2353">
        <f>ROUND($E$24*(1+M31),3)</f>
        <v>5.3999999999999999E-2</v>
      </c>
      <c r="N32" s="2353">
        <f>ROUND($E$24*(1+N31),3)</f>
        <v>5.1999999999999998E-2</v>
      </c>
      <c r="O32" s="2353">
        <f>ROUND($E$24*(1+O31),3)</f>
        <v>0.05</v>
      </c>
      <c r="P32" s="2353">
        <f>ROUND($E$24*(1+P31),3)</f>
        <v>4.8000000000000001E-2</v>
      </c>
      <c r="Q32" s="3056">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f>ROUND(C5*C22*C23*C24*C25*C28,0)</f>
        <v>1362</v>
      </c>
      <c r="D33" s="1939">
        <f>'数据-汇总表'!D3</f>
        <v>10810.26</v>
      </c>
      <c r="E33" s="726">
        <f>ROUND(C33*D33/10000,0)</f>
        <v>1472</v>
      </c>
      <c r="F33" s="3046" t="s">
        <v>3252</v>
      </c>
      <c r="G33" s="1940"/>
      <c r="H33" s="1940"/>
      <c r="I33" s="1940"/>
      <c r="J33" s="1941"/>
      <c r="K33" s="1055"/>
      <c r="L33" s="3049" t="s">
        <v>3255</v>
      </c>
      <c r="M33" s="3050">
        <v>5.5E-2</v>
      </c>
      <c r="N33" s="3050">
        <v>5.5E-2</v>
      </c>
      <c r="O33" s="3050">
        <v>0.05</v>
      </c>
      <c r="P33" s="3050">
        <v>0.05</v>
      </c>
      <c r="Q33" s="3050">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f>ROUND(IF(E2="工业",C33*M42,IF(B25="楼层修正",SUM(V2:V16)*M41*10000/D34,C33*M41)),0)</f>
        <v>204</v>
      </c>
      <c r="D34" s="1944"/>
      <c r="E34" s="726">
        <f>ROUND(IF(B25="楼层修正",SUM(V2:V16)*M40,C34*D34/10000),0)</f>
        <v>0</v>
      </c>
      <c r="F34" s="1945" t="s">
        <v>2031</v>
      </c>
      <c r="G34" s="1946"/>
      <c r="H34" s="1946"/>
      <c r="I34" s="1946"/>
      <c r="J34" s="1947"/>
      <c r="K34" s="1055"/>
      <c r="L34" s="3049" t="s">
        <v>3256</v>
      </c>
      <c r="M34" s="3050">
        <v>6.5000000000000002E-2</v>
      </c>
      <c r="N34" s="3050">
        <v>6.5000000000000002E-2</v>
      </c>
      <c r="O34" s="3050">
        <v>0.06</v>
      </c>
      <c r="P34" s="3050">
        <v>0.06</v>
      </c>
      <c r="Q34" s="3050">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7" t="s">
        <v>3253</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3257</v>
      </c>
      <c r="L36" s="3138">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20"/>
      <c r="B37" s="1954" t="s">
        <v>2035</v>
      </c>
      <c r="C37" s="167">
        <f>ROUND(D5*C22*C23*C24*C28*F37,0)</f>
        <v>681</v>
      </c>
      <c r="D37" s="1939"/>
      <c r="E37" s="163">
        <f>ROUND(C37*D37/10000,0)</f>
        <v>0</v>
      </c>
      <c r="F37" s="163">
        <f>SUMIF(修正!A57:A68,G2,修正!B57:B68)</f>
        <v>0.5</v>
      </c>
      <c r="G37" s="163">
        <f>ROUND(IF(E2="工业",C37*$M$42,C37*$M$41),0)</f>
        <v>102</v>
      </c>
      <c r="H37" s="163">
        <f>D37</f>
        <v>0</v>
      </c>
      <c r="I37" s="163">
        <f>ROUND(G37*H37/10000,0)</f>
        <v>0</v>
      </c>
      <c r="J37" s="2750"/>
      <c r="K37" s="3057" t="s">
        <v>3258</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21"/>
      <c r="B38" s="1883" t="s">
        <v>2036</v>
      </c>
      <c r="C38" s="167">
        <f>ROUND(D5*C22*C23*C24*C28*F38,0)</f>
        <v>272</v>
      </c>
      <c r="D38" s="1939"/>
      <c r="E38" s="163">
        <f t="shared" ref="E38:E42" si="4">ROUND(C38*D38/10000,0)</f>
        <v>0</v>
      </c>
      <c r="F38" s="163">
        <f>SUMIF(修正!A57:A68,G2,修正!C57:C68)</f>
        <v>0.2</v>
      </c>
      <c r="G38" s="163">
        <f>ROUND(IF(E2="工业",C38*$M$42,C38*$M$41),0)</f>
        <v>41</v>
      </c>
      <c r="H38" s="163">
        <f t="shared" ref="H38:H42" si="5">D38</f>
        <v>0</v>
      </c>
      <c r="I38" s="163">
        <f t="shared" ref="I38:I42" si="6">ROUND(G38*H38/10000,0)</f>
        <v>0</v>
      </c>
      <c r="J38" s="2749"/>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21"/>
      <c r="B39" s="1883" t="s">
        <v>3251</v>
      </c>
      <c r="C39" s="167">
        <f>ROUND(D5*C22*C23*C24*C28*F39,0)</f>
        <v>272</v>
      </c>
      <c r="D39" s="1939"/>
      <c r="E39" s="163">
        <f t="shared" si="4"/>
        <v>0</v>
      </c>
      <c r="F39" s="163">
        <f>SUMIF(修正!A57:A68,G2,修正!D57:D68)</f>
        <v>0.2</v>
      </c>
      <c r="G39" s="163">
        <f>ROUND(IF(E2="工业",C39*$M$42,C39*$M$41),0)</f>
        <v>41</v>
      </c>
      <c r="H39" s="163">
        <f t="shared" si="5"/>
        <v>0</v>
      </c>
      <c r="I39" s="163">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f>ROUND(D5*C22*C23*C24*C28*F40,0)</f>
        <v>272</v>
      </c>
      <c r="D40" s="1939"/>
      <c r="E40" s="163">
        <f t="shared" si="4"/>
        <v>0</v>
      </c>
      <c r="F40" s="167">
        <f>SUMIF(修正!A57:A68,G2,修正!E57:E68)</f>
        <v>0.2</v>
      </c>
      <c r="G40" s="163">
        <f>ROUND(IF(E2="工业",C40*$M$42,C40*$M$41),0)</f>
        <v>41</v>
      </c>
      <c r="H40" s="163">
        <f t="shared" si="5"/>
        <v>0</v>
      </c>
      <c r="I40" s="163">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f>ROUND(D5*C22*C23*C44*C28*F41,0)</f>
        <v>0</v>
      </c>
      <c r="D41" s="1939"/>
      <c r="E41" s="163">
        <f t="shared" si="4"/>
        <v>0</v>
      </c>
      <c r="F41" s="167">
        <f>SUMIF(修正!A57:A68,G2,修正!F57:F68)</f>
        <v>0.2</v>
      </c>
      <c r="G41" s="163">
        <f>ROUND(IF(E2="工业",C41*$M$42,C41*$M$41),0)</f>
        <v>0</v>
      </c>
      <c r="H41" s="163">
        <f t="shared" si="5"/>
        <v>0</v>
      </c>
      <c r="I41" s="163">
        <f t="shared" si="6"/>
        <v>0</v>
      </c>
      <c r="J41" s="938"/>
      <c r="L41" s="3058" t="s">
        <v>3259</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f>ROUND(D5*C22*C23*C44*C28*F42,0)</f>
        <v>0</v>
      </c>
      <c r="D42" s="1944"/>
      <c r="E42" s="179">
        <f t="shared" si="4"/>
        <v>0</v>
      </c>
      <c r="F42" s="722">
        <f>SUMIF(修正!A57:A68,G2,修正!G57:G68)</f>
        <v>0.1</v>
      </c>
      <c r="G42" s="179">
        <f>ROUND(IF(E2="工业",C42*$M$42,C42*$M$41),0)</f>
        <v>0</v>
      </c>
      <c r="H42" s="179">
        <f t="shared" si="5"/>
        <v>0</v>
      </c>
      <c r="I42" s="179">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v>
      </c>
      <c r="D44" s="163" t="s">
        <v>1998</v>
      </c>
      <c r="E44" s="1990">
        <f>G24</f>
        <v>0.05</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2043</v>
      </c>
      <c r="B49" s="1261" t="s">
        <v>2044</v>
      </c>
      <c r="C49" s="1261" t="s">
        <v>2045</v>
      </c>
      <c r="D49" s="1261" t="s">
        <v>2046</v>
      </c>
      <c r="E49" s="700" t="s">
        <v>2047</v>
      </c>
      <c r="F49" s="1970" t="s">
        <v>2048</v>
      </c>
      <c r="G49" s="1261" t="s">
        <v>310</v>
      </c>
      <c r="H49" s="1971" t="s">
        <v>2049</v>
      </c>
      <c r="I49" s="1261" t="s">
        <v>2050</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hidden="1">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4">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hidden="1">
      <c r="A51" s="1969" t="s">
        <v>2052</v>
      </c>
      <c r="B51" s="1261">
        <f>估价对象房地状况!C18</f>
        <v>0</v>
      </c>
      <c r="C51" s="1886"/>
      <c r="D51" s="1001">
        <f t="shared" si="7"/>
        <v>0</v>
      </c>
      <c r="E51" s="702"/>
      <c r="F51" s="1674"/>
      <c r="G51" s="999"/>
      <c r="H51" s="1002" t="str">
        <f t="shared" si="8"/>
        <v>——</v>
      </c>
      <c r="I51" s="3064">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6" t="s">
        <v>3261</v>
      </c>
      <c r="B52" s="1261">
        <f>估价对象房地状况!C19</f>
        <v>0</v>
      </c>
      <c r="C52" s="1886"/>
      <c r="D52" s="1001">
        <f t="shared" si="7"/>
        <v>0</v>
      </c>
      <c r="E52" s="702"/>
      <c r="F52" s="1674"/>
      <c r="G52" s="999"/>
      <c r="H52" s="1002" t="str">
        <f t="shared" si="8"/>
        <v>——</v>
      </c>
      <c r="I52" s="3064">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2053</v>
      </c>
      <c r="B53" s="1973" t="s">
        <v>2054</v>
      </c>
      <c r="C53" s="1886"/>
      <c r="D53" s="1001">
        <f t="shared" si="7"/>
        <v>0</v>
      </c>
      <c r="E53" s="702"/>
      <c r="F53" s="1674"/>
      <c r="G53" s="999"/>
      <c r="H53" s="1002" t="str">
        <f t="shared" si="8"/>
        <v>——</v>
      </c>
      <c r="I53" s="3064">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2055</v>
      </c>
      <c r="B54" s="1261">
        <f>估价对象房地状况!C24</f>
        <v>0</v>
      </c>
      <c r="C54" s="1886"/>
      <c r="D54" s="1001">
        <f t="shared" si="7"/>
        <v>0</v>
      </c>
      <c r="E54" s="702"/>
      <c r="F54" s="1674"/>
      <c r="G54" s="999"/>
      <c r="H54" s="1002" t="str">
        <f t="shared" si="8"/>
        <v>——</v>
      </c>
      <c r="I54" s="3064">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2056</v>
      </c>
      <c r="B55" s="1974" t="s">
        <v>2057</v>
      </c>
      <c r="C55" s="1886"/>
      <c r="D55" s="1001">
        <f t="shared" si="7"/>
        <v>0</v>
      </c>
      <c r="E55" s="702"/>
      <c r="F55" s="1674"/>
      <c r="G55" s="999"/>
      <c r="H55" s="1002" t="str">
        <f t="shared" si="8"/>
        <v>——</v>
      </c>
      <c r="I55" s="3064">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2058</v>
      </c>
      <c r="B56" s="1239">
        <f>估价对象房地状况!C21</f>
        <v>0</v>
      </c>
      <c r="C56" s="1886"/>
      <c r="D56" s="1001">
        <f t="shared" si="7"/>
        <v>0</v>
      </c>
      <c r="E56" s="702"/>
      <c r="F56" s="1674"/>
      <c r="G56" s="999"/>
      <c r="H56" s="1002" t="str">
        <f t="shared" si="8"/>
        <v>——</v>
      </c>
      <c r="I56" s="3064">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2059</v>
      </c>
      <c r="B57" s="1261">
        <f>估价对象房地状况!C22</f>
        <v>0</v>
      </c>
      <c r="C57" s="1886"/>
      <c r="D57" s="1001">
        <f t="shared" si="7"/>
        <v>0</v>
      </c>
      <c r="E57" s="702"/>
      <c r="F57" s="1674"/>
      <c r="G57" s="999"/>
      <c r="H57" s="1002" t="str">
        <f t="shared" si="8"/>
        <v>——</v>
      </c>
      <c r="I57" s="3064">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hidden="1" thickBot="1">
      <c r="A58" s="1976" t="s">
        <v>2060</v>
      </c>
      <c r="B58" s="1977">
        <f>估价对象房地状况!C20</f>
        <v>0</v>
      </c>
      <c r="C58" s="1886"/>
      <c r="D58" s="1001">
        <f t="shared" si="7"/>
        <v>0</v>
      </c>
      <c r="E58" s="703"/>
      <c r="F58" s="1674"/>
      <c r="G58" s="999"/>
      <c r="H58" s="1002" t="str">
        <f t="shared" si="8"/>
        <v>——</v>
      </c>
      <c r="I58" s="3065">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2043</v>
      </c>
      <c r="B60" s="1261"/>
      <c r="C60" s="1261" t="s">
        <v>2045</v>
      </c>
      <c r="D60" s="1261" t="s">
        <v>2046</v>
      </c>
      <c r="E60" s="700" t="s">
        <v>2047</v>
      </c>
      <c r="F60" s="1970" t="s">
        <v>2062</v>
      </c>
      <c r="G60" s="1261" t="s">
        <v>310</v>
      </c>
      <c r="H60" s="1971" t="s">
        <v>2049</v>
      </c>
      <c r="I60" s="1261" t="s">
        <v>2050</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hidden="1">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4">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hidden="1">
      <c r="A62" s="1969" t="s">
        <v>2052</v>
      </c>
      <c r="B62" s="1261">
        <f>估价对象房地状况!C18</f>
        <v>0</v>
      </c>
      <c r="C62" s="1886"/>
      <c r="D62" s="1001">
        <f t="shared" si="12"/>
        <v>0</v>
      </c>
      <c r="E62" s="702"/>
      <c r="F62" s="1674"/>
      <c r="G62" s="999"/>
      <c r="H62" s="1002" t="str">
        <f t="shared" si="13"/>
        <v>——</v>
      </c>
      <c r="I62" s="3064">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66" t="s">
        <v>3261</v>
      </c>
      <c r="B63" s="1261">
        <f>估价对象房地状况!C19</f>
        <v>0</v>
      </c>
      <c r="C63" s="1886"/>
      <c r="D63" s="1001">
        <f t="shared" si="12"/>
        <v>0</v>
      </c>
      <c r="E63" s="702"/>
      <c r="F63" s="1674"/>
      <c r="G63" s="999"/>
      <c r="H63" s="1002" t="str">
        <f t="shared" si="13"/>
        <v>——</v>
      </c>
      <c r="I63" s="3064">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2053</v>
      </c>
      <c r="B64" s="1973" t="s">
        <v>2054</v>
      </c>
      <c r="C64" s="1886"/>
      <c r="D64" s="1001">
        <f t="shared" si="12"/>
        <v>0</v>
      </c>
      <c r="E64" s="702"/>
      <c r="F64" s="1674"/>
      <c r="G64" s="999"/>
      <c r="H64" s="1002" t="str">
        <f t="shared" si="13"/>
        <v>——</v>
      </c>
      <c r="I64" s="3064">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2055</v>
      </c>
      <c r="B65" s="1261">
        <f>估价对象房地状况!C24</f>
        <v>0</v>
      </c>
      <c r="C65" s="1886"/>
      <c r="D65" s="1001">
        <f t="shared" si="12"/>
        <v>0</v>
      </c>
      <c r="E65" s="702"/>
      <c r="F65" s="1674"/>
      <c r="G65" s="999"/>
      <c r="H65" s="1002" t="str">
        <f t="shared" si="13"/>
        <v>——</v>
      </c>
      <c r="I65" s="3064">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2056</v>
      </c>
      <c r="B66" s="1974" t="s">
        <v>2057</v>
      </c>
      <c r="C66" s="1886"/>
      <c r="D66" s="1001">
        <f t="shared" si="12"/>
        <v>0</v>
      </c>
      <c r="E66" s="702"/>
      <c r="F66" s="1674"/>
      <c r="G66" s="999"/>
      <c r="H66" s="1002" t="str">
        <f t="shared" si="13"/>
        <v>——</v>
      </c>
      <c r="I66" s="3064">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hidden="1">
      <c r="A67" s="1969" t="s">
        <v>2058</v>
      </c>
      <c r="B67" s="1239">
        <f>估价对象房地状况!C21</f>
        <v>0</v>
      </c>
      <c r="C67" s="1886"/>
      <c r="D67" s="1001">
        <f t="shared" si="12"/>
        <v>0</v>
      </c>
      <c r="E67" s="702"/>
      <c r="F67" s="1674"/>
      <c r="G67" s="999"/>
      <c r="H67" s="1002" t="str">
        <f t="shared" si="13"/>
        <v>——</v>
      </c>
      <c r="I67" s="3064">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hidden="1">
      <c r="A68" s="1969" t="s">
        <v>2059</v>
      </c>
      <c r="B68" s="1239">
        <f>估价对象房地状况!C22</f>
        <v>0</v>
      </c>
      <c r="C68" s="1886"/>
      <c r="D68" s="1001">
        <f t="shared" si="12"/>
        <v>0</v>
      </c>
      <c r="E68" s="702"/>
      <c r="F68" s="1674"/>
      <c r="G68" s="999"/>
      <c r="H68" s="1002" t="str">
        <f t="shared" si="13"/>
        <v>——</v>
      </c>
      <c r="I68" s="3064">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hidden="1" thickBot="1">
      <c r="A69" s="1976" t="s">
        <v>2060</v>
      </c>
      <c r="B69" s="1978">
        <f>估价对象房地状况!C20</f>
        <v>0</v>
      </c>
      <c r="C69" s="1886"/>
      <c r="D69" s="1001">
        <f t="shared" si="12"/>
        <v>0</v>
      </c>
      <c r="E69" s="703"/>
      <c r="F69" s="1674"/>
      <c r="G69" s="999"/>
      <c r="H69" s="1002" t="str">
        <f t="shared" si="13"/>
        <v>——</v>
      </c>
      <c r="I69" s="3065">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2043</v>
      </c>
      <c r="B71" s="1261"/>
      <c r="C71" s="1261" t="s">
        <v>2045</v>
      </c>
      <c r="D71" s="1261" t="s">
        <v>2046</v>
      </c>
      <c r="E71" s="700" t="s">
        <v>2047</v>
      </c>
      <c r="F71" s="1970" t="s">
        <v>2062</v>
      </c>
      <c r="G71" s="1261" t="s">
        <v>310</v>
      </c>
      <c r="H71" s="1971" t="s">
        <v>2049</v>
      </c>
      <c r="I71" s="1261" t="s">
        <v>2050</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hidden="1">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4">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hidden="1">
      <c r="A73" s="1969" t="s">
        <v>2052</v>
      </c>
      <c r="B73" s="1261">
        <f>估价对象房地状况!C18</f>
        <v>0</v>
      </c>
      <c r="C73" s="1886"/>
      <c r="D73" s="1001">
        <f t="shared" si="17"/>
        <v>0</v>
      </c>
      <c r="E73" s="704"/>
      <c r="F73" s="1674"/>
      <c r="G73" s="999"/>
      <c r="H73" s="1002" t="str">
        <f t="shared" si="18"/>
        <v>——</v>
      </c>
      <c r="I73" s="3064">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66" t="s">
        <v>3261</v>
      </c>
      <c r="B74" s="1261">
        <f>估价对象房地状况!C19</f>
        <v>0</v>
      </c>
      <c r="C74" s="1886"/>
      <c r="D74" s="1001">
        <f t="shared" si="17"/>
        <v>0</v>
      </c>
      <c r="E74" s="704"/>
      <c r="F74" s="1674"/>
      <c r="G74" s="999"/>
      <c r="H74" s="1002" t="str">
        <f t="shared" si="18"/>
        <v>——</v>
      </c>
      <c r="I74" s="3064">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2066</v>
      </c>
      <c r="B75" s="1261">
        <f>估价对象房地状况!C24</f>
        <v>0</v>
      </c>
      <c r="C75" s="1886"/>
      <c r="D75" s="1001">
        <f t="shared" si="17"/>
        <v>0</v>
      </c>
      <c r="E75" s="704"/>
      <c r="F75" s="1674"/>
      <c r="G75" s="999"/>
      <c r="H75" s="1002" t="str">
        <f t="shared" si="18"/>
        <v>——</v>
      </c>
      <c r="I75" s="3064">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hidden="1">
      <c r="A76" s="1969" t="s">
        <v>2058</v>
      </c>
      <c r="B76" s="1239">
        <f>估价对象房地状况!C21</f>
        <v>0</v>
      </c>
      <c r="C76" s="1886"/>
      <c r="D76" s="1001">
        <f t="shared" si="17"/>
        <v>0</v>
      </c>
      <c r="E76" s="704"/>
      <c r="F76" s="1674"/>
      <c r="G76" s="999"/>
      <c r="H76" s="1002" t="str">
        <f t="shared" si="18"/>
        <v>——</v>
      </c>
      <c r="I76" s="3064">
        <v>0.08</v>
      </c>
      <c r="J76" s="1000">
        <f t="shared" si="19"/>
        <v>0</v>
      </c>
      <c r="K76" s="1000">
        <f t="shared" si="20"/>
        <v>0</v>
      </c>
      <c r="L76" s="1000">
        <v>0</v>
      </c>
      <c r="M76" s="1000">
        <f t="shared" si="21"/>
        <v>0</v>
      </c>
      <c r="N76" s="1000">
        <f t="shared" si="21"/>
        <v>0</v>
      </c>
      <c r="O76" s="1055"/>
      <c r="P76" s="1055"/>
      <c r="Z76" s="1844"/>
      <c r="AA76" s="1894"/>
      <c r="AG76" s="1057"/>
      <c r="AK76" s="1894"/>
    </row>
    <row r="77" spans="1:37" ht="24" hidden="1">
      <c r="A77" s="1969" t="s">
        <v>2059</v>
      </c>
      <c r="B77" s="1239">
        <f>估价对象房地状况!C22</f>
        <v>0</v>
      </c>
      <c r="C77" s="1886"/>
      <c r="D77" s="1001">
        <f t="shared" si="17"/>
        <v>0</v>
      </c>
      <c r="E77" s="704"/>
      <c r="F77" s="1674"/>
      <c r="G77" s="999"/>
      <c r="H77" s="1002" t="str">
        <f t="shared" si="18"/>
        <v>——</v>
      </c>
      <c r="I77" s="3064">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2056</v>
      </c>
      <c r="B78" s="1974" t="s">
        <v>2057</v>
      </c>
      <c r="C78" s="1886"/>
      <c r="D78" s="1001">
        <f t="shared" si="17"/>
        <v>0</v>
      </c>
      <c r="E78" s="704"/>
      <c r="F78" s="1674"/>
      <c r="G78" s="999"/>
      <c r="H78" s="1002" t="str">
        <f t="shared" si="18"/>
        <v>——</v>
      </c>
      <c r="I78" s="3064">
        <v>0.05</v>
      </c>
      <c r="J78" s="1000">
        <f t="shared" si="19"/>
        <v>0</v>
      </c>
      <c r="K78" s="1000">
        <f t="shared" si="20"/>
        <v>0</v>
      </c>
      <c r="L78" s="1000">
        <v>0</v>
      </c>
      <c r="M78" s="1000">
        <f t="shared" si="21"/>
        <v>0</v>
      </c>
      <c r="N78" s="1000">
        <f t="shared" si="21"/>
        <v>0</v>
      </c>
      <c r="O78" s="1843"/>
      <c r="P78" s="1843"/>
      <c r="Z78" s="1844"/>
      <c r="AA78" s="1894"/>
      <c r="AG78" s="1057"/>
      <c r="AK78" s="1894"/>
    </row>
    <row r="79" spans="1:37" ht="24" hidden="1">
      <c r="A79" s="1969" t="s">
        <v>2060</v>
      </c>
      <c r="B79" s="1972">
        <f>估价对象房地状况!C20</f>
        <v>0</v>
      </c>
      <c r="C79" s="1886"/>
      <c r="D79" s="1001">
        <f t="shared" si="17"/>
        <v>0</v>
      </c>
      <c r="E79" s="704"/>
      <c r="F79" s="1674"/>
      <c r="G79" s="999"/>
      <c r="H79" s="1002" t="str">
        <f t="shared" si="18"/>
        <v>——</v>
      </c>
      <c r="I79" s="3064">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2067</v>
      </c>
      <c r="B80" s="1980"/>
      <c r="C80" s="1886"/>
      <c r="D80" s="1001">
        <f t="shared" si="17"/>
        <v>0</v>
      </c>
      <c r="E80" s="705"/>
      <c r="F80" s="1674"/>
      <c r="G80" s="999"/>
      <c r="H80" s="1002" t="str">
        <f t="shared" si="18"/>
        <v>——</v>
      </c>
      <c r="I80" s="3065">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1.0135000000000001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1721</v>
      </c>
      <c r="K82" s="530" t="s">
        <v>1722</v>
      </c>
      <c r="L82" s="530" t="s">
        <v>1723</v>
      </c>
      <c r="M82" s="530" t="s">
        <v>1724</v>
      </c>
      <c r="N82" s="530" t="s">
        <v>1725</v>
      </c>
      <c r="Z82" s="1844"/>
      <c r="AA82" s="1894"/>
      <c r="AG82" s="1057"/>
      <c r="AK82" s="1894"/>
    </row>
    <row r="83" spans="1:37" ht="24">
      <c r="A83" s="1969" t="s">
        <v>2069</v>
      </c>
      <c r="B83" s="1261" t="str">
        <f>估价对象房地状况!G15</f>
        <v>一般</v>
      </c>
      <c r="C83" s="1886" t="s">
        <v>3420</v>
      </c>
      <c r="D83" s="1001">
        <f t="shared" ref="D83:D90" si="22">SUMIF($J$82:$N$82,C83,J83:N83)</f>
        <v>6.4999999999999997E-3</v>
      </c>
      <c r="E83" s="701">
        <f>ROUND(SUM(D83:D90),4)</f>
        <v>1.35E-2</v>
      </c>
      <c r="F83" s="1674">
        <f>IF(E2="工业",SUMIF(L1:L12,G2,N1:N12),"——")</f>
        <v>0.05</v>
      </c>
      <c r="G83" s="999">
        <v>6.4999999999999997E-3</v>
      </c>
      <c r="H83" s="1002">
        <f t="shared" ref="H83:H90" si="23">IFERROR(ROUNDDOWN($F$83*I83/2,4),"——")</f>
        <v>6.4999999999999997E-3</v>
      </c>
      <c r="I83" s="3064">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14.25">
      <c r="A84" s="1969" t="s">
        <v>2052</v>
      </c>
      <c r="B84" s="1261" t="str">
        <f>估价对象房地状况!G16</f>
        <v>较差</v>
      </c>
      <c r="C84" s="1886" t="s">
        <v>3421</v>
      </c>
      <c r="D84" s="1001">
        <f t="shared" si="22"/>
        <v>0</v>
      </c>
      <c r="E84" s="704"/>
      <c r="F84" s="1674"/>
      <c r="G84" s="999">
        <v>7.4999999999999997E-3</v>
      </c>
      <c r="H84" s="1002">
        <f t="shared" si="23"/>
        <v>7.4999999999999997E-3</v>
      </c>
      <c r="I84" s="3064">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66" t="s">
        <v>3262</v>
      </c>
      <c r="B85" s="1261">
        <f>估价对象房地状况!G17</f>
        <v>0</v>
      </c>
      <c r="C85" s="1886" t="s">
        <v>3420</v>
      </c>
      <c r="D85" s="1001">
        <f t="shared" si="22"/>
        <v>2.5000000000000001E-3</v>
      </c>
      <c r="E85" s="704"/>
      <c r="F85" s="1674"/>
      <c r="G85" s="999">
        <v>2.5000000000000001E-3</v>
      </c>
      <c r="H85" s="1002">
        <f t="shared" si="23"/>
        <v>2.5000000000000001E-3</v>
      </c>
      <c r="I85" s="3064">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2066</v>
      </c>
      <c r="B86" s="1261">
        <f>估价对象房地状况!G22</f>
        <v>0</v>
      </c>
      <c r="C86" s="1886" t="s">
        <v>3421</v>
      </c>
      <c r="D86" s="1001">
        <f t="shared" si="22"/>
        <v>0</v>
      </c>
      <c r="E86" s="704"/>
      <c r="F86" s="1674"/>
      <c r="G86" s="999">
        <v>1.1999999999999999E-3</v>
      </c>
      <c r="H86" s="1002">
        <f t="shared" si="23"/>
        <v>1.1999999999999999E-3</v>
      </c>
      <c r="I86" s="3064">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4">
      <c r="A87" s="1969" t="s">
        <v>2058</v>
      </c>
      <c r="B87" s="1239" t="str">
        <f>估价对象房地状况!G19</f>
        <v>较差</v>
      </c>
      <c r="C87" s="1886" t="s">
        <v>3421</v>
      </c>
      <c r="D87" s="1001">
        <f t="shared" si="22"/>
        <v>0</v>
      </c>
      <c r="E87" s="704"/>
      <c r="F87" s="1674"/>
      <c r="G87" s="999">
        <v>1.5E-3</v>
      </c>
      <c r="H87" s="1002">
        <f t="shared" si="23"/>
        <v>1.5E-3</v>
      </c>
      <c r="I87" s="3064">
        <v>0.06</v>
      </c>
      <c r="J87" s="1000">
        <f t="shared" si="24"/>
        <v>3.0000000000000001E-3</v>
      </c>
      <c r="K87" s="1000">
        <f t="shared" si="25"/>
        <v>1.5E-3</v>
      </c>
      <c r="L87" s="1000">
        <v>0</v>
      </c>
      <c r="M87" s="1000">
        <f t="shared" si="26"/>
        <v>-1.5E-3</v>
      </c>
      <c r="N87" s="1000">
        <f t="shared" si="26"/>
        <v>-3.0000000000000001E-3</v>
      </c>
    </row>
    <row r="88" spans="1:37" ht="24">
      <c r="A88" s="1969" t="s">
        <v>2059</v>
      </c>
      <c r="B88" s="1239" t="str">
        <f>估价对象房地状况!G20</f>
        <v>七通</v>
      </c>
      <c r="C88" s="1886" t="s">
        <v>3420</v>
      </c>
      <c r="D88" s="1001">
        <f t="shared" si="22"/>
        <v>3.0000000000000001E-3</v>
      </c>
      <c r="E88" s="704"/>
      <c r="F88" s="1674"/>
      <c r="G88" s="999">
        <v>3.0000000000000001E-3</v>
      </c>
      <c r="H88" s="1002">
        <f t="shared" si="23"/>
        <v>3.0000000000000001E-3</v>
      </c>
      <c r="I88" s="3064">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2056</v>
      </c>
      <c r="B89" s="1974" t="s">
        <v>2070</v>
      </c>
      <c r="C89" s="1886" t="s">
        <v>3420</v>
      </c>
      <c r="D89" s="1001">
        <f t="shared" si="22"/>
        <v>1.5E-3</v>
      </c>
      <c r="E89" s="704"/>
      <c r="F89" s="1674"/>
      <c r="G89" s="999">
        <v>1.5E-3</v>
      </c>
      <c r="H89" s="1002">
        <f t="shared" si="23"/>
        <v>1.5E-3</v>
      </c>
      <c r="I89" s="3064">
        <v>0.06</v>
      </c>
      <c r="J89" s="1000">
        <f t="shared" si="24"/>
        <v>3.0000000000000001E-3</v>
      </c>
      <c r="K89" s="1000">
        <f t="shared" si="25"/>
        <v>1.5E-3</v>
      </c>
      <c r="L89" s="1000">
        <v>0</v>
      </c>
      <c r="M89" s="1000">
        <f t="shared" si="26"/>
        <v>-1.5E-3</v>
      </c>
      <c r="N89" s="1000">
        <f t="shared" si="26"/>
        <v>-3.0000000000000001E-3</v>
      </c>
    </row>
    <row r="90" spans="1:37" ht="15" thickBot="1">
      <c r="A90" s="1976" t="s">
        <v>2071</v>
      </c>
      <c r="B90" s="1981" t="str">
        <f>估价对象房地状况!G18</f>
        <v>一般</v>
      </c>
      <c r="C90" s="1886" t="s">
        <v>3421</v>
      </c>
      <c r="D90" s="1001">
        <f t="shared" si="22"/>
        <v>0</v>
      </c>
      <c r="E90" s="705"/>
      <c r="F90" s="1674"/>
      <c r="G90" s="999">
        <v>1.1999999999999999E-3</v>
      </c>
      <c r="H90" s="1002">
        <f t="shared" si="23"/>
        <v>1.1999999999999999E-3</v>
      </c>
      <c r="I90" s="3065">
        <v>0.05</v>
      </c>
      <c r="J90" s="1000">
        <f t="shared" si="24"/>
        <v>2.3999999999999998E-3</v>
      </c>
      <c r="K90" s="1000">
        <f t="shared" si="25"/>
        <v>1.1999999999999999E-3</v>
      </c>
      <c r="L90" s="1000">
        <v>0</v>
      </c>
      <c r="M90" s="1000">
        <f t="shared" si="26"/>
        <v>-1.1999999999999999E-3</v>
      </c>
      <c r="N90" s="1000">
        <f t="shared" si="26"/>
        <v>-2.3999999999999998E-3</v>
      </c>
    </row>
    <row r="91" spans="1:37" ht="15">
      <c r="A91" s="3074" t="s">
        <v>2604</v>
      </c>
      <c r="B91" s="3075">
        <f>1+E93</f>
        <v>1</v>
      </c>
      <c r="C91" s="3068"/>
      <c r="D91" s="3069"/>
      <c r="E91" s="1674"/>
      <c r="F91" s="1674"/>
      <c r="G91" s="3070"/>
      <c r="H91" s="3071"/>
      <c r="I91" s="3072"/>
      <c r="J91" s="3073"/>
      <c r="K91" s="3073"/>
      <c r="L91" s="3073"/>
      <c r="M91" s="3073"/>
      <c r="N91" s="3073"/>
    </row>
    <row r="92" spans="1:37" ht="24.75">
      <c r="A92" s="3076" t="s">
        <v>3263</v>
      </c>
      <c r="B92" s="2307"/>
      <c r="C92" s="2307" t="s">
        <v>3272</v>
      </c>
      <c r="D92" s="2307" t="s">
        <v>3273</v>
      </c>
      <c r="E92" s="3048" t="s">
        <v>3274</v>
      </c>
      <c r="F92" s="3078" t="s">
        <v>3275</v>
      </c>
      <c r="G92" s="2307" t="s">
        <v>3276</v>
      </c>
      <c r="H92" s="3085" t="s">
        <v>3279</v>
      </c>
      <c r="I92" s="2307" t="s">
        <v>3280</v>
      </c>
      <c r="J92" s="2149" t="s">
        <v>3281</v>
      </c>
      <c r="K92" s="2149" t="s">
        <v>3282</v>
      </c>
      <c r="L92" s="2149" t="s">
        <v>3283</v>
      </c>
      <c r="M92" s="2149" t="s">
        <v>3284</v>
      </c>
      <c r="N92" s="2149" t="s">
        <v>3285</v>
      </c>
    </row>
    <row r="93" spans="1:37" ht="24">
      <c r="A93" s="3066" t="s">
        <v>3264</v>
      </c>
      <c r="B93" s="1220"/>
      <c r="C93" s="1886"/>
      <c r="D93" s="2307">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14.25">
      <c r="A94" s="3076" t="s">
        <v>3265</v>
      </c>
      <c r="B94" s="3067">
        <f>估价对象房地状况!C18</f>
        <v>0</v>
      </c>
      <c r="C94" s="1886"/>
      <c r="D94" s="2307">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36">
      <c r="A95" s="3066" t="s">
        <v>3261</v>
      </c>
      <c r="B95" s="3067">
        <f>估价对象房地状况!C19</f>
        <v>0</v>
      </c>
      <c r="C95" s="1886"/>
      <c r="D95" s="2307">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6.75">
      <c r="A96" s="3076" t="s">
        <v>3266</v>
      </c>
      <c r="B96" s="3082" t="s">
        <v>3277</v>
      </c>
      <c r="C96" s="1886"/>
      <c r="D96" s="2307">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3267</v>
      </c>
      <c r="B97" s="3067">
        <f>估价对象房地状况!C24</f>
        <v>0</v>
      </c>
      <c r="C97" s="1886"/>
      <c r="D97" s="2307">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24">
      <c r="A98" s="3076" t="s">
        <v>3268</v>
      </c>
      <c r="B98" s="3083" t="s">
        <v>3278</v>
      </c>
      <c r="C98" s="1886"/>
      <c r="D98" s="2307">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4">
      <c r="A99" s="3076" t="s">
        <v>3269</v>
      </c>
      <c r="B99" s="3067">
        <f>估价对象房地状况!C21</f>
        <v>0</v>
      </c>
      <c r="C99" s="1886"/>
      <c r="D99" s="2307">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4">
      <c r="A100" s="3076" t="s">
        <v>3270</v>
      </c>
      <c r="B100" s="3067">
        <f>估价对象房地状况!C22</f>
        <v>0</v>
      </c>
      <c r="C100" s="1886"/>
      <c r="D100" s="2307">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24.75" thickBot="1">
      <c r="A101" s="3077" t="s">
        <v>3271</v>
      </c>
      <c r="B101" s="3084">
        <f>估价对象房地状况!C20</f>
        <v>0</v>
      </c>
      <c r="C101" s="1886"/>
      <c r="D101" s="2307">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418" t="s">
        <v>3286</v>
      </c>
      <c r="B103" s="3418"/>
      <c r="C103" s="3418"/>
      <c r="D103" s="3418"/>
      <c r="E103" s="3418"/>
      <c r="F103" s="3418"/>
      <c r="G103" s="3418"/>
      <c r="H103" s="3418"/>
      <c r="I103" s="3418"/>
      <c r="J103" s="3418"/>
      <c r="K103" s="1666"/>
      <c r="L103" s="1666"/>
      <c r="M103" s="1666"/>
      <c r="N103" s="1666"/>
    </row>
    <row r="104" spans="1:14">
      <c r="A104" s="3419" t="s">
        <v>3287</v>
      </c>
      <c r="B104" s="3419" t="s">
        <v>3288</v>
      </c>
      <c r="C104" s="3086" t="s">
        <v>3289</v>
      </c>
      <c r="D104" s="3087"/>
      <c r="E104" s="3087"/>
      <c r="F104" s="3087"/>
      <c r="G104" s="3087"/>
      <c r="H104" s="3087"/>
      <c r="I104" s="3087"/>
      <c r="J104" s="3088"/>
      <c r="K104" s="3089"/>
      <c r="L104" s="3089"/>
      <c r="M104" s="3089"/>
      <c r="N104" s="3089"/>
    </row>
    <row r="105" spans="1:14">
      <c r="A105" s="3419"/>
      <c r="B105" s="3419"/>
      <c r="C105" s="3090" t="s">
        <v>3290</v>
      </c>
      <c r="D105" s="3090" t="s">
        <v>3291</v>
      </c>
      <c r="E105" s="3090" t="s">
        <v>3292</v>
      </c>
      <c r="F105" s="3090" t="s">
        <v>3293</v>
      </c>
      <c r="G105" s="3090" t="s">
        <v>3294</v>
      </c>
      <c r="H105" s="3090" t="s">
        <v>3295</v>
      </c>
      <c r="I105" s="3090" t="s">
        <v>3296</v>
      </c>
      <c r="J105" s="3090" t="s">
        <v>3297</v>
      </c>
      <c r="K105" s="3090" t="s">
        <v>3298</v>
      </c>
      <c r="L105" s="3090" t="s">
        <v>3299</v>
      </c>
      <c r="M105" s="3090" t="s">
        <v>3300</v>
      </c>
      <c r="N105" s="3090" t="s">
        <v>3301</v>
      </c>
    </row>
    <row r="106" spans="1:14">
      <c r="A106" s="3405" t="s">
        <v>3302</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06"/>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06"/>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06"/>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06"/>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06"/>
      <c r="B111" s="3090" t="s">
        <v>3260</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07"/>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08" t="s">
        <v>3303</v>
      </c>
      <c r="B113" s="3408"/>
      <c r="C113" s="3408"/>
      <c r="D113" s="3408"/>
      <c r="E113" s="3408"/>
      <c r="F113" s="3408"/>
      <c r="G113" s="3408"/>
      <c r="H113" s="3408"/>
      <c r="I113" s="3408"/>
      <c r="J113" s="3408"/>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5" thickBot="1">
      <c r="A115" s="3093"/>
      <c r="B115" s="3093"/>
      <c r="C115" s="3093"/>
      <c r="D115" s="3093"/>
      <c r="E115" s="3093"/>
      <c r="F115" s="3093"/>
      <c r="G115" s="3093"/>
      <c r="H115" s="3093"/>
      <c r="I115" s="3093"/>
      <c r="J115" s="3093"/>
      <c r="K115" s="1963"/>
      <c r="L115" s="3093"/>
      <c r="M115" s="3093"/>
      <c r="N115" s="3093"/>
    </row>
    <row r="116" spans="1:14" ht="25.5" thickBot="1">
      <c r="A116" s="3094" t="s">
        <v>3304</v>
      </c>
      <c r="B116" s="3110">
        <f>G3</f>
        <v>1</v>
      </c>
      <c r="C116" s="3095" t="s">
        <v>3305</v>
      </c>
      <c r="D116" s="3096">
        <f>SUMPRODUCT((A118:A122=F116)*(B117:M117=H116)*B118:M122)</f>
        <v>0.57150000000000001</v>
      </c>
      <c r="E116" s="162" t="s">
        <v>3306</v>
      </c>
      <c r="F116" s="3097" t="str">
        <f>E2</f>
        <v>工业</v>
      </c>
      <c r="G116" s="162" t="s">
        <v>3307</v>
      </c>
      <c r="H116" s="3097" t="str">
        <f>G2</f>
        <v>九级</v>
      </c>
      <c r="I116" s="162"/>
      <c r="J116" s="3098"/>
      <c r="K116" s="3098"/>
      <c r="L116" s="3098"/>
      <c r="M116" s="3098"/>
      <c r="N116" s="3093"/>
    </row>
    <row r="117" spans="1:14">
      <c r="A117" s="3099"/>
      <c r="B117" s="3100" t="s">
        <v>3308</v>
      </c>
      <c r="C117" s="3100" t="s">
        <v>3309</v>
      </c>
      <c r="D117" s="3100" t="s">
        <v>3310</v>
      </c>
      <c r="E117" s="3101" t="s">
        <v>3311</v>
      </c>
      <c r="F117" s="3101" t="s">
        <v>3312</v>
      </c>
      <c r="G117" s="3101" t="s">
        <v>3313</v>
      </c>
      <c r="H117" s="3102" t="s">
        <v>3314</v>
      </c>
      <c r="I117" s="3102" t="s">
        <v>3315</v>
      </c>
      <c r="J117" s="3103" t="s">
        <v>3316</v>
      </c>
      <c r="K117" s="3103" t="s">
        <v>3317</v>
      </c>
      <c r="L117" s="3103" t="s">
        <v>3318</v>
      </c>
      <c r="M117" s="3104" t="s">
        <v>3319</v>
      </c>
      <c r="N117" s="3093"/>
    </row>
    <row r="118" spans="1:14">
      <c r="A118" s="3053" t="s">
        <v>3320</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3321</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3322</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5" thickBot="1">
      <c r="A121" s="3106" t="s">
        <v>3323</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2604</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K38" sqref="K3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3</v>
      </c>
      <c r="C1" s="190"/>
      <c r="D1" s="190"/>
      <c r="E1" s="190"/>
      <c r="F1" s="190"/>
      <c r="G1" s="1061">
        <f>MATCH(B1,'数据-取费表'!A6:A16,0)+5</f>
        <v>6</v>
      </c>
    </row>
    <row r="2" spans="1:9" s="192" customFormat="1" ht="18" customHeight="1">
      <c r="A2" s="193" t="s">
        <v>1462</v>
      </c>
      <c r="B2" s="194">
        <f ca="1">IF(D2="——",C52,C52-E2)</f>
        <v>2896</v>
      </c>
      <c r="C2" s="191" t="s">
        <v>1463</v>
      </c>
      <c r="D2" s="1710" t="s">
        <v>3547</v>
      </c>
      <c r="E2" s="1088">
        <f ca="1">SUMIF(INDIRECT("'"&amp;G2&amp;"'"&amp;"!A:A"),"承租人权益价值",INDIRECT("'"&amp;G2&amp;"'"&amp;"!c:c"))</f>
        <v>371</v>
      </c>
      <c r="F2" s="1711" t="s">
        <v>1463</v>
      </c>
      <c r="G2" s="1712" t="s">
        <v>3445</v>
      </c>
    </row>
    <row r="3" spans="1:9" s="192" customFormat="1" ht="18" customHeight="1" thickBot="1">
      <c r="A3" s="195" t="s">
        <v>1464</v>
      </c>
      <c r="B3" s="196">
        <f ca="1">ROUND(B2*10000/(IF(B1="",'数据-汇总表'!E3,INDIRECT("'数据-取费表'!k"&amp;$G$1))),0)</f>
        <v>12157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2225</v>
      </c>
      <c r="D5" s="203" t="s">
        <v>1469</v>
      </c>
      <c r="E5" s="204" t="s">
        <v>1470</v>
      </c>
      <c r="F5" s="204" t="s">
        <v>1471</v>
      </c>
      <c r="G5" s="205"/>
    </row>
    <row r="6" spans="1:9" s="206" customFormat="1" ht="13.5" customHeight="1">
      <c r="A6" s="731" t="s">
        <v>1472</v>
      </c>
      <c r="B6" s="207" t="s">
        <v>1473</v>
      </c>
      <c r="C6" s="208">
        <f>'土地比较法-工业'!B2</f>
        <v>2131</v>
      </c>
      <c r="D6" s="209"/>
      <c r="E6" s="210"/>
      <c r="F6" s="210"/>
      <c r="G6" s="211"/>
    </row>
    <row r="7" spans="1:9" s="206" customFormat="1" ht="13.5" customHeight="1">
      <c r="A7" s="731" t="s">
        <v>1474</v>
      </c>
      <c r="B7" s="207" t="s">
        <v>1475</v>
      </c>
      <c r="C7" s="212">
        <f>ROUND(C6*F7,0)</f>
        <v>65</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29</v>
      </c>
      <c r="D8" s="214"/>
      <c r="E8" s="212"/>
      <c r="F8" s="213"/>
      <c r="G8" s="1713" t="s">
        <v>3422</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t="s">
        <v>3423</v>
      </c>
      <c r="H9" s="1069"/>
      <c r="I9" s="1715" t="s">
        <v>1479</v>
      </c>
    </row>
    <row r="10" spans="1:9" s="206" customFormat="1" ht="13.5" customHeight="1">
      <c r="A10" s="732" t="s">
        <v>356</v>
      </c>
      <c r="B10" s="216" t="s">
        <v>1480</v>
      </c>
      <c r="C10" s="217">
        <f ca="1">ROUND(D10*E10/10000,0)</f>
        <v>29</v>
      </c>
      <c r="D10" s="794">
        <f ca="1">IF(B1="",'数据-汇总表'!E6,IF(INDIRECT("'数据-取费表'!c"&amp;$G$1)="住宅",INDIRECT("'数据-取费表'!s"&amp;$G$1),INDIRECT("'数据-取费表'!k"&amp;$G$1)+INDIRECT("'数据-取费表'!s"&amp;$G$1)))</f>
        <v>2382.1000000000004</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2382.1000000000004</v>
      </c>
      <c r="E19" s="203">
        <f>'数据-取费表'!B31</f>
        <v>180</v>
      </c>
      <c r="F19" s="223"/>
      <c r="G19" s="1713" t="s">
        <v>3424</v>
      </c>
    </row>
    <row r="20" spans="1:7" s="206" customFormat="1" ht="13.5" customHeight="1">
      <c r="A20" s="247" t="s">
        <v>1493</v>
      </c>
      <c r="B20" s="202" t="s">
        <v>1494</v>
      </c>
      <c r="C20" s="224">
        <f ca="1">ROUND((C5+C19)*F20,0)</f>
        <v>45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70</v>
      </c>
      <c r="D22" s="227">
        <f ca="1">C26</f>
        <v>2.9999999999999997E-4</v>
      </c>
      <c r="E22" s="228" t="s">
        <v>1498</v>
      </c>
      <c r="F22" s="229">
        <f ca="1">'数据-取费表'!B40</f>
        <v>3.1E-2</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69</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1</v>
      </c>
      <c r="D25" s="230"/>
      <c r="E25" s="233"/>
      <c r="F25" s="231"/>
      <c r="G25" s="234" t="s">
        <v>1510</v>
      </c>
    </row>
    <row r="26" spans="1:7" s="206" customFormat="1">
      <c r="A26" s="733"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114</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ROUND((C5+C19+C20)*F27*'数据-取费表'!B21/'数据-取费表'!B20,0)</f>
        <v>114</v>
      </c>
      <c r="D28" s="227"/>
      <c r="E28" s="228"/>
      <c r="F28" s="238"/>
      <c r="G28" s="239"/>
    </row>
    <row r="29" spans="1:7" s="206" customFormat="1" ht="13.5" customHeight="1">
      <c r="A29" s="733"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2649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723</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643</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48</v>
      </c>
      <c r="D37" s="209">
        <f ca="1">D19</f>
        <v>2382.1000000000004</v>
      </c>
      <c r="E37" s="241">
        <f>'数据-取费表'!B35</f>
        <v>200</v>
      </c>
      <c r="F37" s="251"/>
      <c r="G37" s="253" t="s">
        <v>1532</v>
      </c>
    </row>
    <row r="38" spans="1:7" ht="13.5" customHeight="1">
      <c r="A38" s="733" t="s">
        <v>354</v>
      </c>
      <c r="B38" s="207" t="s">
        <v>1533</v>
      </c>
      <c r="C38" s="212">
        <f ca="1">ROUND(C34*F38,0)</f>
        <v>13</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11</v>
      </c>
      <c r="D42" s="230"/>
      <c r="E42" s="230"/>
      <c r="F42" s="231"/>
      <c r="G42" s="3424" t="s">
        <v>1544</v>
      </c>
    </row>
    <row r="43" spans="1:7" ht="13.5" customHeight="1">
      <c r="A43" s="733" t="s">
        <v>347</v>
      </c>
      <c r="B43" s="207" t="s">
        <v>1545</v>
      </c>
      <c r="C43" s="230">
        <f ca="1">ROUND(IF('数据-取费表'!B22&lt;=1,C39*F22*'数据-取费表'!B21/2,C39*(POWER((1+F22),'数据-取费表'!B21/2)-1)),0)</f>
        <v>0</v>
      </c>
      <c r="D43" s="230"/>
      <c r="E43" s="230"/>
      <c r="F43" s="231"/>
      <c r="G43" s="3425"/>
    </row>
    <row r="44" spans="1:7" ht="13.5" customHeight="1">
      <c r="A44" s="733" t="s">
        <v>348</v>
      </c>
      <c r="B44" s="207" t="s">
        <v>1546</v>
      </c>
      <c r="C44" s="230">
        <f ca="1">ROUND(IF('数据-取费表'!B22&lt;=1,C40*F22*'数据-取费表'!B21/2,C40*(POWER((1+F22),'数据-取费表'!B21/2)-1)),4)</f>
        <v>2.9999999999999997E-4</v>
      </c>
      <c r="D44" s="230"/>
      <c r="E44" s="230"/>
      <c r="F44" s="231"/>
      <c r="G44" s="3426"/>
    </row>
    <row r="45" spans="1:7" s="206" customFormat="1" ht="13.5" customHeight="1">
      <c r="A45" s="247" t="s">
        <v>1547</v>
      </c>
      <c r="B45" s="236" t="s">
        <v>1513</v>
      </c>
      <c r="C45" s="237">
        <f ca="1">C46</f>
        <v>37</v>
      </c>
      <c r="D45" s="227">
        <f ca="1">C47</f>
        <v>1E-3</v>
      </c>
      <c r="E45" s="228" t="s">
        <v>1539</v>
      </c>
      <c r="F45" s="238">
        <f ca="1">F27</f>
        <v>0.05</v>
      </c>
      <c r="G45" s="239" t="s">
        <v>1548</v>
      </c>
    </row>
    <row r="46" spans="1:7" s="206" customFormat="1" ht="13.5" customHeight="1">
      <c r="A46" s="733" t="s">
        <v>346</v>
      </c>
      <c r="B46" s="240" t="s">
        <v>1549</v>
      </c>
      <c r="C46" s="241">
        <f ca="1">ROUND((C33+C39)*F27,0)</f>
        <v>37</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847</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618</v>
      </c>
      <c r="D51" s="224"/>
      <c r="E51" s="224"/>
      <c r="F51" s="256"/>
      <c r="G51" s="226" t="s">
        <v>1560</v>
      </c>
    </row>
    <row r="52" spans="1:7" s="200" customFormat="1" ht="16.5" thickBot="1">
      <c r="A52" s="257" t="s">
        <v>1561</v>
      </c>
      <c r="B52" s="258"/>
      <c r="C52" s="259">
        <f ca="1">C31+C51</f>
        <v>3267</v>
      </c>
      <c r="D52" s="258"/>
      <c r="E52" s="258"/>
      <c r="F52" s="258"/>
      <c r="G52" s="260"/>
    </row>
    <row r="55" spans="1:7" ht="15">
      <c r="B55" s="262" t="s">
        <v>1562</v>
      </c>
      <c r="C55" s="263"/>
    </row>
    <row r="56" spans="1:7">
      <c r="B56" s="265" t="s">
        <v>802</v>
      </c>
      <c r="C56" s="267">
        <f ca="1">1-C57</f>
        <v>0.81099999999999994</v>
      </c>
    </row>
    <row r="57" spans="1:7">
      <c r="B57" s="265" t="s">
        <v>803</v>
      </c>
      <c r="C57" s="266">
        <f ca="1">ROUND(C51/C52,3)</f>
        <v>0.189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8">
        <f ca="1">ROUND(IF(D2="——",C52/10000,C52/10000-E2),4)</f>
        <v>704.25980000000004</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2956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285852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285852</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285852</v>
      </c>
      <c r="D10" s="794">
        <f ca="1">IF(B1="",'数据-汇总表'!E6,IF(INDIRECT("'数据-取费表'!c"&amp;$G$1)="住宅",INDIRECT("'数据-取费表'!s"&amp;$G$1),INDIRECT("'数据-取费表'!k"&amp;$G$1)+INDIRECT("'数据-取费表'!s"&amp;$G$1)))</f>
        <v>2382.1000000000004</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428778</v>
      </c>
      <c r="D19" s="204">
        <f ca="1">D9+D10</f>
        <v>2382.1000000000004</v>
      </c>
      <c r="E19" s="203">
        <f>'数据-取费表'!B31</f>
        <v>180</v>
      </c>
      <c r="F19" s="223"/>
      <c r="G19" s="1713"/>
    </row>
    <row r="20" spans="1:7" s="206" customFormat="1" ht="13.5" customHeight="1">
      <c r="A20" s="247" t="s">
        <v>1574</v>
      </c>
      <c r="B20" s="202" t="s">
        <v>1575</v>
      </c>
      <c r="C20" s="224">
        <f ca="1">ROUND((C5+C19)*F20,0)</f>
        <v>14293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22375</v>
      </c>
      <c r="D22" s="227">
        <f ca="1">C26</f>
        <v>2.9999999999999997E-4</v>
      </c>
      <c r="E22" s="228" t="s">
        <v>1579</v>
      </c>
      <c r="F22" s="229">
        <f ca="1">'数据-取费表'!B40</f>
        <v>3.1E-2</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8861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13292</v>
      </c>
      <c r="D24" s="230"/>
      <c r="E24" s="230"/>
      <c r="F24" s="231"/>
      <c r="G24" s="232" t="s">
        <v>1586</v>
      </c>
    </row>
    <row r="25" spans="1:7" s="206" customFormat="1" ht="24">
      <c r="A25" s="733" t="s">
        <v>1476</v>
      </c>
      <c r="B25" s="207" t="s">
        <v>1587</v>
      </c>
      <c r="C25" s="230">
        <f ca="1">ROUND(IF('数据-取费表'!B22&lt;=1,C20*F22*'数据-取费表'!B22/2,C20*(POWER((1+F22),'数据-取费表'!B22/2)-1)),0)</f>
        <v>222</v>
      </c>
      <c r="D25" s="230"/>
      <c r="E25" s="233"/>
      <c r="F25" s="231"/>
      <c r="G25" s="234" t="s">
        <v>1588</v>
      </c>
    </row>
    <row r="26" spans="1:7" s="206" customFormat="1">
      <c r="A26" s="733"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36446</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ROUND((C5+C19+C20)*F27,0)</f>
        <v>36446</v>
      </c>
      <c r="D28" s="227"/>
      <c r="E28" s="228"/>
      <c r="F28" s="238"/>
      <c r="G28" s="239"/>
    </row>
    <row r="29" spans="1:7" s="206" customFormat="1" ht="13.5" customHeight="1">
      <c r="A29" s="733"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850420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7229673</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6431670</v>
      </c>
      <c r="D34" s="209"/>
      <c r="E34" s="212"/>
      <c r="F34" s="249"/>
      <c r="G34" s="211"/>
    </row>
    <row r="35" spans="1:7" ht="13.5" customHeight="1">
      <c r="A35" s="733" t="s">
        <v>351</v>
      </c>
      <c r="B35" s="207" t="s">
        <v>1527</v>
      </c>
      <c r="C35" s="212">
        <f ca="1">ROUND(C34*F35,0)</f>
        <v>192950</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476420</v>
      </c>
      <c r="D37" s="209">
        <f ca="1">D19</f>
        <v>2382.1000000000004</v>
      </c>
      <c r="E37" s="241">
        <f>'数据-取费表'!B35</f>
        <v>200</v>
      </c>
      <c r="F37" s="251"/>
      <c r="G37" s="253"/>
    </row>
    <row r="38" spans="1:7" ht="13.5" customHeight="1">
      <c r="A38" s="733" t="s">
        <v>354</v>
      </c>
      <c r="B38" s="207" t="s">
        <v>1533</v>
      </c>
      <c r="C38" s="212">
        <f ca="1">ROUND(C34*F38,0)</f>
        <v>128633</v>
      </c>
      <c r="D38" s="212"/>
      <c r="E38" s="212"/>
      <c r="F38" s="251">
        <f>'数据-取费表'!B36</f>
        <v>0.02</v>
      </c>
      <c r="G38" s="211" t="s">
        <v>1528</v>
      </c>
    </row>
    <row r="39" spans="1:7" s="206" customFormat="1" ht="13.5" customHeight="1">
      <c r="A39" s="247" t="s">
        <v>1534</v>
      </c>
      <c r="B39" s="202" t="s">
        <v>1535</v>
      </c>
      <c r="C39" s="224">
        <f ca="1">ROUND(C33*F20,0)</f>
        <v>144593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114301</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112060</v>
      </c>
      <c r="D42" s="230"/>
      <c r="E42" s="230"/>
      <c r="F42" s="231"/>
      <c r="G42" s="3424" t="s">
        <v>1591</v>
      </c>
    </row>
    <row r="43" spans="1:7" ht="13.5" customHeight="1">
      <c r="A43" s="733" t="s">
        <v>347</v>
      </c>
      <c r="B43" s="207" t="s">
        <v>1545</v>
      </c>
      <c r="C43" s="230">
        <f ca="1">ROUND(IF('数据-取费表'!B22&lt;=1,C39*F22*'数据-取费表'!B20/2,C39*(POWER((1+F22),'数据-取费表'!B20/2)-1)),0)</f>
        <v>2241</v>
      </c>
      <c r="D43" s="230"/>
      <c r="E43" s="230"/>
      <c r="F43" s="231"/>
      <c r="G43" s="3425"/>
    </row>
    <row r="44" spans="1:7" ht="13.5" customHeight="1">
      <c r="A44" s="733" t="s">
        <v>348</v>
      </c>
      <c r="B44" s="207" t="s">
        <v>1546</v>
      </c>
      <c r="C44" s="230">
        <f ca="1">ROUND(IF('数据-取费表'!B22&lt;=1,C40*F22*'数据-取费表'!B20/2,C40*(POWER((1+F22),'数据-取费表'!B20/2)-1)),4)</f>
        <v>2.9999999999999997E-4</v>
      </c>
      <c r="D44" s="230"/>
      <c r="E44" s="230"/>
      <c r="F44" s="231"/>
      <c r="G44" s="3426"/>
    </row>
    <row r="45" spans="1:7" s="206" customFormat="1" ht="13.5" customHeight="1">
      <c r="A45" s="247" t="s">
        <v>1547</v>
      </c>
      <c r="B45" s="236" t="s">
        <v>1513</v>
      </c>
      <c r="C45" s="237">
        <f ca="1">C46</f>
        <v>368713</v>
      </c>
      <c r="D45" s="227">
        <f ca="1">C47</f>
        <v>1E-3</v>
      </c>
      <c r="E45" s="228" t="s">
        <v>1539</v>
      </c>
      <c r="F45" s="238">
        <f ca="1">F27</f>
        <v>0.05</v>
      </c>
      <c r="G45" s="239" t="s">
        <v>1548</v>
      </c>
    </row>
    <row r="46" spans="1:7" s="206" customFormat="1" ht="13.5" customHeight="1">
      <c r="A46" s="733" t="s">
        <v>346</v>
      </c>
      <c r="B46" s="240" t="s">
        <v>1549</v>
      </c>
      <c r="C46" s="241">
        <f ca="1">ROUND((C33+C39)*F27,0)</f>
        <v>368713</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8482435</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6192178</v>
      </c>
      <c r="D51" s="224"/>
      <c r="E51" s="224"/>
      <c r="F51" s="256"/>
      <c r="G51" s="226" t="s">
        <v>1560</v>
      </c>
    </row>
    <row r="52" spans="1:7" s="200" customFormat="1" ht="16.5" thickBot="1">
      <c r="A52" s="257" t="s">
        <v>1561</v>
      </c>
      <c r="B52" s="258"/>
      <c r="C52" s="259">
        <f ca="1">C31+C51</f>
        <v>7042598</v>
      </c>
      <c r="D52" s="258"/>
      <c r="E52" s="258"/>
      <c r="F52" s="258"/>
      <c r="G52" s="260"/>
    </row>
    <row r="55" spans="1:7" ht="15">
      <c r="B55" s="262" t="s">
        <v>1562</v>
      </c>
      <c r="C55" s="263"/>
    </row>
    <row r="56" spans="1:7">
      <c r="B56" s="265" t="s">
        <v>802</v>
      </c>
      <c r="C56" s="267">
        <f ca="1">1-C57</f>
        <v>0.121</v>
      </c>
    </row>
    <row r="57" spans="1:7">
      <c r="B57" s="265" t="s">
        <v>803</v>
      </c>
      <c r="C57" s="266">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2382.1000000000004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2382.1000000000004</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29</v>
      </c>
      <c r="D20" s="795">
        <f ca="1">IF(C1="",'数据-汇总表'!E6,IF(INDIRECT("'数据-取费表'!c"&amp;$K$1)="住宅",INDIRECT("'数据-取费表'!s"&amp;$K$1),INDIRECT("'数据-取费表'!k"&amp;$K$1)+INDIRECT("'数据-取费表'!s"&amp;$K$1)))</f>
        <v>2382.1000000000004</v>
      </c>
      <c r="E20" s="21">
        <f>'数据-取费表'!B28</f>
        <v>120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0.05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Normal="70" zoomScaleSheetLayoutView="100" workbookViewId="0">
      <selection activeCell="J22" sqref="J22:J2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v>
      </c>
      <c r="D1" s="1270" t="s">
        <v>43</v>
      </c>
      <c r="E1" s="1271" t="s">
        <v>678</v>
      </c>
      <c r="F1" s="998">
        <f ca="1">J53</f>
        <v>23.03</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1197</v>
      </c>
      <c r="C2" s="1288" t="s">
        <v>805</v>
      </c>
      <c r="D2" s="1288"/>
      <c r="E2" s="1294"/>
      <c r="F2" s="1295"/>
      <c r="G2" s="2474"/>
      <c r="H2" s="2464"/>
      <c r="I2" s="2464"/>
      <c r="J2" s="2464"/>
      <c r="K2" s="2465"/>
      <c r="L2" s="2464"/>
      <c r="M2" s="2464"/>
    </row>
    <row r="3" spans="1:37" ht="18" customHeight="1" thickBot="1">
      <c r="A3" s="1296" t="s">
        <v>806</v>
      </c>
      <c r="B3" s="1297">
        <f ca="1">IF(ISERROR(B2*10000/F43),0,ROUND(B2*10000/F43,0))</f>
        <v>5025</v>
      </c>
      <c r="C3" s="1288" t="s">
        <v>807</v>
      </c>
      <c r="D3" s="1288"/>
      <c r="E3" s="1294"/>
      <c r="F3" s="1295"/>
      <c r="G3" s="2474"/>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59</v>
      </c>
      <c r="D5" s="1272" t="s">
        <v>693</v>
      </c>
      <c r="E5" s="1007"/>
      <c r="F5" s="1008"/>
      <c r="G5" s="1291"/>
      <c r="H5" s="291">
        <v>1</v>
      </c>
      <c r="I5" s="292" t="s">
        <v>692</v>
      </c>
      <c r="J5" s="1006">
        <f ca="1">J6+J10+J12</f>
        <v>140</v>
      </c>
      <c r="K5" s="1272" t="s">
        <v>693</v>
      </c>
      <c r="L5" s="1007"/>
      <c r="M5" s="1008"/>
    </row>
    <row r="6" spans="1:37" ht="18" customHeight="1">
      <c r="A6" s="1005" t="s">
        <v>398</v>
      </c>
      <c r="B6" s="3429" t="s">
        <v>694</v>
      </c>
      <c r="C6" s="1010">
        <f ca="1">ROUND(F6*F8*F7*(1-F9)/10000,0)</f>
        <v>58</v>
      </c>
      <c r="D6" s="147" t="s">
        <v>2108</v>
      </c>
      <c r="E6" s="294" t="s">
        <v>696</v>
      </c>
      <c r="F6" s="295">
        <f ca="1">INDIRECT("'数据-取费表'!u"&amp;$G$1)</f>
        <v>0.67</v>
      </c>
      <c r="G6" s="1291"/>
      <c r="H6" s="1005" t="s">
        <v>398</v>
      </c>
      <c r="I6" s="3429" t="s">
        <v>694</v>
      </c>
      <c r="J6" s="293">
        <f ca="1">ROUND(M6*M8*M7*(1-M9)/10000,0)</f>
        <v>140</v>
      </c>
      <c r="K6" s="147" t="s">
        <v>2107</v>
      </c>
      <c r="L6" s="294" t="s">
        <v>696</v>
      </c>
      <c r="M6" s="295">
        <f ca="1">INDIRECT("'数据-取费表'!z"&amp;$G$1)</f>
        <v>1.79</v>
      </c>
    </row>
    <row r="7" spans="1:37" ht="18" customHeight="1">
      <c r="A7" s="1009"/>
      <c r="B7" s="3430"/>
      <c r="C7" s="1011"/>
      <c r="D7" s="299"/>
      <c r="E7" s="1012" t="s">
        <v>697</v>
      </c>
      <c r="F7" s="295">
        <f ca="1">IF(INDIRECT("'数据-取费表'!ah"&amp;$G$1)="",INDIRECT("'数据-取费表'!k"&amp;$G$1),INDIRECT("'数据-取费表'!ah"&amp;$G$1))</f>
        <v>2382.1000000000004</v>
      </c>
      <c r="G7" s="1291"/>
      <c r="H7" s="296"/>
      <c r="I7" s="3430"/>
      <c r="J7" s="298"/>
      <c r="K7" s="299"/>
      <c r="L7" s="294" t="s">
        <v>697</v>
      </c>
      <c r="M7" s="295">
        <f ca="1">F7</f>
        <v>2382.1000000000004</v>
      </c>
    </row>
    <row r="8" spans="1:37" ht="18" customHeight="1">
      <c r="A8" s="296"/>
      <c r="B8" s="3430"/>
      <c r="C8" s="298"/>
      <c r="D8" s="299"/>
      <c r="E8" s="294" t="s">
        <v>698</v>
      </c>
      <c r="F8" s="295">
        <f ca="1">INDIRECT("'数据-取费表'!ai"&amp;$G$1)</f>
        <v>365</v>
      </c>
      <c r="G8" s="1291"/>
      <c r="H8" s="296"/>
      <c r="I8" s="3430"/>
      <c r="J8" s="298"/>
      <c r="K8" s="299"/>
      <c r="L8" s="294" t="s">
        <v>698</v>
      </c>
      <c r="M8" s="295">
        <f ca="1">INDIRECT("'数据-取费表'!ai"&amp;$G$1)</f>
        <v>365</v>
      </c>
    </row>
    <row r="9" spans="1:37" ht="18" customHeight="1">
      <c r="A9" s="296"/>
      <c r="B9" s="3431"/>
      <c r="C9" s="298"/>
      <c r="D9" s="299"/>
      <c r="E9" s="294" t="s">
        <v>699</v>
      </c>
      <c r="F9" s="304">
        <f ca="1">INDIRECT("'数据-取费表'!w"&amp;$G$1)</f>
        <v>0</v>
      </c>
      <c r="G9" s="1291"/>
      <c r="H9" s="296"/>
      <c r="I9" s="3431"/>
      <c r="J9" s="298"/>
      <c r="K9" s="299"/>
      <c r="L9" s="305" t="s">
        <v>699</v>
      </c>
      <c r="M9" s="306">
        <f ca="1">INDIRECT("'数据-取费表'!ab"&amp;$G$1)</f>
        <v>0.1</v>
      </c>
    </row>
    <row r="10" spans="1:37" ht="18" customHeight="1">
      <c r="A10" s="1005" t="s">
        <v>402</v>
      </c>
      <c r="B10" s="1273" t="s">
        <v>700</v>
      </c>
      <c r="C10" s="308">
        <f ca="1">ROUND(IF(F10="押一",C6/12*F11,IF(F10="押二",C6/12*2*F11,IF(F10="押三",C6/12*3*F11,C11*F11))),0)</f>
        <v>1</v>
      </c>
      <c r="D10" s="150" t="s">
        <v>2116</v>
      </c>
      <c r="E10" s="305" t="s">
        <v>701</v>
      </c>
      <c r="F10" s="1052" t="s">
        <v>3446</v>
      </c>
      <c r="G10" s="1291"/>
      <c r="H10" s="1005" t="s">
        <v>402</v>
      </c>
      <c r="I10" s="1273" t="s">
        <v>700</v>
      </c>
      <c r="J10" s="293">
        <f ca="1">ROUND(IF(M10="押一",J6/12*M11,IF(M10="押二",J6/12*2*M11,IF(M10="押三",J6/12*3*M11,J11*M11))),0)</f>
        <v>0</v>
      </c>
      <c r="K10" s="150" t="s">
        <v>2115</v>
      </c>
      <c r="L10" s="305" t="s">
        <v>701</v>
      </c>
      <c r="M10" s="1052" t="s">
        <v>3447</v>
      </c>
    </row>
    <row r="11" spans="1:37" ht="18" customHeight="1">
      <c r="A11" s="300"/>
      <c r="B11" s="1274" t="s">
        <v>679</v>
      </c>
      <c r="C11" s="904">
        <v>48</v>
      </c>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618</v>
      </c>
      <c r="D13" s="1017" t="s">
        <v>705</v>
      </c>
      <c r="E13" s="1017" t="s">
        <v>706</v>
      </c>
      <c r="F13" s="1018">
        <f ca="1">INDIRECT("'数据-取费表'!y"&amp;$G$1)</f>
        <v>0.73</v>
      </c>
      <c r="G13" s="1291"/>
      <c r="H13" s="1015">
        <v>2</v>
      </c>
      <c r="I13" s="1016" t="s">
        <v>704</v>
      </c>
      <c r="J13" s="1004">
        <f ca="1">ROUND(J14*J15,0)</f>
        <v>508</v>
      </c>
      <c r="K13" s="1023" t="s">
        <v>705</v>
      </c>
      <c r="L13" s="1298"/>
      <c r="M13" s="1299"/>
    </row>
    <row r="14" spans="1:37" ht="18" customHeight="1">
      <c r="A14" s="927" t="s">
        <v>397</v>
      </c>
      <c r="B14" s="294" t="s">
        <v>707</v>
      </c>
      <c r="C14" s="310">
        <f ca="1">INDIRECT("'数据-取费表'!m"&amp;$G$1)+INDIRECT("'数据-取费表'!t"&amp;$G$1)</f>
        <v>643</v>
      </c>
      <c r="D14" s="1256" t="s">
        <v>708</v>
      </c>
      <c r="E14" s="1254"/>
      <c r="F14" s="311"/>
      <c r="G14" s="1291"/>
      <c r="H14" s="927" t="s">
        <v>398</v>
      </c>
      <c r="I14" s="294" t="s">
        <v>709</v>
      </c>
      <c r="J14" s="21">
        <f ca="1">C29</f>
        <v>847</v>
      </c>
      <c r="K14" s="12"/>
      <c r="L14" s="758"/>
      <c r="M14" s="759"/>
    </row>
    <row r="15" spans="1:37" s="1303" customFormat="1" ht="18" customHeight="1" thickBot="1">
      <c r="A15" s="927" t="s">
        <v>399</v>
      </c>
      <c r="B15" s="294" t="s">
        <v>710</v>
      </c>
      <c r="C15" s="21">
        <f ca="1">ROUND(C14*F15,0)</f>
        <v>19</v>
      </c>
      <c r="D15" s="312" t="s">
        <v>711</v>
      </c>
      <c r="E15" s="312" t="s">
        <v>712</v>
      </c>
      <c r="F15" s="313">
        <f>'数据-取费表'!B33</f>
        <v>0.03</v>
      </c>
      <c r="G15" s="1302"/>
      <c r="H15" s="1025" t="s">
        <v>402</v>
      </c>
      <c r="I15" s="1026" t="s">
        <v>706</v>
      </c>
      <c r="J15" s="1035">
        <f ca="1">INDIRECT("'数据-取费表'!ad"&amp;$G$1)</f>
        <v>0.6</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31</v>
      </c>
      <c r="K16" s="1023" t="s">
        <v>715</v>
      </c>
      <c r="L16" s="1024"/>
      <c r="M16" s="1008"/>
    </row>
    <row r="17" spans="1:37" s="1303" customFormat="1" ht="18" customHeight="1">
      <c r="A17" s="927" t="s">
        <v>681</v>
      </c>
      <c r="B17" s="294" t="s">
        <v>716</v>
      </c>
      <c r="C17" s="21">
        <f ca="1">ROUND(F17*(F43+INDIRECT("'数据-取费表'!S"&amp;$G$1))/10000,0)</f>
        <v>48</v>
      </c>
      <c r="D17" s="294" t="s">
        <v>717</v>
      </c>
      <c r="E17" s="294" t="s">
        <v>718</v>
      </c>
      <c r="F17" s="23">
        <f>'数据-取费表'!B35</f>
        <v>200</v>
      </c>
      <c r="G17" s="1302"/>
      <c r="H17" s="927" t="s">
        <v>398</v>
      </c>
      <c r="I17" s="294" t="s">
        <v>719</v>
      </c>
      <c r="J17" s="2139">
        <f ca="1">ROUND(IF(AND(项目基本情况!B11="自然人",项目基本情况!B10="北京市"),J6*M17/(1+'数据-取费表'!C42),J18+J19+J20),2)</f>
        <v>24.95</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13</v>
      </c>
      <c r="D18" s="294" t="s">
        <v>711</v>
      </c>
      <c r="E18" s="294" t="s">
        <v>712</v>
      </c>
      <c r="F18" s="314">
        <f>'数据-取费表'!B36</f>
        <v>0.02</v>
      </c>
      <c r="G18" s="1302"/>
      <c r="H18" s="927" t="s">
        <v>397</v>
      </c>
      <c r="I18" s="294" t="s">
        <v>723</v>
      </c>
      <c r="J18" s="21">
        <f ca="1">ROUND(J6*M18/(1+'数据-取费表'!C42),2)</f>
        <v>7.33</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723</v>
      </c>
      <c r="D19" s="123" t="s">
        <v>726</v>
      </c>
      <c r="E19" s="1268"/>
      <c r="F19" s="23"/>
      <c r="G19" s="1291"/>
      <c r="H19" s="927" t="s">
        <v>399</v>
      </c>
      <c r="I19" s="294" t="s">
        <v>727</v>
      </c>
      <c r="J19" s="21">
        <f ca="1">IF(K19="按租金收入计税",ROUND(J6*M19/(1+'数据-取费表'!C42),2),ROUND(C29*M19*0.7,2))</f>
        <v>16</v>
      </c>
      <c r="K19" s="1277" t="s">
        <v>3328</v>
      </c>
      <c r="L19" s="294" t="s">
        <v>712</v>
      </c>
      <c r="M19" s="314">
        <f>IF(K19="按租金收入计税",'数据-取费表'!B51,'数据-取费表'!B50)</f>
        <v>0.12</v>
      </c>
    </row>
    <row r="20" spans="1:37" s="1303" customFormat="1" ht="18" customHeight="1">
      <c r="A20" s="927" t="s">
        <v>402</v>
      </c>
      <c r="B20" s="294" t="s">
        <v>728</v>
      </c>
      <c r="C20" s="21">
        <f ca="1">ROUND(C19*F20,0)</f>
        <v>14</v>
      </c>
      <c r="D20" s="315" t="s">
        <v>729</v>
      </c>
      <c r="E20" s="294" t="s">
        <v>712</v>
      </c>
      <c r="F20" s="314">
        <f>'数据-取费表'!B37</f>
        <v>0.02</v>
      </c>
      <c r="G20" s="1302"/>
      <c r="H20" s="927" t="s">
        <v>680</v>
      </c>
      <c r="I20" s="147" t="s">
        <v>730</v>
      </c>
      <c r="J20" s="22">
        <f ca="1">ROUND(M20*M21/10000,2)</f>
        <v>1.62</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10810.26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4.24</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11</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0.51</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ROUND(J5*M24,2)</f>
        <v>1.4</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109</v>
      </c>
      <c r="K25" s="1031" t="s">
        <v>753</v>
      </c>
      <c r="L25" s="1032"/>
      <c r="M25" s="1033"/>
    </row>
    <row r="26" spans="1:37">
      <c r="A26" s="927" t="s">
        <v>397</v>
      </c>
      <c r="B26" s="294" t="s">
        <v>754</v>
      </c>
      <c r="C26" s="21">
        <f ca="1">ROUND((C19+C20)*F26,0)</f>
        <v>37</v>
      </c>
      <c r="D26" s="315" t="s">
        <v>755</v>
      </c>
      <c r="E26" s="305" t="s">
        <v>756</v>
      </c>
      <c r="F26" s="304">
        <f ca="1">INDIRECT("'数据-取费表'!q"&amp;$G$1)</f>
        <v>0.05</v>
      </c>
      <c r="G26" s="1291"/>
      <c r="H26" s="291" t="s">
        <v>395</v>
      </c>
      <c r="I26" s="292" t="s">
        <v>757</v>
      </c>
      <c r="J26" s="293">
        <f ca="1">IF(J5&lt;&gt;0,ROUND(J25*(1-((1+M28)/(1+M26))^M27)/(M26-M28),0),0)</f>
        <v>1266</v>
      </c>
      <c r="K26" s="316" t="s">
        <v>758</v>
      </c>
      <c r="L26" s="294" t="s">
        <v>759</v>
      </c>
      <c r="M26" s="304">
        <f ca="1">INDIRECT("'数据-取费表'!I"&amp;$G$1)</f>
        <v>0.05</v>
      </c>
    </row>
    <row r="27" spans="1:37" ht="18" customHeight="1">
      <c r="A27" s="927" t="s">
        <v>399</v>
      </c>
      <c r="B27" s="294" t="s">
        <v>760</v>
      </c>
      <c r="C27" s="21">
        <f ca="1">ROUND(F21*F26,4)</f>
        <v>1E-3</v>
      </c>
      <c r="D27" s="315" t="s">
        <v>761</v>
      </c>
      <c r="E27" s="312"/>
      <c r="F27" s="313"/>
      <c r="G27" s="1291"/>
      <c r="H27" s="296"/>
      <c r="I27" s="297"/>
      <c r="J27" s="298"/>
      <c r="K27" s="323" t="s">
        <v>762</v>
      </c>
      <c r="L27" s="294" t="s">
        <v>763</v>
      </c>
      <c r="M27" s="324">
        <f ca="1">INDIRECT("'数据-取费表'!ag"&amp;$G$1)</f>
        <v>15.39</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1.4999999999999999E-2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847</v>
      </c>
      <c r="D29" s="1028"/>
      <c r="E29" s="1026"/>
      <c r="F29" s="1029"/>
      <c r="G29" s="1302"/>
      <c r="H29" s="325" t="s">
        <v>396</v>
      </c>
      <c r="I29" s="326" t="s">
        <v>768</v>
      </c>
      <c r="J29" s="327">
        <f ca="1">ROUND(J26/(1+F40)^F41,0)</f>
        <v>872</v>
      </c>
      <c r="K29" s="328" t="s">
        <v>769</v>
      </c>
      <c r="L29" s="329"/>
      <c r="M29" s="330">
        <f ca="1">INDIRECT("'数据-取费表'!k"&amp;$G$1)</f>
        <v>2382.1000000000004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17</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ROUND(IF(AND(项目基本情况!B11="自然人",项目基本情况!B10="北京市"),C6*F31/(1+'数据-取费表'!C42),C32+C33+C34),2)</f>
        <v>11.29</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IF(项目基本情况!B11="自然人","——",ROUND(C6*F32/(1+'数据-取费表'!C42),2))</f>
        <v>3.04</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IF(项目基本情况!B11="自然人","——",IF(D33="按租金收入计税",ROUND(C6*F33/(1+'数据-取费表'!C42),2),IF(D33="按房产原值计税",ROUND(C29*F33*0.7,2),INDIRECT("'数据-取费表'!Aj"&amp;$G$1))))</f>
        <v>6.63</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IF(项目基本情况!B11="自然人","——",ROUND(F34*F35/10000,2))</f>
        <v>1.62</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10810.26</v>
      </c>
      <c r="G35" s="1291"/>
      <c r="H35" s="2466"/>
      <c r="I35" s="1304"/>
      <c r="J35" s="1305"/>
      <c r="K35" s="2470"/>
      <c r="L35" s="2469"/>
      <c r="M35" s="2469"/>
    </row>
    <row r="36" spans="1:18" ht="18" customHeight="1">
      <c r="A36" s="1038" t="s">
        <v>402</v>
      </c>
      <c r="B36" s="294" t="s">
        <v>738</v>
      </c>
      <c r="C36" s="21">
        <f ca="1">ROUND(C29*F36,2)</f>
        <v>4.24</v>
      </c>
      <c r="D36" s="1255" t="s">
        <v>771</v>
      </c>
      <c r="E36" s="294" t="s">
        <v>712</v>
      </c>
      <c r="F36" s="320">
        <f ca="1">INDIRECT("'数据-取费表'!Ak"&amp;$G$1)</f>
        <v>5.0000000000000001E-3</v>
      </c>
      <c r="G36" s="1291"/>
      <c r="H36" s="2469"/>
      <c r="I36" s="1304"/>
      <c r="J36" s="1305"/>
      <c r="K36" s="2328"/>
      <c r="L36" s="2469"/>
      <c r="M36" s="2469"/>
    </row>
    <row r="37" spans="1:18" ht="18" customHeight="1">
      <c r="A37" s="927" t="s">
        <v>437</v>
      </c>
      <c r="B37" s="294" t="s">
        <v>742</v>
      </c>
      <c r="C37" s="21">
        <f ca="1">ROUND(C13*F37,2)</f>
        <v>0.62</v>
      </c>
      <c r="D37" s="1255" t="s">
        <v>743</v>
      </c>
      <c r="E37" s="294" t="s">
        <v>744</v>
      </c>
      <c r="F37" s="321">
        <f ca="1">INDIRECT("'数据-取费表'!Al"&amp;$G$1)</f>
        <v>1E-3</v>
      </c>
      <c r="G37" s="1291"/>
      <c r="H37" s="2469"/>
      <c r="I37" s="1304"/>
      <c r="J37" s="1305"/>
      <c r="K37" s="2328"/>
      <c r="L37" s="2469"/>
      <c r="M37" s="2469"/>
    </row>
    <row r="38" spans="1:18" ht="18" customHeight="1" thickBot="1">
      <c r="A38" s="1025" t="s">
        <v>684</v>
      </c>
      <c r="B38" s="1026" t="s">
        <v>728</v>
      </c>
      <c r="C38" s="1027">
        <f ca="1">ROUND(C5*F38,2)</f>
        <v>0.59</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2">
        <f ca="1">C5-C30</f>
        <v>42</v>
      </c>
      <c r="D39" s="1031" t="s">
        <v>773</v>
      </c>
      <c r="E39" s="1032"/>
      <c r="F39" s="1033"/>
      <c r="G39" s="1291"/>
      <c r="H39" s="2469"/>
      <c r="I39" s="1304"/>
      <c r="J39" s="1305"/>
      <c r="K39" s="2467"/>
      <c r="L39" s="2469"/>
      <c r="M39" s="2469"/>
    </row>
    <row r="40" spans="1:18" ht="18" customHeight="1">
      <c r="A40" s="291" t="s">
        <v>395</v>
      </c>
      <c r="B40" s="292" t="s">
        <v>774</v>
      </c>
      <c r="C40" s="293">
        <f ca="1">ROUND(C39*(1-((1+F42)/(1+F40))^F41)/(F40-F42),0)</f>
        <v>261</v>
      </c>
      <c r="D40" s="316" t="s">
        <v>758</v>
      </c>
      <c r="E40" s="294" t="s">
        <v>759</v>
      </c>
      <c r="F40" s="304">
        <f ca="1">INDIRECT("'数据-取费表'!I"&amp;$G$1)</f>
        <v>0.05</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7.64</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f ca="1">ROUND(C40*10000/F43,0)</f>
        <v>1096</v>
      </c>
      <c r="D43" s="328" t="s">
        <v>777</v>
      </c>
      <c r="E43" s="329" t="s">
        <v>778</v>
      </c>
      <c r="F43" s="330">
        <f ca="1">INDIRECT("'数据-取费表'!k"&amp;$G$1)</f>
        <v>2382.1000000000004</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5" thickBot="1">
      <c r="A46" s="1310" t="s">
        <v>809</v>
      </c>
      <c r="C46" s="1311">
        <f ca="1">C68-C40</f>
        <v>371</v>
      </c>
      <c r="D46" s="1312" t="str">
        <f>C2</f>
        <v>万元</v>
      </c>
      <c r="E46" s="1306"/>
      <c r="F46" s="1306"/>
      <c r="I46" s="1313" t="s">
        <v>810</v>
      </c>
      <c r="J46" s="1314"/>
      <c r="K46" s="1315"/>
      <c r="L46" s="1316">
        <f ca="1">IF(M47="住宅",0,IF(L48&gt;J51,L60,J60))</f>
        <v>64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3438</v>
      </c>
      <c r="K47" s="1322" t="s">
        <v>816</v>
      </c>
      <c r="L47" s="1323">
        <f ca="1">INDIRECT("'数据-取费表'!d"&amp;$G$1)</f>
        <v>50</v>
      </c>
      <c r="M47" s="1287" t="str">
        <f>IF(ISNUMBER(FIND("住宅",C1)),"住宅","非住宅")</f>
        <v>非住宅</v>
      </c>
      <c r="O47" s="1324" t="s">
        <v>403</v>
      </c>
      <c r="P47" s="1325" t="s">
        <v>817</v>
      </c>
      <c r="Q47" s="1326">
        <f ca="1">C40+J29</f>
        <v>1133</v>
      </c>
      <c r="R47" s="1326" t="s">
        <v>818</v>
      </c>
    </row>
    <row r="48" spans="1:18" s="1291" customFormat="1" ht="28.5" thickBot="1">
      <c r="A48" s="1046" t="s">
        <v>438</v>
      </c>
      <c r="B48" s="292" t="s">
        <v>692</v>
      </c>
      <c r="C48" s="1267">
        <f ca="1">C49+C53+C55</f>
        <v>125</v>
      </c>
      <c r="D48" s="1048"/>
      <c r="E48" s="1049"/>
      <c r="F48" s="907"/>
      <c r="G48" s="680"/>
      <c r="H48" s="681"/>
      <c r="I48" s="1327" t="s">
        <v>819</v>
      </c>
      <c r="J48" s="1328" t="s">
        <v>3448</v>
      </c>
      <c r="K48" s="1329" t="s">
        <v>820</v>
      </c>
      <c r="L48" s="1330">
        <f ca="1">INDIRECT("'数据-取费表'!f"&amp;$G$1)</f>
        <v>23.03</v>
      </c>
      <c r="O48" s="1324" t="s">
        <v>404</v>
      </c>
      <c r="P48" s="1325" t="s">
        <v>821</v>
      </c>
      <c r="Q48" s="1326">
        <f ca="1">J60</f>
        <v>64</v>
      </c>
      <c r="R48" s="1326" t="s">
        <v>822</v>
      </c>
    </row>
    <row r="49" spans="1:18" s="1291" customFormat="1" ht="13.5" thickBot="1">
      <c r="A49" s="920" t="s">
        <v>439</v>
      </c>
      <c r="B49" s="1278" t="s">
        <v>779</v>
      </c>
      <c r="C49" s="1050">
        <f ca="1">ROUND(F49*F51*F50*(1-F52)/10000,0)</f>
        <v>125</v>
      </c>
      <c r="D49" s="991" t="s">
        <v>2109</v>
      </c>
      <c r="E49" s="1279" t="s">
        <v>780</v>
      </c>
      <c r="F49" s="3180">
        <v>1.6</v>
      </c>
      <c r="H49" s="681"/>
      <c r="I49" s="1327" t="s">
        <v>823</v>
      </c>
      <c r="J49" s="1331">
        <v>2002</v>
      </c>
      <c r="K49" s="1329" t="s">
        <v>824</v>
      </c>
      <c r="L49" s="1332"/>
      <c r="O49" s="1333" t="s">
        <v>405</v>
      </c>
      <c r="P49" s="1325" t="s">
        <v>825</v>
      </c>
      <c r="Q49" s="1326">
        <f ca="1">C29</f>
        <v>847</v>
      </c>
      <c r="R49" s="1326" t="s">
        <v>818</v>
      </c>
    </row>
    <row r="50" spans="1:18" s="1291" customFormat="1" ht="13.5" thickBot="1">
      <c r="A50" s="921"/>
      <c r="B50" s="924"/>
      <c r="C50" s="1054"/>
      <c r="D50" s="898"/>
      <c r="E50" s="992" t="s">
        <v>697</v>
      </c>
      <c r="F50" s="993">
        <f ca="1">F7</f>
        <v>2382.1000000000004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38</v>
      </c>
      <c r="K51" s="1338" t="s">
        <v>830</v>
      </c>
      <c r="L51" s="1339">
        <f ca="1">ROUND(-PV(INDIRECT("'数据-取费表'!h"&amp;$G$1),J51,(C39-C13*C76),0),0)</f>
        <v>-23</v>
      </c>
      <c r="M51" s="1340"/>
      <c r="O51" s="1333" t="s">
        <v>407</v>
      </c>
      <c r="P51" s="1325" t="s">
        <v>831</v>
      </c>
      <c r="Q51" s="1336">
        <f>J52</f>
        <v>7.4999999999999997E-2</v>
      </c>
      <c r="R51" s="1326"/>
    </row>
    <row r="52" spans="1:18" s="1291" customFormat="1" ht="13.5" thickBot="1">
      <c r="A52" s="922"/>
      <c r="B52" s="924"/>
      <c r="C52" s="925"/>
      <c r="D52" s="898"/>
      <c r="E52" s="926" t="s">
        <v>699</v>
      </c>
      <c r="F52" s="990">
        <v>0.1</v>
      </c>
      <c r="I52" s="1341" t="s">
        <v>832</v>
      </c>
      <c r="J52" s="1342">
        <v>7.4999999999999997E-2</v>
      </c>
      <c r="K52" s="1341" t="s">
        <v>833</v>
      </c>
      <c r="L52" s="1342"/>
      <c r="O52" s="1333" t="s">
        <v>408</v>
      </c>
      <c r="P52" s="1325" t="s">
        <v>834</v>
      </c>
      <c r="Q52" s="1326">
        <f ca="1">J53</f>
        <v>23.03</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t="s">
        <v>3447</v>
      </c>
      <c r="I53" s="1343" t="s">
        <v>836</v>
      </c>
      <c r="J53" s="2005">
        <f ca="1">IF(M47="住宅",IF(D1="——",MAX(J51,L48),MAX(J51,L48-'数据-取费表'!B24)),IF(D1="——",MIN(J51,L48),MIN(J51,L48-'数据-取费表'!B24)))</f>
        <v>23.03</v>
      </c>
      <c r="K53" s="3427" t="s">
        <v>837</v>
      </c>
      <c r="L53" s="3428"/>
      <c r="O53" s="1324" t="s">
        <v>409</v>
      </c>
      <c r="P53" s="1325" t="s">
        <v>838</v>
      </c>
      <c r="Q53" s="1326">
        <f ca="1">Q47+Q48</f>
        <v>1197</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0.25</v>
      </c>
      <c r="K55" s="1349" t="s">
        <v>841</v>
      </c>
      <c r="L55" s="1350"/>
      <c r="O55" s="1317" t="s">
        <v>811</v>
      </c>
      <c r="P55" s="1318" t="s">
        <v>812</v>
      </c>
      <c r="Q55" s="1319" t="s">
        <v>813</v>
      </c>
      <c r="R55" s="1319" t="s">
        <v>814</v>
      </c>
    </row>
    <row r="56" spans="1:18" s="1291" customFormat="1" ht="25.5" thickTop="1" thickBot="1">
      <c r="A56" s="902">
        <v>2</v>
      </c>
      <c r="B56" s="903" t="s">
        <v>704</v>
      </c>
      <c r="C56" s="224">
        <f ca="1">C13</f>
        <v>618</v>
      </c>
      <c r="D56" s="1351"/>
      <c r="E56" s="1352"/>
      <c r="F56" s="1344"/>
      <c r="I56" s="1353" t="s">
        <v>842</v>
      </c>
      <c r="J56" s="1354" t="s">
        <v>3580</v>
      </c>
      <c r="K56" s="1327" t="s">
        <v>843</v>
      </c>
      <c r="L56" s="1330" t="str">
        <f ca="1">IF(L48&lt;J51,"——",L48-J53)</f>
        <v>——</v>
      </c>
      <c r="O56" s="1324" t="s">
        <v>403</v>
      </c>
      <c r="P56" s="1325" t="s">
        <v>817</v>
      </c>
      <c r="Q56" s="1326">
        <f ca="1">C40+J29</f>
        <v>1133</v>
      </c>
      <c r="R56" s="1326" t="s">
        <v>818</v>
      </c>
    </row>
    <row r="57" spans="1:18" s="1291" customFormat="1" ht="24.75" thickBot="1">
      <c r="A57" s="1355"/>
      <c r="B57" s="895" t="s">
        <v>767</v>
      </c>
      <c r="C57" s="230">
        <f ca="1">C29</f>
        <v>847</v>
      </c>
      <c r="D57" s="1356"/>
      <c r="E57" s="1357"/>
      <c r="F57" s="1358"/>
      <c r="I57" s="1359" t="s">
        <v>844</v>
      </c>
      <c r="J57" s="1360">
        <f ca="1">IF(OR(M47="住宅",J51&lt;L48,J56="是"),"——",J51-L48)</f>
        <v>14.969999999999999</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28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22</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339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6.55</v>
      </c>
      <c r="D60" s="909" t="s">
        <v>724</v>
      </c>
      <c r="E60" s="895" t="s">
        <v>712</v>
      </c>
      <c r="F60" s="322">
        <f t="shared" ref="F60:F66" si="0">F32</f>
        <v>5.5000000000000007E-2</v>
      </c>
      <c r="I60" s="1362" t="s">
        <v>853</v>
      </c>
      <c r="J60" s="1363">
        <f ca="1">IF(OR(M47="住宅",J51&lt;L48,J56="是"),"0",ROUND(J59/(1+J52)^J53,0))</f>
        <v>64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14.29</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1.62</v>
      </c>
      <c r="D62" s="910" t="s">
        <v>786</v>
      </c>
      <c r="E62" s="895" t="s">
        <v>787</v>
      </c>
      <c r="F62" s="317">
        <f t="shared" si="0"/>
        <v>1.5</v>
      </c>
      <c r="I62" s="1366" t="s">
        <v>858</v>
      </c>
      <c r="J62" s="610" t="s">
        <v>859</v>
      </c>
      <c r="K62" s="610" t="s">
        <v>860</v>
      </c>
      <c r="L62" s="610" t="s">
        <v>861</v>
      </c>
      <c r="M62" s="1367" t="s">
        <v>862</v>
      </c>
      <c r="O62" s="1324" t="s">
        <v>409</v>
      </c>
      <c r="P62" s="1325" t="s">
        <v>863</v>
      </c>
      <c r="Q62" s="1326">
        <f ca="1">Q56+Q57</f>
        <v>1133</v>
      </c>
      <c r="R62" s="1326" t="s">
        <v>410</v>
      </c>
    </row>
    <row r="63" spans="1:18" s="1291" customFormat="1" ht="13.5" thickBot="1">
      <c r="A63" s="318"/>
      <c r="B63" s="901"/>
      <c r="C63" s="26"/>
      <c r="D63" s="911"/>
      <c r="E63" s="895" t="s">
        <v>788</v>
      </c>
      <c r="F63" s="295">
        <f t="shared" ca="1" si="0"/>
        <v>10810.26</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4.24</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0.62</v>
      </c>
      <c r="D65" s="909" t="s">
        <v>743</v>
      </c>
      <c r="E65" s="895" t="s">
        <v>744</v>
      </c>
      <c r="F65" s="321">
        <f t="shared" ca="1" si="0"/>
        <v>1E-3</v>
      </c>
      <c r="I65" s="1366" t="s">
        <v>867</v>
      </c>
      <c r="J65" s="610">
        <v>40</v>
      </c>
      <c r="K65" s="610">
        <v>30</v>
      </c>
      <c r="L65" s="610">
        <v>50</v>
      </c>
      <c r="M65" s="1368">
        <v>0.02</v>
      </c>
      <c r="O65" s="1324" t="s">
        <v>403</v>
      </c>
      <c r="P65" s="1325" t="s">
        <v>868</v>
      </c>
      <c r="Q65" s="1326">
        <f ca="1">C40+J29</f>
        <v>1133</v>
      </c>
      <c r="R65" s="1326" t="s">
        <v>818</v>
      </c>
    </row>
    <row r="66" spans="1:18" s="1291" customFormat="1" ht="16.5" thickBot="1">
      <c r="A66" s="927" t="s">
        <v>793</v>
      </c>
      <c r="B66" s="895" t="s">
        <v>728</v>
      </c>
      <c r="C66" s="21">
        <f ca="1">ROUND(C48*F66,2)</f>
        <v>1.25</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97</v>
      </c>
      <c r="D67" s="908" t="s">
        <v>753</v>
      </c>
      <c r="E67" s="913"/>
      <c r="F67" s="914"/>
      <c r="O67" s="1333" t="s">
        <v>405</v>
      </c>
      <c r="P67" s="1325" t="s">
        <v>850</v>
      </c>
      <c r="Q67" s="1369">
        <f ca="1">L51</f>
        <v>-23</v>
      </c>
      <c r="R67" s="1326" t="s">
        <v>870</v>
      </c>
    </row>
    <row r="68" spans="1:18" s="1291" customFormat="1" ht="16.5" thickBot="1">
      <c r="A68" s="892" t="s">
        <v>395</v>
      </c>
      <c r="B68" s="893" t="s">
        <v>774</v>
      </c>
      <c r="C68" s="293">
        <f ca="1">ROUND(C67*(1-((1+F70)/(1+F68))^F69)/(F68-F70),0)</f>
        <v>632</v>
      </c>
      <c r="D68" s="910" t="s">
        <v>758</v>
      </c>
      <c r="E68" s="895" t="s">
        <v>759</v>
      </c>
      <c r="F68" s="304">
        <f ca="1">F40</f>
        <v>0.05</v>
      </c>
      <c r="O68" s="1333" t="s">
        <v>406</v>
      </c>
      <c r="P68" s="1370" t="s">
        <v>871</v>
      </c>
      <c r="Q68" s="1326">
        <f ca="1">ROUND(Q69-Q70*Q71,0)</f>
        <v>-1</v>
      </c>
      <c r="R68" s="1326" t="s">
        <v>414</v>
      </c>
    </row>
    <row r="69" spans="1:18" s="1291" customFormat="1" ht="13.5" thickBot="1">
      <c r="A69" s="896"/>
      <c r="B69" s="897"/>
      <c r="C69" s="298"/>
      <c r="D69" s="915" t="s">
        <v>762</v>
      </c>
      <c r="E69" s="895" t="s">
        <v>763</v>
      </c>
      <c r="F69" s="324">
        <f ca="1">F41</f>
        <v>7.64</v>
      </c>
      <c r="O69" s="1333" t="s">
        <v>411</v>
      </c>
      <c r="P69" s="1370" t="s">
        <v>872</v>
      </c>
      <c r="Q69" s="1326">
        <f ca="1">C39</f>
        <v>42</v>
      </c>
      <c r="R69" s="1326" t="s">
        <v>818</v>
      </c>
    </row>
    <row r="70" spans="1:18" s="1291" customFormat="1" ht="13.5" thickBot="1">
      <c r="A70" s="899"/>
      <c r="B70" s="900"/>
      <c r="C70" s="302"/>
      <c r="D70" s="911"/>
      <c r="E70" s="895" t="s">
        <v>766</v>
      </c>
      <c r="F70" s="990">
        <v>1.4999999999999999E-2</v>
      </c>
      <c r="O70" s="1333" t="s">
        <v>412</v>
      </c>
      <c r="P70" s="1370" t="s">
        <v>873</v>
      </c>
      <c r="Q70" s="1326">
        <f ca="1">C13</f>
        <v>618</v>
      </c>
      <c r="R70" s="1326" t="s">
        <v>818</v>
      </c>
    </row>
    <row r="71" spans="1:18" s="1291" customFormat="1" ht="13.5" thickBot="1">
      <c r="A71" s="916" t="s">
        <v>396</v>
      </c>
      <c r="B71" s="917" t="s">
        <v>776</v>
      </c>
      <c r="C71" s="327">
        <f ca="1">ROUND(C68*10000/F71,0)</f>
        <v>2653</v>
      </c>
      <c r="D71" s="918" t="s">
        <v>777</v>
      </c>
      <c r="E71" s="919" t="s">
        <v>778</v>
      </c>
      <c r="F71" s="330">
        <f ca="1">F43</f>
        <v>2382.1000000000004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43</v>
      </c>
      <c r="D75" s="1291"/>
      <c r="E75" s="1291"/>
      <c r="F75" s="1291"/>
      <c r="K75" s="1308"/>
      <c r="L75" s="1291"/>
      <c r="O75" s="1324" t="s">
        <v>409</v>
      </c>
      <c r="P75" s="1325" t="s">
        <v>838</v>
      </c>
      <c r="Q75" s="1326">
        <f ca="1">Q65+Q66</f>
        <v>1133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-2.4000000000000021E-2</v>
      </c>
    </row>
    <row r="80" spans="1:18">
      <c r="B80" s="331" t="s">
        <v>800</v>
      </c>
      <c r="C80" s="266">
        <f ca="1">ROUND(C75/C39,3)</f>
        <v>1.024</v>
      </c>
    </row>
    <row r="81" spans="2:3">
      <c r="B81" s="262" t="s">
        <v>801</v>
      </c>
      <c r="C81" s="230"/>
    </row>
    <row r="82" spans="2:3">
      <c r="B82" s="265" t="s">
        <v>802</v>
      </c>
      <c r="C82" s="267">
        <f ca="1">1-C83</f>
        <v>-1.3679999999999999</v>
      </c>
    </row>
    <row r="83" spans="2:3">
      <c r="B83" s="265" t="s">
        <v>803</v>
      </c>
      <c r="C83" s="266">
        <f ca="1">ROUND(C13/C40,3)</f>
        <v>2.3679999999999999</v>
      </c>
    </row>
  </sheetData>
  <sheetProtection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disablePrompts="1"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9" t="e">
        <f ca="1">ROUND(D2/10000,4)</f>
        <v>#DIV/0!</v>
      </c>
      <c r="C2" s="1288" t="s">
        <v>879</v>
      </c>
      <c r="D2" s="1374" t="e">
        <f ca="1">C40+J29+L46</f>
        <v>#DIV/0!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29" t="s">
        <v>694</v>
      </c>
      <c r="C6" s="1010">
        <f ca="1">ROUND(F6*F8*F7*(1-F9),0)</f>
        <v>0</v>
      </c>
      <c r="D6" s="147" t="s">
        <v>2105</v>
      </c>
      <c r="E6" s="294" t="s">
        <v>696</v>
      </c>
      <c r="F6" s="295">
        <f ca="1">INDIRECT("'数据-取费表'!u"&amp;$G$1)</f>
        <v>0</v>
      </c>
      <c r="G6" s="1291"/>
      <c r="H6" s="1005" t="s">
        <v>398</v>
      </c>
      <c r="I6" s="3429" t="s">
        <v>694</v>
      </c>
      <c r="J6" s="293">
        <f ca="1">ROUND(M6*M8*M7*(1-M9),0)</f>
        <v>0</v>
      </c>
      <c r="K6" s="1283" t="s">
        <v>2106</v>
      </c>
      <c r="L6" s="294" t="s">
        <v>696</v>
      </c>
      <c r="M6" s="295">
        <f ca="1">INDIRECT("'数据-取费表'!z"&amp;$G$1)</f>
        <v>0</v>
      </c>
    </row>
    <row r="7" spans="1:37" ht="18" customHeight="1">
      <c r="A7" s="1009"/>
      <c r="B7" s="3430"/>
      <c r="C7" s="1011"/>
      <c r="D7" s="299"/>
      <c r="E7" s="1012" t="s">
        <v>697</v>
      </c>
      <c r="F7" s="295">
        <f ca="1">IF(INDIRECT("'数据-取费表'!ah"&amp;$G$1)="",INDIRECT("'数据-取费表'!k"&amp;$G$1),INDIRECT("'数据-取费表'!ah"&amp;$G$1))</f>
        <v>0</v>
      </c>
      <c r="G7" s="1291"/>
      <c r="H7" s="296"/>
      <c r="I7" s="3430"/>
      <c r="J7" s="298"/>
      <c r="K7" s="299"/>
      <c r="L7" s="294" t="s">
        <v>697</v>
      </c>
      <c r="M7" s="295">
        <f ca="1">F7</f>
        <v>0</v>
      </c>
    </row>
    <row r="8" spans="1:37" ht="18" customHeight="1">
      <c r="A8" s="296"/>
      <c r="B8" s="3430"/>
      <c r="C8" s="298"/>
      <c r="D8" s="299"/>
      <c r="E8" s="294" t="s">
        <v>698</v>
      </c>
      <c r="F8" s="295">
        <f ca="1">INDIRECT("'数据-取费表'!ai"&amp;$G$1)</f>
        <v>0</v>
      </c>
      <c r="G8" s="1291"/>
      <c r="H8" s="296"/>
      <c r="I8" s="3430"/>
      <c r="J8" s="298"/>
      <c r="K8" s="299"/>
      <c r="L8" s="294" t="s">
        <v>698</v>
      </c>
      <c r="M8" s="295">
        <f ca="1">INDIRECT("'数据-取费表'!ai"&amp;$G$1)</f>
        <v>0</v>
      </c>
    </row>
    <row r="9" spans="1:37" ht="18" customHeight="1">
      <c r="A9" s="296"/>
      <c r="B9" s="3431"/>
      <c r="C9" s="298"/>
      <c r="D9" s="299"/>
      <c r="E9" s="294" t="s">
        <v>699</v>
      </c>
      <c r="F9" s="304">
        <f ca="1">INDIRECT("'数据-取费表'!w"&amp;$G$1)</f>
        <v>0</v>
      </c>
      <c r="G9" s="1291"/>
      <c r="H9" s="296"/>
      <c r="I9" s="343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IF(项目基本情况!B11="自然人","——",ROUND(C6*F32/(1+'数据-取费表'!C42),0))</f>
        <v>0</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0</v>
      </c>
      <c r="G35" s="1291"/>
      <c r="H35" s="2466"/>
      <c r="I35" s="1304"/>
      <c r="J35" s="1305"/>
      <c r="K35" s="2470"/>
      <c r="L35" s="2469"/>
      <c r="M35" s="2469"/>
    </row>
    <row r="36" spans="1:18" ht="18" customHeight="1">
      <c r="A36" s="1038" t="s">
        <v>402</v>
      </c>
      <c r="B36" s="294" t="s">
        <v>738</v>
      </c>
      <c r="C36" s="21">
        <f ca="1">ROUND(C29*F36,0)</f>
        <v>0</v>
      </c>
      <c r="D36" s="1255" t="s">
        <v>771</v>
      </c>
      <c r="E36" s="294" t="s">
        <v>712</v>
      </c>
      <c r="F36" s="320">
        <f ca="1">INDIRECT("'数据-取费表'!Ak"&amp;$G$1)</f>
        <v>0</v>
      </c>
      <c r="G36" s="1291"/>
      <c r="H36" s="2469"/>
      <c r="I36" s="1304"/>
      <c r="J36" s="1305"/>
      <c r="K36" s="2328"/>
      <c r="L36" s="2469"/>
      <c r="M36" s="2469"/>
    </row>
    <row r="37" spans="1:18" ht="18" customHeight="1">
      <c r="A37" s="927" t="s">
        <v>437</v>
      </c>
      <c r="B37" s="294" t="s">
        <v>742</v>
      </c>
      <c r="C37" s="21">
        <f ca="1">ROUND(C13*F37,0)</f>
        <v>0</v>
      </c>
      <c r="D37" s="1255" t="s">
        <v>743</v>
      </c>
      <c r="E37" s="294" t="s">
        <v>744</v>
      </c>
      <c r="F37" s="321">
        <f ca="1">INDIRECT("'数据-取费表'!Al"&amp;$G$1)</f>
        <v>0</v>
      </c>
      <c r="G37" s="1291"/>
      <c r="H37" s="2469"/>
      <c r="I37" s="1304"/>
      <c r="J37" s="1305"/>
      <c r="K37" s="2328"/>
      <c r="L37" s="2469"/>
      <c r="M37" s="2469"/>
    </row>
    <row r="38" spans="1:18" ht="18" customHeight="1" thickBot="1">
      <c r="A38" s="1025" t="s">
        <v>684</v>
      </c>
      <c r="B38" s="1026" t="s">
        <v>728</v>
      </c>
      <c r="C38" s="1027">
        <f ca="1">ROUND(C5*F38,0)</f>
        <v>0</v>
      </c>
      <c r="D38" s="1028" t="s">
        <v>748</v>
      </c>
      <c r="E38" s="1026" t="s">
        <v>744</v>
      </c>
      <c r="F38" s="1022">
        <f ca="1">INDIRECT("'数据-取费表'!Am"&amp;$G$1)</f>
        <v>0</v>
      </c>
      <c r="G38" s="1291"/>
      <c r="H38" s="2469"/>
      <c r="I38" s="1304"/>
      <c r="J38" s="1305"/>
      <c r="K38" s="2467"/>
      <c r="L38" s="2469"/>
      <c r="M38" s="2469"/>
    </row>
    <row r="39" spans="1:18" ht="24.6" customHeight="1" thickTop="1">
      <c r="A39" s="1015" t="s">
        <v>394</v>
      </c>
      <c r="B39" s="1030" t="s">
        <v>772</v>
      </c>
      <c r="C39" s="302">
        <f ca="1">C5-C30</f>
        <v>0</v>
      </c>
      <c r="D39" s="1031" t="s">
        <v>773</v>
      </c>
      <c r="E39" s="1032"/>
      <c r="F39" s="1033"/>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5" t="s">
        <v>3344</v>
      </c>
      <c r="B45" s="1306"/>
      <c r="C45" s="1375" t="e">
        <f ca="1">ROUND((C68-C40)/10000,4)</f>
        <v>#DIV/0!</v>
      </c>
      <c r="D45" s="3126" t="s">
        <v>3345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0</v>
      </c>
      <c r="K53" s="3427" t="s">
        <v>837</v>
      </c>
      <c r="L53" s="3428"/>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2427</v>
      </c>
      <c r="B1" s="2579"/>
      <c r="C1" s="2591"/>
      <c r="D1" s="2591"/>
      <c r="E1" s="2580"/>
      <c r="F1" s="2581"/>
      <c r="G1" s="2582"/>
      <c r="J1" s="2585" t="s">
        <v>2306</v>
      </c>
      <c r="K1" s="2586"/>
      <c r="L1" s="2586"/>
      <c r="M1" s="2586"/>
      <c r="N1" s="2586"/>
      <c r="O1" s="2586"/>
      <c r="P1" s="2586"/>
      <c r="Q1" s="2586"/>
      <c r="R1" s="2587"/>
      <c r="S1" s="2588"/>
      <c r="T1" s="2588"/>
      <c r="U1" s="2588"/>
    </row>
    <row r="2" spans="1:22" s="2600" customFormat="1" ht="13.15" customHeight="1">
      <c r="A2" s="1292" t="s">
        <v>2307</v>
      </c>
      <c r="B2" s="2590" t="e">
        <f>IF(D2="——",C40,C40+E2)</f>
        <v>#DIV/0!</v>
      </c>
      <c r="C2" s="2591" t="s">
        <v>2308</v>
      </c>
      <c r="D2" s="3134" t="s">
        <v>3351</v>
      </c>
      <c r="E2" s="3135"/>
      <c r="F2" s="2593"/>
      <c r="G2" s="2594"/>
      <c r="H2" s="2595"/>
      <c r="I2" s="2596"/>
      <c r="J2" s="3438" t="s">
        <v>2309</v>
      </c>
      <c r="K2" s="3439"/>
      <c r="L2" s="2597" t="s">
        <v>2310</v>
      </c>
      <c r="M2" s="2597" t="s">
        <v>2311</v>
      </c>
      <c r="N2" s="2597" t="s">
        <v>2312</v>
      </c>
      <c r="O2" s="2597" t="s">
        <v>2313</v>
      </c>
      <c r="P2" s="2597" t="s">
        <v>2314</v>
      </c>
      <c r="Q2" s="2598" t="s">
        <v>2315</v>
      </c>
      <c r="R2" s="2599" t="s">
        <v>2316</v>
      </c>
      <c r="S2" s="2588"/>
      <c r="T2" s="2588"/>
      <c r="U2" s="2588"/>
      <c r="V2" s="2596"/>
    </row>
    <row r="3" spans="1:22" s="2600" customFormat="1" ht="13.15" customHeight="1">
      <c r="A3" s="2601" t="s">
        <v>2317</v>
      </c>
      <c r="B3" s="2602" t="e">
        <f>ROUND(B2*10000/B4,0)</f>
        <v>#DIV/0!</v>
      </c>
      <c r="C3" s="2591" t="s">
        <v>2318</v>
      </c>
      <c r="D3" s="2591"/>
      <c r="E3" s="2592"/>
      <c r="F3" s="2593"/>
      <c r="G3" s="2594"/>
      <c r="H3" s="2595"/>
      <c r="I3" s="2596"/>
      <c r="J3" s="3440" t="s">
        <v>2319</v>
      </c>
      <c r="K3" s="3441"/>
      <c r="L3" s="2603"/>
      <c r="M3" s="2603"/>
      <c r="N3" s="2603"/>
      <c r="O3" s="2603"/>
      <c r="P3" s="2603"/>
      <c r="Q3" s="2604"/>
      <c r="R3" s="2605">
        <f>SUM(L3:Q3)</f>
        <v>0</v>
      </c>
      <c r="S3" s="2588"/>
      <c r="T3" s="2588"/>
      <c r="U3" s="2588"/>
      <c r="V3" s="2596"/>
    </row>
    <row r="4" spans="1:22" s="2600" customFormat="1" ht="13.15" customHeight="1">
      <c r="A4" s="2606" t="s">
        <v>2320</v>
      </c>
      <c r="B4" s="2607"/>
      <c r="C4" s="2591"/>
      <c r="D4" s="2591"/>
      <c r="E4" s="2592"/>
      <c r="F4" s="2593"/>
      <c r="G4" s="2594"/>
      <c r="H4" s="2595"/>
      <c r="I4" s="2596"/>
      <c r="J4" s="3440" t="s">
        <v>2321</v>
      </c>
      <c r="K4" s="3441"/>
      <c r="L4" s="2608"/>
      <c r="M4" s="2608"/>
      <c r="N4" s="2608"/>
      <c r="O4" s="2608"/>
      <c r="P4" s="2608"/>
      <c r="Q4" s="2609"/>
      <c r="R4" s="2610">
        <f>SUM(L4:Q4)</f>
        <v>0</v>
      </c>
      <c r="S4" s="2588"/>
      <c r="T4" s="2588"/>
      <c r="U4" s="2588"/>
      <c r="V4" s="2596"/>
    </row>
    <row r="5" spans="1:22" s="2600" customFormat="1" ht="13.15" customHeight="1" thickBot="1">
      <c r="A5" s="2611" t="s">
        <v>2322</v>
      </c>
      <c r="B5" s="2612"/>
      <c r="C5" s="2591"/>
      <c r="D5" s="2613"/>
      <c r="E5" s="2593"/>
      <c r="F5" s="2593"/>
      <c r="G5" s="2594"/>
      <c r="H5" s="2595"/>
      <c r="I5" s="2596"/>
      <c r="J5" s="2614" t="s">
        <v>2323</v>
      </c>
      <c r="K5" s="2615"/>
      <c r="L5" s="2615"/>
      <c r="M5" s="2616"/>
      <c r="N5" s="2616"/>
      <c r="O5" s="2616"/>
      <c r="P5" s="2616"/>
      <c r="Q5" s="2616"/>
      <c r="R5" s="2599">
        <f>SUM(R14,R19,R24,R25,R27,R28)</f>
        <v>0</v>
      </c>
      <c r="S5" s="2588"/>
      <c r="T5" s="2588" t="s">
        <v>2324</v>
      </c>
      <c r="U5" s="2588" t="e">
        <f>ROUND(R5*10000/365/R3,1)</f>
        <v>#DIV/0!</v>
      </c>
      <c r="V5" s="2596"/>
    </row>
    <row r="6" spans="1:22" s="2600" customFormat="1" ht="13.15" customHeight="1" thickBot="1">
      <c r="A6" s="3446" t="s">
        <v>2325</v>
      </c>
      <c r="B6" s="3447"/>
      <c r="C6" s="3448"/>
      <c r="D6" s="2617"/>
      <c r="E6" s="2618"/>
      <c r="F6" s="2619"/>
      <c r="G6" s="2620"/>
      <c r="H6" s="2595"/>
      <c r="I6" s="2596"/>
      <c r="J6" s="3432">
        <v>1</v>
      </c>
      <c r="K6" s="3433" t="s">
        <v>2326</v>
      </c>
      <c r="L6" s="2621" t="s">
        <v>2327</v>
      </c>
      <c r="M6" s="2622" t="s">
        <v>2328</v>
      </c>
      <c r="N6" s="2622" t="s">
        <v>2329</v>
      </c>
      <c r="O6" s="2622" t="s">
        <v>2330</v>
      </c>
      <c r="P6" s="2622" t="s">
        <v>2331</v>
      </c>
      <c r="Q6" s="2622" t="s">
        <v>2332</v>
      </c>
      <c r="R6" s="2605" t="s">
        <v>2333</v>
      </c>
      <c r="S6" s="2588"/>
      <c r="T6" s="2588" t="s">
        <v>2334</v>
      </c>
      <c r="U6" s="2588"/>
      <c r="V6" s="2596"/>
    </row>
    <row r="7" spans="1:22" s="2600" customFormat="1" ht="13.15" customHeight="1">
      <c r="A7" s="2623" t="s">
        <v>2335</v>
      </c>
      <c r="B7" s="2624"/>
      <c r="C7" s="2625"/>
      <c r="D7" s="2626">
        <f>SUM(D9,D10,D11,D17,0)</f>
        <v>0</v>
      </c>
      <c r="E7" s="2627" t="e">
        <f>E9+E10+E11+E17</f>
        <v>#DIV/0!</v>
      </c>
      <c r="F7" s="2628"/>
      <c r="G7" s="2629"/>
      <c r="H7" s="2595"/>
      <c r="I7" s="2596"/>
      <c r="J7" s="3432"/>
      <c r="K7" s="3434"/>
      <c r="L7" s="2630" t="s">
        <v>2336</v>
      </c>
      <c r="M7" s="2631"/>
      <c r="N7" s="2607"/>
      <c r="O7" s="2632"/>
      <c r="P7" s="2632"/>
      <c r="Q7" s="2633">
        <v>365</v>
      </c>
      <c r="R7" s="2634">
        <f>ROUND(M7*N7*O7*P7*Q7/10000,0)</f>
        <v>0</v>
      </c>
      <c r="S7" s="2588"/>
      <c r="T7" s="2588" t="s">
        <v>2337</v>
      </c>
      <c r="U7" s="2588"/>
      <c r="V7" s="2596"/>
    </row>
    <row r="8" spans="1:22" s="2600" customFormat="1" ht="13.15" customHeight="1">
      <c r="A8" s="2635" t="s">
        <v>2338</v>
      </c>
      <c r="B8" s="3449" t="s">
        <v>2339</v>
      </c>
      <c r="C8" s="3450"/>
      <c r="D8" s="2636" t="s">
        <v>2340</v>
      </c>
      <c r="E8" s="2637" t="s">
        <v>2341</v>
      </c>
      <c r="F8" s="2638" t="s">
        <v>2342</v>
      </c>
      <c r="G8" s="2639"/>
      <c r="H8" s="2595"/>
      <c r="I8" s="2596"/>
      <c r="J8" s="3432"/>
      <c r="K8" s="3434"/>
      <c r="L8" s="2630" t="s">
        <v>2343</v>
      </c>
      <c r="M8" s="2631"/>
      <c r="N8" s="2607"/>
      <c r="O8" s="2632"/>
      <c r="P8" s="2632"/>
      <c r="Q8" s="2633">
        <v>365</v>
      </c>
      <c r="R8" s="2634">
        <f t="shared" ref="R8:R13" si="0">ROUND(M8*N8*O8*P8*Q8/10000,0)</f>
        <v>0</v>
      </c>
      <c r="S8" s="2588"/>
      <c r="T8" s="2588" t="s">
        <v>2344</v>
      </c>
      <c r="U8" s="2588"/>
      <c r="V8" s="2596"/>
    </row>
    <row r="9" spans="1:22" s="2600" customFormat="1" ht="13.15" customHeight="1">
      <c r="A9" s="2635">
        <v>1</v>
      </c>
      <c r="B9" s="3449" t="s">
        <v>2345</v>
      </c>
      <c r="C9" s="3450"/>
      <c r="D9" s="2636">
        <f>ROUND(D6*E9,0)</f>
        <v>0</v>
      </c>
      <c r="E9" s="2640"/>
      <c r="F9" s="2641" t="s">
        <v>2346</v>
      </c>
      <c r="G9" s="2620"/>
      <c r="H9" s="2595"/>
      <c r="I9" s="2596"/>
      <c r="J9" s="3432"/>
      <c r="K9" s="3434"/>
      <c r="L9" s="2630" t="s">
        <v>2347</v>
      </c>
      <c r="M9" s="2631"/>
      <c r="N9" s="2607"/>
      <c r="O9" s="2632"/>
      <c r="P9" s="2632"/>
      <c r="Q9" s="2633">
        <v>365</v>
      </c>
      <c r="R9" s="2634">
        <f t="shared" si="0"/>
        <v>0</v>
      </c>
      <c r="S9" s="2588"/>
      <c r="T9" s="2588"/>
      <c r="U9" s="2588"/>
      <c r="V9" s="2596"/>
    </row>
    <row r="10" spans="1:22" s="2600" customFormat="1" ht="13.15" customHeight="1">
      <c r="A10" s="2635">
        <v>2</v>
      </c>
      <c r="B10" s="3449" t="s">
        <v>2348</v>
      </c>
      <c r="C10" s="3450"/>
      <c r="D10" s="2636">
        <f>ROUND(D6*E10,0)</f>
        <v>0</v>
      </c>
      <c r="E10" s="2640"/>
      <c r="F10" s="2641" t="s">
        <v>2349</v>
      </c>
      <c r="G10" s="2620"/>
      <c r="H10" s="2595"/>
      <c r="I10" s="2596"/>
      <c r="J10" s="3432"/>
      <c r="K10" s="3434"/>
      <c r="L10" s="2630" t="s">
        <v>2350</v>
      </c>
      <c r="M10" s="2631"/>
      <c r="N10" s="2607"/>
      <c r="O10" s="2632"/>
      <c r="P10" s="2632"/>
      <c r="Q10" s="2633">
        <v>365</v>
      </c>
      <c r="R10" s="2634">
        <f t="shared" si="0"/>
        <v>0</v>
      </c>
      <c r="S10" s="2588"/>
      <c r="T10" s="2588"/>
      <c r="U10" s="2588"/>
      <c r="V10" s="2596"/>
    </row>
    <row r="11" spans="1:22" s="2600" customFormat="1" ht="13.15" customHeight="1">
      <c r="A11" s="2635">
        <v>3</v>
      </c>
      <c r="B11" s="3449" t="s">
        <v>2351</v>
      </c>
      <c r="C11" s="3450"/>
      <c r="D11" s="2636">
        <f>D12+D14+D15+D16</f>
        <v>0</v>
      </c>
      <c r="E11" s="2642" t="e">
        <f>D11/D6</f>
        <v>#DIV/0!</v>
      </c>
      <c r="F11" s="2638"/>
      <c r="G11" s="2639"/>
      <c r="H11" s="2595"/>
      <c r="I11" s="2596"/>
      <c r="J11" s="3432"/>
      <c r="K11" s="3434"/>
      <c r="L11" s="2630" t="s">
        <v>2352</v>
      </c>
      <c r="M11" s="2631"/>
      <c r="N11" s="2607"/>
      <c r="O11" s="2632"/>
      <c r="P11" s="2632"/>
      <c r="Q11" s="2633">
        <v>365</v>
      </c>
      <c r="R11" s="2634">
        <f t="shared" si="0"/>
        <v>0</v>
      </c>
      <c r="S11" s="2588"/>
      <c r="T11" s="2588"/>
      <c r="U11" s="2588"/>
      <c r="V11" s="2596"/>
    </row>
    <row r="12" spans="1:22" s="2600" customFormat="1" ht="13.15" customHeight="1">
      <c r="A12" s="2643" t="s">
        <v>2353</v>
      </c>
      <c r="B12" s="3442" t="s">
        <v>2354</v>
      </c>
      <c r="C12" s="3443"/>
      <c r="D12" s="2644">
        <f>ROUND(D13*1.2%*(1-30%),0)</f>
        <v>0</v>
      </c>
      <c r="E12" s="2645">
        <v>1.2E-2</v>
      </c>
      <c r="F12" s="2638" t="s">
        <v>2355</v>
      </c>
      <c r="G12" s="2639"/>
      <c r="H12" s="2595"/>
      <c r="I12" s="2596"/>
      <c r="J12" s="3432"/>
      <c r="K12" s="3434"/>
      <c r="L12" s="2630" t="s">
        <v>2356</v>
      </c>
      <c r="M12" s="2631"/>
      <c r="N12" s="2607"/>
      <c r="O12" s="2632"/>
      <c r="P12" s="2632"/>
      <c r="Q12" s="2633">
        <v>365</v>
      </c>
      <c r="R12" s="2634">
        <f t="shared" si="0"/>
        <v>0</v>
      </c>
      <c r="S12" s="2588"/>
      <c r="T12" s="2588"/>
      <c r="U12" s="2588"/>
      <c r="V12" s="2596"/>
    </row>
    <row r="13" spans="1:22" s="2600" customFormat="1" ht="13.15" customHeight="1">
      <c r="A13" s="2643"/>
      <c r="B13" s="2646"/>
      <c r="C13" s="2647" t="s">
        <v>2357</v>
      </c>
      <c r="D13" s="2648"/>
      <c r="E13" s="2649"/>
      <c r="F13" s="2638"/>
      <c r="G13" s="2639"/>
      <c r="H13" s="2595"/>
      <c r="I13" s="2596"/>
      <c r="J13" s="3432"/>
      <c r="K13" s="3434"/>
      <c r="L13" s="2630" t="s">
        <v>2358</v>
      </c>
      <c r="M13" s="2631"/>
      <c r="N13" s="2607"/>
      <c r="O13" s="2632"/>
      <c r="P13" s="2632"/>
      <c r="Q13" s="2633">
        <v>365</v>
      </c>
      <c r="R13" s="2634">
        <f t="shared" si="0"/>
        <v>0</v>
      </c>
      <c r="S13" s="2588"/>
      <c r="T13" s="2588"/>
      <c r="U13" s="2588"/>
      <c r="V13" s="2596"/>
    </row>
    <row r="14" spans="1:22" s="2600" customFormat="1" ht="13.15" customHeight="1">
      <c r="A14" s="2643" t="s">
        <v>2359</v>
      </c>
      <c r="B14" s="3442" t="s">
        <v>2360</v>
      </c>
      <c r="C14" s="3443"/>
      <c r="D14" s="2644">
        <f>ROUND(E14*B5/10000,0)</f>
        <v>0</v>
      </c>
      <c r="E14" s="2633"/>
      <c r="F14" s="2638" t="s">
        <v>2361</v>
      </c>
      <c r="G14" s="2639"/>
      <c r="H14" s="2595"/>
      <c r="I14" s="2596"/>
      <c r="J14" s="3432"/>
      <c r="K14" s="3435"/>
      <c r="L14" s="2650" t="s">
        <v>2362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2363</v>
      </c>
      <c r="B15" s="3442" t="s">
        <v>2364</v>
      </c>
      <c r="C15" s="3443"/>
      <c r="D15" s="2644">
        <f>ROUND(D6*E15,0)</f>
        <v>0</v>
      </c>
      <c r="E15" s="2645">
        <v>5.5E-2</v>
      </c>
      <c r="F15" s="2638" t="s">
        <v>2365</v>
      </c>
      <c r="G15" s="2620"/>
      <c r="H15" s="2595"/>
      <c r="I15" s="2596"/>
      <c r="J15" s="3432">
        <v>2</v>
      </c>
      <c r="K15" s="3433" t="s">
        <v>2366</v>
      </c>
      <c r="L15" s="2630" t="s">
        <v>2367</v>
      </c>
      <c r="M15" s="2631" t="s">
        <v>2368</v>
      </c>
      <c r="N15" s="2631" t="s">
        <v>2369</v>
      </c>
      <c r="O15" s="2632" t="s">
        <v>2370</v>
      </c>
      <c r="P15" s="2632" t="s">
        <v>2332</v>
      </c>
      <c r="Q15" s="2607" t="s">
        <v>2371</v>
      </c>
      <c r="R15" s="2654" t="s">
        <v>2333</v>
      </c>
      <c r="S15" s="2588"/>
      <c r="T15" s="2588"/>
      <c r="U15" s="2588"/>
      <c r="V15" s="2596"/>
    </row>
    <row r="16" spans="1:22" s="2600" customFormat="1" ht="13.15" customHeight="1">
      <c r="A16" s="2643" t="s">
        <v>2372</v>
      </c>
      <c r="B16" s="3442" t="s">
        <v>2373</v>
      </c>
      <c r="C16" s="3443"/>
      <c r="D16" s="2655">
        <f>D6*E16</f>
        <v>0</v>
      </c>
      <c r="E16" s="2656"/>
      <c r="F16" s="2641" t="s">
        <v>2374</v>
      </c>
      <c r="G16" s="2620"/>
      <c r="H16" s="2595"/>
      <c r="I16" s="2596"/>
      <c r="J16" s="3432"/>
      <c r="K16" s="3434"/>
      <c r="L16" s="2630" t="s">
        <v>2375</v>
      </c>
      <c r="M16" s="2631"/>
      <c r="N16" s="2631"/>
      <c r="O16" s="2632"/>
      <c r="P16" s="2633">
        <v>365</v>
      </c>
      <c r="Q16" s="2607"/>
      <c r="R16" s="2654">
        <f>ROUND(M16*N16*O16*P16/10000,0)</f>
        <v>0</v>
      </c>
      <c r="S16" s="2588"/>
      <c r="T16" s="2588"/>
      <c r="U16" s="2588"/>
      <c r="V16" s="2596"/>
    </row>
    <row r="17" spans="1:22" s="2600" customFormat="1" ht="13.15" customHeight="1" thickBot="1">
      <c r="A17" s="2657">
        <v>4</v>
      </c>
      <c r="B17" s="3444" t="s">
        <v>2376</v>
      </c>
      <c r="C17" s="3445"/>
      <c r="D17" s="2658">
        <f>ROUND(D6*E17,0)</f>
        <v>0</v>
      </c>
      <c r="E17" s="2659"/>
      <c r="F17" s="2660" t="s">
        <v>2377</v>
      </c>
      <c r="G17" s="2620"/>
      <c r="H17" s="2595"/>
      <c r="I17" s="2596"/>
      <c r="J17" s="3432"/>
      <c r="K17" s="3434"/>
      <c r="L17" s="2630" t="s">
        <v>2378</v>
      </c>
      <c r="M17" s="2631"/>
      <c r="N17" s="2631"/>
      <c r="O17" s="2632"/>
      <c r="P17" s="2633">
        <v>365</v>
      </c>
      <c r="Q17" s="2607"/>
      <c r="R17" s="2654">
        <f>ROUND(M17*N17*O17*P17/10000,0)</f>
        <v>0</v>
      </c>
      <c r="S17" s="2588"/>
      <c r="T17" s="2588"/>
      <c r="U17" s="2588"/>
      <c r="V17" s="2596"/>
    </row>
    <row r="18" spans="1:22" s="2600" customFormat="1" ht="13.15" customHeight="1" thickBot="1">
      <c r="A18" s="2623" t="s">
        <v>2379</v>
      </c>
      <c r="B18" s="2624"/>
      <c r="C18" s="2624"/>
      <c r="D18" s="2661">
        <f>ROUND(D6*E18,0)</f>
        <v>0</v>
      </c>
      <c r="E18" s="2662"/>
      <c r="F18" s="2663" t="s">
        <v>2380</v>
      </c>
      <c r="G18" s="2620"/>
      <c r="H18" s="2595"/>
      <c r="I18" s="2596"/>
      <c r="J18" s="3432"/>
      <c r="K18" s="3434"/>
      <c r="L18" s="2630" t="s">
        <v>2381</v>
      </c>
      <c r="M18" s="2631"/>
      <c r="N18" s="2631"/>
      <c r="O18" s="2632"/>
      <c r="P18" s="2633">
        <v>365</v>
      </c>
      <c r="Q18" s="2607"/>
      <c r="R18" s="2654">
        <f>ROUND(M18*N18*O18*P18/10000,0)</f>
        <v>0</v>
      </c>
      <c r="S18" s="2588"/>
      <c r="T18" s="2588"/>
      <c r="U18" s="2588"/>
      <c r="V18" s="2596"/>
    </row>
    <row r="19" spans="1:22" s="2600" customFormat="1" ht="13.15" customHeight="1" thickBot="1">
      <c r="A19" s="2664" t="s">
        <v>2382</v>
      </c>
      <c r="B19" s="2618"/>
      <c r="C19" s="2618"/>
      <c r="D19" s="2618"/>
      <c r="E19" s="2618"/>
      <c r="F19" s="2619"/>
      <c r="G19" s="2639"/>
      <c r="H19" s="2595"/>
      <c r="I19" s="2596"/>
      <c r="J19" s="3432"/>
      <c r="K19" s="3435"/>
      <c r="L19" s="2650" t="s">
        <v>2362</v>
      </c>
      <c r="M19" s="2651"/>
      <c r="N19" s="2651">
        <f>SUM(N16:N18)</f>
        <v>0</v>
      </c>
      <c r="O19" s="2652"/>
      <c r="P19" s="2665" t="s">
        <v>2426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32">
        <v>3</v>
      </c>
      <c r="K20" s="3433" t="s">
        <v>2383</v>
      </c>
      <c r="L20" s="2630" t="s">
        <v>2384</v>
      </c>
      <c r="M20" s="2631" t="s">
        <v>2385</v>
      </c>
      <c r="N20" s="2668" t="s">
        <v>2386</v>
      </c>
      <c r="O20" s="2632" t="s">
        <v>2387</v>
      </c>
      <c r="P20" s="2633" t="s">
        <v>2388</v>
      </c>
      <c r="Q20" s="2607" t="s">
        <v>2389</v>
      </c>
      <c r="R20" s="2654" t="s">
        <v>2390</v>
      </c>
      <c r="S20" s="2588"/>
      <c r="T20" s="2588"/>
      <c r="U20" s="2588"/>
      <c r="V20" s="2596"/>
    </row>
    <row r="21" spans="1:22" s="2600" customFormat="1" ht="13.15" customHeight="1">
      <c r="A21" s="2623"/>
      <c r="B21" s="2624"/>
      <c r="C21" s="2669" t="s">
        <v>2391</v>
      </c>
      <c r="D21" s="2670" t="s">
        <v>2392</v>
      </c>
      <c r="E21" s="2671" t="s">
        <v>2393</v>
      </c>
      <c r="F21" s="2667"/>
      <c r="G21" s="2639"/>
      <c r="H21" s="2595"/>
      <c r="I21" s="2596"/>
      <c r="J21" s="3432"/>
      <c r="K21" s="3434"/>
      <c r="L21" s="2630" t="s">
        <v>2394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2395</v>
      </c>
      <c r="D22" s="2674" t="s">
        <v>2396</v>
      </c>
      <c r="E22" s="2675" t="s">
        <v>2397</v>
      </c>
      <c r="F22" s="2667"/>
      <c r="G22" s="2588"/>
      <c r="H22" s="2595"/>
      <c r="I22" s="2596"/>
      <c r="J22" s="3432"/>
      <c r="K22" s="3434"/>
      <c r="L22" s="2630" t="s">
        <v>2398</v>
      </c>
      <c r="M22" s="2631"/>
      <c r="N22" s="2631"/>
      <c r="O22" s="2632"/>
      <c r="P22" s="2633">
        <v>365</v>
      </c>
      <c r="Q22" s="2607"/>
      <c r="R22" s="2672">
        <f>ROUND(M22*N22*O22*P22/10000,0)</f>
        <v>0</v>
      </c>
      <c r="S22" s="2588"/>
      <c r="T22" s="2588"/>
      <c r="U22" s="2588"/>
      <c r="V22" s="2596"/>
    </row>
    <row r="23" spans="1:22" s="2600" customFormat="1" ht="13.15" customHeight="1">
      <c r="A23" s="2676">
        <v>1</v>
      </c>
      <c r="B23" s="2677" t="s">
        <v>2399</v>
      </c>
      <c r="C23" s="2678">
        <f>D6</f>
        <v>0</v>
      </c>
      <c r="D23" s="2679">
        <f>C23*(1+D24)</f>
        <v>0</v>
      </c>
      <c r="E23" s="2680">
        <f>D23*(1+E24)</f>
        <v>0</v>
      </c>
      <c r="F23" s="2681"/>
      <c r="G23" s="2682"/>
      <c r="H23" s="2595"/>
      <c r="I23" s="2596"/>
      <c r="J23" s="3432"/>
      <c r="K23" s="3434"/>
      <c r="L23" s="2630" t="s">
        <v>2400</v>
      </c>
      <c r="M23" s="2631"/>
      <c r="N23" s="2631"/>
      <c r="O23" s="2632"/>
      <c r="P23" s="2633">
        <v>365</v>
      </c>
      <c r="Q23" s="2607"/>
      <c r="R23" s="2672">
        <f>ROUND(M23*N23*O23*P23/10000,0)</f>
        <v>0</v>
      </c>
      <c r="S23" s="2588"/>
      <c r="T23" s="2588"/>
      <c r="U23" s="2588"/>
      <c r="V23" s="2596"/>
    </row>
    <row r="24" spans="1:22" s="2600" customFormat="1" ht="13.15" customHeight="1">
      <c r="A24" s="2683"/>
      <c r="B24" s="2684" t="s">
        <v>2401</v>
      </c>
      <c r="C24" s="2685"/>
      <c r="D24" s="2686"/>
      <c r="E24" s="2687"/>
      <c r="F24" s="2688"/>
      <c r="G24" s="2682"/>
      <c r="H24" s="2595"/>
      <c r="I24" s="2596"/>
      <c r="J24" s="3432"/>
      <c r="K24" s="3435"/>
      <c r="L24" s="2650" t="s">
        <v>2362</v>
      </c>
      <c r="M24" s="2651">
        <f>SUM(M21:M23)</f>
        <v>0</v>
      </c>
      <c r="N24" s="2651"/>
      <c r="O24" s="2652"/>
      <c r="P24" s="2665" t="s">
        <v>2426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2402</v>
      </c>
      <c r="L25" s="2691"/>
      <c r="M25" s="2691"/>
      <c r="N25" s="2691"/>
      <c r="O25" s="2691"/>
      <c r="P25" s="2692"/>
      <c r="Q25" s="2693">
        <v>0</v>
      </c>
      <c r="R25" s="2666">
        <f>ROUND(R14*Q25,0)</f>
        <v>0</v>
      </c>
      <c r="S25" s="2588"/>
      <c r="T25" s="2588"/>
      <c r="U25" s="2588"/>
      <c r="V25" s="2694"/>
    </row>
    <row r="26" spans="1:22" s="2695" customFormat="1" ht="13.15" customHeight="1">
      <c r="A26" s="2676">
        <v>2</v>
      </c>
      <c r="B26" s="2677" t="s">
        <v>2403</v>
      </c>
      <c r="C26" s="2678">
        <f>D7</f>
        <v>0</v>
      </c>
      <c r="D26" s="2679">
        <f>D23*D27</f>
        <v>0</v>
      </c>
      <c r="E26" s="2680">
        <f>E23*E27</f>
        <v>0</v>
      </c>
      <c r="F26" s="2681"/>
      <c r="G26" s="2682"/>
      <c r="H26" s="2595"/>
      <c r="I26" s="2596"/>
      <c r="J26" s="3436">
        <v>5</v>
      </c>
      <c r="K26" s="2696" t="s">
        <v>2404</v>
      </c>
      <c r="L26" s="2697"/>
      <c r="M26" s="2698"/>
      <c r="N26" s="2699" t="s">
        <v>2405</v>
      </c>
      <c r="O26" s="2699" t="s">
        <v>2406</v>
      </c>
      <c r="P26" s="2700" t="s">
        <v>2407</v>
      </c>
      <c r="Q26" s="2700" t="s">
        <v>2408</v>
      </c>
      <c r="R26" s="2605" t="s">
        <v>2333</v>
      </c>
      <c r="S26" s="2639"/>
      <c r="T26" s="2639"/>
      <c r="U26" s="2639"/>
      <c r="V26" s="2694"/>
    </row>
    <row r="27" spans="1:22" s="2600" customFormat="1" ht="13.15" customHeight="1">
      <c r="A27" s="2683"/>
      <c r="B27" s="2684" t="s">
        <v>2409</v>
      </c>
      <c r="C27" s="2701" t="e">
        <f>E7</f>
        <v>#DIV/0!</v>
      </c>
      <c r="D27" s="2686"/>
      <c r="E27" s="2687"/>
      <c r="F27" s="2688"/>
      <c r="G27" s="2682"/>
      <c r="H27" s="2702"/>
      <c r="I27" s="2694"/>
      <c r="J27" s="3437"/>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2410</v>
      </c>
      <c r="F28" s="2688"/>
      <c r="G28" s="2588"/>
      <c r="H28" s="2702"/>
      <c r="I28" s="2694"/>
      <c r="J28" s="2708">
        <v>6</v>
      </c>
      <c r="K28" s="2709" t="s">
        <v>2411</v>
      </c>
      <c r="L28" s="2710" t="s">
        <v>2412</v>
      </c>
      <c r="M28" s="2711"/>
      <c r="N28" s="2710" t="s">
        <v>2413</v>
      </c>
      <c r="O28" s="2712"/>
      <c r="P28" s="2710" t="s">
        <v>2414</v>
      </c>
      <c r="Q28" s="2713">
        <v>1.4999999999999999E-2</v>
      </c>
      <c r="R28" s="2714"/>
      <c r="S28" s="2588"/>
      <c r="T28" s="2588"/>
      <c r="U28" s="2588"/>
      <c r="V28" s="2694"/>
    </row>
    <row r="29" spans="1:22" s="2695" customFormat="1" ht="13.15" customHeight="1">
      <c r="A29" s="2676">
        <v>3</v>
      </c>
      <c r="B29" s="2677" t="s">
        <v>2415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2416</v>
      </c>
      <c r="K31" s="2586"/>
      <c r="L31" s="2586"/>
      <c r="M31" s="2586"/>
      <c r="N31" s="2586"/>
      <c r="O31" s="2586"/>
      <c r="P31" s="2586"/>
      <c r="Q31" s="2586"/>
      <c r="R31" s="2587"/>
      <c r="S31" s="2588"/>
      <c r="T31" s="2588"/>
      <c r="U31" s="2588"/>
      <c r="V31" s="2694"/>
    </row>
    <row r="32" spans="1:22" s="2695" customFormat="1" ht="13.15" customHeight="1">
      <c r="A32" s="2676">
        <v>4</v>
      </c>
      <c r="B32" s="2677" t="s">
        <v>2417</v>
      </c>
      <c r="C32" s="2678">
        <f>C23-C26-C29</f>
        <v>0</v>
      </c>
      <c r="D32" s="2679">
        <f>D23-D26-D29</f>
        <v>0</v>
      </c>
      <c r="E32" s="2680">
        <f>E23-E26-E29</f>
        <v>0</v>
      </c>
      <c r="F32" s="2681"/>
      <c r="G32" s="2588"/>
      <c r="H32" s="2595"/>
      <c r="I32" s="2596"/>
      <c r="J32" s="3438" t="s">
        <v>2309</v>
      </c>
      <c r="K32" s="3439"/>
      <c r="L32" s="2597" t="s">
        <v>2310</v>
      </c>
      <c r="M32" s="2597" t="s">
        <v>2311</v>
      </c>
      <c r="N32" s="2597" t="s">
        <v>2312</v>
      </c>
      <c r="O32" s="2597" t="s">
        <v>2313</v>
      </c>
      <c r="P32" s="2597" t="s">
        <v>2314</v>
      </c>
      <c r="Q32" s="2598" t="s">
        <v>2315</v>
      </c>
      <c r="R32" s="2717" t="s">
        <v>2316</v>
      </c>
      <c r="S32" s="2588"/>
      <c r="T32" s="2588"/>
      <c r="U32" s="2588"/>
      <c r="V32" s="2694"/>
    </row>
    <row r="33" spans="1:23" s="2600" customFormat="1" ht="13.15" customHeight="1">
      <c r="A33" s="2676"/>
      <c r="B33" s="2677"/>
      <c r="C33" s="2678"/>
      <c r="D33" s="2718"/>
      <c r="E33" s="2719"/>
      <c r="F33" s="2681"/>
      <c r="G33" s="2588"/>
      <c r="H33" s="2702"/>
      <c r="I33" s="2694"/>
      <c r="J33" s="3440" t="s">
        <v>2319</v>
      </c>
      <c r="K33" s="3441"/>
      <c r="L33" s="2603"/>
      <c r="M33" s="2603"/>
      <c r="N33" s="2603"/>
      <c r="O33" s="2603"/>
      <c r="P33" s="2603"/>
      <c r="Q33" s="2604"/>
      <c r="R33" s="2720">
        <f>SUM(L33:Q33)</f>
        <v>0</v>
      </c>
      <c r="S33" s="2588"/>
      <c r="T33" s="2588"/>
      <c r="U33" s="2588"/>
      <c r="V33" s="2596"/>
    </row>
    <row r="34" spans="1:23" s="2600" customFormat="1" ht="13.15" customHeight="1">
      <c r="A34" s="2676">
        <v>5</v>
      </c>
      <c r="B34" s="2677" t="s">
        <v>2418</v>
      </c>
      <c r="C34" s="2721"/>
      <c r="D34" s="2722"/>
      <c r="E34" s="2723"/>
      <c r="F34" s="2681"/>
      <c r="G34" s="2588"/>
      <c r="H34" s="2702"/>
      <c r="I34" s="2694"/>
      <c r="J34" s="3440" t="s">
        <v>2321</v>
      </c>
      <c r="K34" s="3441"/>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2419</v>
      </c>
      <c r="C35" s="2725"/>
      <c r="D35" s="2726"/>
      <c r="E35" s="2727"/>
      <c r="F35" s="2681"/>
      <c r="G35" s="2728"/>
      <c r="H35" s="2595"/>
      <c r="I35" s="2694"/>
      <c r="J35" s="2614" t="s">
        <v>2323</v>
      </c>
      <c r="K35" s="2615"/>
      <c r="L35" s="2615"/>
      <c r="M35" s="2616"/>
      <c r="N35" s="2616"/>
      <c r="O35" s="2616"/>
      <c r="P35" s="2616"/>
      <c r="Q35" s="2616"/>
      <c r="R35" s="2729">
        <f>R40+R41+R43</f>
        <v>0</v>
      </c>
      <c r="S35" s="2588"/>
      <c r="T35" s="2588" t="s">
        <v>2324</v>
      </c>
      <c r="U35" s="2588"/>
      <c r="V35" s="2596"/>
    </row>
    <row r="36" spans="1:23" s="2600" customFormat="1" ht="13.15" customHeight="1" thickBot="1">
      <c r="A36" s="2676">
        <v>7</v>
      </c>
      <c r="B36" s="2730" t="s">
        <v>2420</v>
      </c>
      <c r="C36" s="2731"/>
      <c r="D36" s="2732"/>
      <c r="E36" s="2733"/>
      <c r="F36" s="2734">
        <f>C36+D36+E36</f>
        <v>0</v>
      </c>
      <c r="G36" s="2588"/>
      <c r="H36" s="2595"/>
      <c r="I36" s="2596"/>
      <c r="J36" s="3432">
        <v>1</v>
      </c>
      <c r="K36" s="3433" t="s">
        <v>2421</v>
      </c>
      <c r="L36" s="2621"/>
      <c r="M36" s="2622"/>
      <c r="N36" s="2622"/>
      <c r="O36" s="2622"/>
      <c r="P36" s="2622"/>
      <c r="Q36" s="2622"/>
      <c r="R36" s="2605" t="s">
        <v>2333</v>
      </c>
      <c r="S36" s="2588"/>
      <c r="T36" s="2588" t="s">
        <v>2334</v>
      </c>
      <c r="U36" s="2588"/>
      <c r="V36" s="2596"/>
    </row>
    <row r="37" spans="1:23" s="2600" customFormat="1" ht="13.15" customHeight="1">
      <c r="A37" s="2676"/>
      <c r="B37" s="2677"/>
      <c r="C37" s="2677"/>
      <c r="D37" s="2677"/>
      <c r="E37" s="2677"/>
      <c r="F37" s="2681"/>
      <c r="G37" s="2588"/>
      <c r="H37" s="2595"/>
      <c r="I37" s="2596"/>
      <c r="J37" s="3432"/>
      <c r="K37" s="3434"/>
      <c r="L37" s="2630"/>
      <c r="M37" s="2631"/>
      <c r="N37" s="2607"/>
      <c r="O37" s="2632"/>
      <c r="P37" s="2632"/>
      <c r="Q37" s="2633"/>
      <c r="R37" s="2634"/>
      <c r="S37" s="2588"/>
      <c r="T37" s="2588" t="s">
        <v>2337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32"/>
      <c r="K38" s="3434"/>
      <c r="L38" s="2630"/>
      <c r="M38" s="2631"/>
      <c r="N38" s="2607"/>
      <c r="O38" s="2632"/>
      <c r="P38" s="2632"/>
      <c r="Q38" s="2633"/>
      <c r="R38" s="2634"/>
      <c r="S38" s="2588"/>
      <c r="T38" s="2588" t="s">
        <v>2344</v>
      </c>
      <c r="U38" s="2588"/>
      <c r="V38" s="2596"/>
    </row>
    <row r="39" spans="1:23" s="2600" customFormat="1" ht="13.15" customHeight="1">
      <c r="A39" s="2676">
        <v>9</v>
      </c>
      <c r="B39" s="2677" t="s">
        <v>2422</v>
      </c>
      <c r="C39" s="2644" t="e">
        <f>C38</f>
        <v>#DIV/0!</v>
      </c>
      <c r="D39" s="2677">
        <f>D38/(1+D34)^C36</f>
        <v>0</v>
      </c>
      <c r="E39" s="2677">
        <f>E38/(1+E34)^(C36+D36)</f>
        <v>0</v>
      </c>
      <c r="F39" s="2681"/>
      <c r="G39" s="2596"/>
      <c r="H39" s="2595"/>
      <c r="I39" s="2596"/>
      <c r="J39" s="3432"/>
      <c r="K39" s="3434"/>
      <c r="L39" s="2630"/>
      <c r="M39" s="2631"/>
      <c r="N39" s="2607"/>
      <c r="O39" s="2632"/>
      <c r="P39" s="2632"/>
      <c r="Q39" s="2633"/>
      <c r="R39" s="2634"/>
      <c r="S39" s="2588"/>
      <c r="T39" s="2588"/>
      <c r="U39" s="2588"/>
      <c r="V39" s="2596"/>
    </row>
    <row r="40" spans="1:23" s="2600" customFormat="1" ht="13.15" customHeight="1">
      <c r="A40" s="2735">
        <v>10</v>
      </c>
      <c r="B40" s="2677" t="s">
        <v>2423</v>
      </c>
      <c r="C40" s="2736" t="e">
        <f>C39+D39+E39</f>
        <v>#DIV/0!</v>
      </c>
      <c r="D40" s="2737"/>
      <c r="E40" s="2737"/>
      <c r="F40" s="2738"/>
      <c r="G40" s="2588"/>
      <c r="H40" s="2595"/>
      <c r="I40" s="2596"/>
      <c r="J40" s="3432"/>
      <c r="K40" s="3435"/>
      <c r="L40" s="2650" t="s">
        <v>2362</v>
      </c>
      <c r="M40" s="2651"/>
      <c r="N40" s="2651"/>
      <c r="O40" s="2652"/>
      <c r="P40" s="2652"/>
      <c r="Q40" s="2653"/>
      <c r="R40" s="2599">
        <f>SUM(R37:R39)</f>
        <v>0</v>
      </c>
      <c r="S40" s="2588"/>
      <c r="T40" s="2588"/>
      <c r="U40" s="2588"/>
      <c r="V40" s="2596"/>
    </row>
    <row r="41" spans="1:23" s="2600" customFormat="1" ht="13.15" customHeight="1" thickBot="1">
      <c r="A41" s="2739">
        <v>11</v>
      </c>
      <c r="B41" s="2740" t="s">
        <v>2424</v>
      </c>
      <c r="C41" s="2740" t="e">
        <f>ROUND(C40*10000/B4,0)</f>
        <v>#DIV/0!</v>
      </c>
      <c r="D41" s="2741"/>
      <c r="E41" s="2741"/>
      <c r="F41" s="2742"/>
      <c r="G41" s="2595"/>
      <c r="H41" s="2595"/>
      <c r="I41" s="2596"/>
      <c r="J41" s="2689">
        <v>2</v>
      </c>
      <c r="K41" s="2690" t="s">
        <v>2402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36">
        <v>3</v>
      </c>
      <c r="K42" s="2696" t="s">
        <v>2404</v>
      </c>
      <c r="L42" s="2697"/>
      <c r="M42" s="2698"/>
      <c r="N42" s="2699" t="s">
        <v>2405</v>
      </c>
      <c r="O42" s="2699" t="s">
        <v>2406</v>
      </c>
      <c r="P42" s="2700" t="s">
        <v>2407</v>
      </c>
      <c r="Q42" s="2700" t="s">
        <v>2408</v>
      </c>
      <c r="R42" s="2605" t="s">
        <v>2333</v>
      </c>
      <c r="S42" s="2639"/>
      <c r="T42" s="2639"/>
      <c r="U42" s="2588"/>
      <c r="V42" s="2596"/>
    </row>
    <row r="43" spans="1:23" ht="13.15" customHeight="1">
      <c r="A43" s="2600"/>
      <c r="B43" s="2600"/>
      <c r="C43" s="2600"/>
      <c r="D43" s="2600"/>
      <c r="E43" s="2600"/>
      <c r="F43" s="2600"/>
      <c r="I43" s="2583"/>
      <c r="J43" s="3437"/>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2411</v>
      </c>
      <c r="L44" s="2745" t="s">
        <v>2412</v>
      </c>
      <c r="M44" s="2711"/>
      <c r="N44" s="2745" t="s">
        <v>2413</v>
      </c>
      <c r="O44" s="2711"/>
      <c r="P44" s="2745" t="s">
        <v>2414</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0">
        <f ca="1">SUMIF(B6:B13,"&lt;&gt;#ref!",B6:B13)</f>
        <v>1197</v>
      </c>
      <c r="C2" s="1728" t="s">
        <v>1651</v>
      </c>
      <c r="D2" s="1729" t="s">
        <v>1652</v>
      </c>
      <c r="E2" s="2390">
        <f>SUM(E6:E13)</f>
        <v>2382.1000000000004</v>
      </c>
      <c r="F2" s="2475"/>
      <c r="G2" s="459"/>
      <c r="H2" s="459"/>
      <c r="I2" s="459"/>
      <c r="J2" s="459"/>
      <c r="K2" s="459"/>
      <c r="L2" s="459"/>
      <c r="M2" s="459"/>
      <c r="N2" s="459"/>
      <c r="O2" s="459"/>
      <c r="P2" s="459"/>
      <c r="Q2" s="459"/>
      <c r="R2" s="459"/>
      <c r="S2" s="459"/>
    </row>
    <row r="3" spans="1:22" ht="15.75">
      <c r="A3" s="1727" t="s">
        <v>686</v>
      </c>
      <c r="B3" s="2384">
        <f ca="1">ROUND(B2*10000/E2,0)</f>
        <v>5025</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6" t="s">
        <v>1653</v>
      </c>
      <c r="B5" s="3451" t="s">
        <v>1654</v>
      </c>
      <c r="C5" s="3452"/>
      <c r="D5" s="2476"/>
      <c r="E5" s="1730" t="s">
        <v>1655</v>
      </c>
      <c r="F5" s="129" t="s">
        <v>1656</v>
      </c>
      <c r="G5" s="459"/>
      <c r="H5" s="459"/>
      <c r="I5" s="459"/>
      <c r="J5" s="459"/>
      <c r="K5" s="459"/>
      <c r="L5" s="459"/>
      <c r="M5" s="459"/>
      <c r="N5" s="459"/>
      <c r="O5" s="459"/>
      <c r="P5" s="459"/>
      <c r="Q5" s="459"/>
      <c r="R5" s="459"/>
      <c r="S5" s="459"/>
    </row>
    <row r="6" spans="1:22">
      <c r="A6" s="2387" t="str">
        <f>'数据-取费表'!AN6</f>
        <v>收益法</v>
      </c>
      <c r="B6" s="2385">
        <f ca="1">IF(F6="是",'数据-取费表'!AO6,0)</f>
        <v>1197</v>
      </c>
      <c r="C6" s="1728" t="s">
        <v>1651</v>
      </c>
      <c r="D6" s="2475"/>
      <c r="E6" s="2389">
        <f>IF(OR(A6=0,F6="否"),0,'数据-取费表'!K6+'数据-取费表'!S6)</f>
        <v>2382.1000000000004</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5"/>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5"/>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5"/>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5"/>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5"/>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5"/>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7"/>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受贵公司委托，我公司对北京市怀柔区雁栖经济开发区雁栖大街8号房地产抵押价值进行了预评估。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估价对象为北京市怀柔区雁栖经济开发区雁栖大街8号房地产，为所有。根据《国有土地使用证》[]，估价对象（分摊）出让国有建设用地使用权面积为10810.26平方米，建筑面积为2382.1平方米。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0"/>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2382.1000000000004</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5">
      <c r="A4" s="345" t="s">
        <v>1666</v>
      </c>
      <c r="B4" s="346"/>
      <c r="C4" s="3363" t="s">
        <v>1667</v>
      </c>
      <c r="D4" s="3389"/>
      <c r="E4" s="3390" t="s">
        <v>1668</v>
      </c>
      <c r="F4" s="3391"/>
      <c r="G4" s="3363" t="s">
        <v>1669</v>
      </c>
      <c r="H4" s="3389"/>
      <c r="I4" s="3363" t="s">
        <v>1670</v>
      </c>
      <c r="J4" s="3389"/>
      <c r="K4" s="1743" t="s">
        <v>1671</v>
      </c>
      <c r="L4" s="2482"/>
      <c r="M4" s="2483"/>
      <c r="N4" s="2483"/>
      <c r="O4" s="2483"/>
      <c r="P4" s="3392" t="s">
        <v>1672</v>
      </c>
      <c r="Q4" s="3393"/>
      <c r="R4" s="3369" t="s">
        <v>1668</v>
      </c>
      <c r="S4" s="3370"/>
      <c r="T4" s="3369" t="s">
        <v>1669</v>
      </c>
      <c r="U4" s="3370"/>
      <c r="V4" s="3382" t="s">
        <v>1670</v>
      </c>
      <c r="W4" s="3382"/>
      <c r="X4" s="1264"/>
      <c r="Y4" s="3369" t="s">
        <v>1672</v>
      </c>
      <c r="Z4" s="3370"/>
      <c r="AA4" s="3386" t="s">
        <v>1668</v>
      </c>
      <c r="AB4" s="3386" t="s">
        <v>1669</v>
      </c>
      <c r="AC4" s="3386" t="s">
        <v>1670</v>
      </c>
    </row>
    <row r="5" spans="1:29" ht="15">
      <c r="A5" s="348"/>
      <c r="B5" s="349"/>
      <c r="C5" s="3373" t="s">
        <v>1673</v>
      </c>
      <c r="D5" s="3374"/>
      <c r="E5" s="3398" t="s">
        <v>1674</v>
      </c>
      <c r="F5" s="3399"/>
      <c r="G5" s="3373" t="s">
        <v>1675</v>
      </c>
      <c r="H5" s="3374"/>
      <c r="I5" s="3373" t="s">
        <v>1676</v>
      </c>
      <c r="J5" s="3374"/>
      <c r="K5" s="1744"/>
      <c r="L5" s="2482"/>
      <c r="M5" s="2483"/>
      <c r="N5" s="2483"/>
      <c r="O5" s="2483"/>
      <c r="P5" s="3394"/>
      <c r="Q5" s="3395"/>
      <c r="R5" s="3371"/>
      <c r="S5" s="3372"/>
      <c r="T5" s="3371"/>
      <c r="U5" s="3372"/>
      <c r="V5" s="3382"/>
      <c r="W5" s="3382"/>
      <c r="X5" s="1264"/>
      <c r="Y5" s="3371"/>
      <c r="Z5" s="3372"/>
      <c r="AA5" s="3387"/>
      <c r="AB5" s="3387"/>
      <c r="AC5" s="3387"/>
    </row>
    <row r="6" spans="1:29" ht="15.75" thickBot="1">
      <c r="A6" s="350"/>
      <c r="B6" s="351"/>
      <c r="C6" s="3460" t="s">
        <v>1677</v>
      </c>
      <c r="D6" s="3461"/>
      <c r="E6" s="3462" t="s">
        <v>1677</v>
      </c>
      <c r="F6" s="3463"/>
      <c r="G6" s="3460" t="s">
        <v>1677</v>
      </c>
      <c r="H6" s="3461"/>
      <c r="I6" s="3460" t="s">
        <v>1677</v>
      </c>
      <c r="J6" s="3461"/>
      <c r="K6" s="1744" t="s">
        <v>1678</v>
      </c>
      <c r="L6" s="2482"/>
      <c r="M6" s="2483"/>
      <c r="N6" s="2483"/>
      <c r="O6" s="2483"/>
      <c r="P6" s="3396"/>
      <c r="Q6" s="3397"/>
      <c r="R6" s="3371"/>
      <c r="S6" s="3372"/>
      <c r="T6" s="3380"/>
      <c r="U6" s="3381"/>
      <c r="V6" s="3382"/>
      <c r="W6" s="3382"/>
      <c r="X6" s="1264"/>
      <c r="Y6" s="3380"/>
      <c r="Z6" s="3381"/>
      <c r="AA6" s="3388"/>
      <c r="AB6" s="3388"/>
      <c r="AC6" s="3388"/>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367" t="s">
        <v>1680</v>
      </c>
      <c r="Q7" s="3377"/>
      <c r="R7" s="663" t="s">
        <v>20</v>
      </c>
      <c r="S7" s="664">
        <f t="shared" ref="S7:S15" si="0">F7</f>
        <v>0</v>
      </c>
      <c r="T7" s="663" t="s">
        <v>20</v>
      </c>
      <c r="U7" s="664">
        <f t="shared" ref="U7:U15" si="1">H7</f>
        <v>0</v>
      </c>
      <c r="V7" s="663" t="s">
        <v>20</v>
      </c>
      <c r="W7" s="664">
        <f t="shared" ref="W7:W15" si="2">J7</f>
        <v>0</v>
      </c>
      <c r="X7" s="665"/>
      <c r="Y7" s="3367" t="s">
        <v>1680</v>
      </c>
      <c r="Z7" s="3368"/>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367" t="s">
        <v>1683</v>
      </c>
      <c r="Q8" s="3368"/>
      <c r="R8" s="663" t="s">
        <v>20</v>
      </c>
      <c r="S8" s="664">
        <f t="shared" si="0"/>
        <v>100</v>
      </c>
      <c r="T8" s="663" t="s">
        <v>20</v>
      </c>
      <c r="U8" s="664">
        <f t="shared" si="1"/>
        <v>100</v>
      </c>
      <c r="V8" s="663" t="s">
        <v>20</v>
      </c>
      <c r="W8" s="664">
        <f t="shared" si="2"/>
        <v>100</v>
      </c>
      <c r="X8" s="665"/>
      <c r="Y8" s="3367" t="s">
        <v>1683</v>
      </c>
      <c r="Z8" s="336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365" t="s">
        <v>1686</v>
      </c>
      <c r="Q9" s="530" t="str">
        <f t="shared" ref="Q9:Q15" si="6">B9</f>
        <v>用途</v>
      </c>
      <c r="R9" s="663" t="s">
        <v>14</v>
      </c>
      <c r="S9" s="664">
        <f t="shared" si="0"/>
        <v>100</v>
      </c>
      <c r="T9" s="663" t="s">
        <v>14</v>
      </c>
      <c r="U9" s="664">
        <f t="shared" si="1"/>
        <v>100</v>
      </c>
      <c r="V9" s="663" t="s">
        <v>14</v>
      </c>
      <c r="W9" s="664">
        <f t="shared" si="2"/>
        <v>100</v>
      </c>
      <c r="X9" s="665"/>
      <c r="Y9" s="327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65"/>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65"/>
      <c r="Q11" s="530" t="str">
        <f t="shared" si="6"/>
        <v>容积率</v>
      </c>
      <c r="R11" s="663" t="s">
        <v>18</v>
      </c>
      <c r="S11" s="664" t="e">
        <f t="shared" si="0"/>
        <v>#N/A</v>
      </c>
      <c r="T11" s="663" t="s">
        <v>18</v>
      </c>
      <c r="U11" s="664" t="e">
        <f t="shared" si="1"/>
        <v>#N/A</v>
      </c>
      <c r="V11" s="663" t="s">
        <v>18</v>
      </c>
      <c r="W11" s="664" t="e">
        <f t="shared" si="2"/>
        <v>#N/A</v>
      </c>
      <c r="X11" s="665"/>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65"/>
      <c r="Q12" s="530">
        <f t="shared" si="6"/>
        <v>111</v>
      </c>
      <c r="R12" s="663" t="s">
        <v>18</v>
      </c>
      <c r="S12" s="664">
        <f t="shared" si="0"/>
        <v>100</v>
      </c>
      <c r="T12" s="663" t="s">
        <v>18</v>
      </c>
      <c r="U12" s="664">
        <f t="shared" si="1"/>
        <v>100</v>
      </c>
      <c r="V12" s="663" t="s">
        <v>18</v>
      </c>
      <c r="W12" s="664">
        <f t="shared" si="2"/>
        <v>100</v>
      </c>
      <c r="X12" s="665"/>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65"/>
      <c r="Q13" s="530">
        <f t="shared" si="6"/>
        <v>111</v>
      </c>
      <c r="R13" s="663" t="s">
        <v>18</v>
      </c>
      <c r="S13" s="664">
        <f t="shared" si="0"/>
        <v>100</v>
      </c>
      <c r="T13" s="663" t="s">
        <v>18</v>
      </c>
      <c r="U13" s="664">
        <f t="shared" si="1"/>
        <v>100</v>
      </c>
      <c r="V13" s="663" t="s">
        <v>18</v>
      </c>
      <c r="W13" s="664">
        <f t="shared" si="2"/>
        <v>100</v>
      </c>
      <c r="X13" s="665"/>
      <c r="Y13" s="327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65"/>
      <c r="Q14" s="530">
        <f t="shared" si="6"/>
        <v>111</v>
      </c>
      <c r="R14" s="663" t="s">
        <v>18</v>
      </c>
      <c r="S14" s="664">
        <f t="shared" si="0"/>
        <v>100</v>
      </c>
      <c r="T14" s="663" t="s">
        <v>18</v>
      </c>
      <c r="U14" s="664">
        <f t="shared" si="1"/>
        <v>100</v>
      </c>
      <c r="V14" s="663" t="s">
        <v>18</v>
      </c>
      <c r="W14" s="664">
        <f t="shared" si="2"/>
        <v>100</v>
      </c>
      <c r="X14" s="665"/>
      <c r="Y14" s="3270"/>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58" t="s">
        <v>1691</v>
      </c>
      <c r="Q15" s="1262" t="str">
        <f t="shared" si="6"/>
        <v>居住社区成熟度</v>
      </c>
      <c r="R15" s="666" t="s">
        <v>18</v>
      </c>
      <c r="S15" s="667">
        <f t="shared" si="0"/>
        <v>100</v>
      </c>
      <c r="T15" s="666" t="s">
        <v>18</v>
      </c>
      <c r="U15" s="667">
        <f t="shared" si="1"/>
        <v>100</v>
      </c>
      <c r="V15" s="666" t="s">
        <v>18</v>
      </c>
      <c r="W15" s="667">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459"/>
      <c r="Q16" s="1262"/>
      <c r="R16" s="666"/>
      <c r="S16" s="667"/>
      <c r="T16" s="666"/>
      <c r="U16" s="667"/>
      <c r="V16" s="666"/>
      <c r="W16" s="667"/>
      <c r="X16" s="1264"/>
      <c r="Y16" s="3384"/>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59"/>
      <c r="Q17" s="1262" t="str">
        <f>B17</f>
        <v>交通便捷度</v>
      </c>
      <c r="R17" s="666" t="s">
        <v>18</v>
      </c>
      <c r="S17" s="667">
        <f>F17</f>
        <v>100</v>
      </c>
      <c r="T17" s="666" t="s">
        <v>18</v>
      </c>
      <c r="U17" s="667">
        <f>H17</f>
        <v>100</v>
      </c>
      <c r="V17" s="666" t="s">
        <v>18</v>
      </c>
      <c r="W17" s="667">
        <f>J17</f>
        <v>100</v>
      </c>
      <c r="X17" s="1264"/>
      <c r="Y17" s="338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459"/>
      <c r="Q18" s="1262"/>
      <c r="R18" s="666"/>
      <c r="S18" s="667"/>
      <c r="T18" s="666"/>
      <c r="U18" s="667"/>
      <c r="V18" s="666"/>
      <c r="W18" s="667"/>
      <c r="X18" s="1264"/>
      <c r="Y18" s="3384"/>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59"/>
      <c r="Q19" s="1262" t="str">
        <f>B19</f>
        <v>公共配套设施</v>
      </c>
      <c r="R19" s="666" t="s">
        <v>18</v>
      </c>
      <c r="S19" s="667">
        <f>F19</f>
        <v>100</v>
      </c>
      <c r="T19" s="666" t="s">
        <v>18</v>
      </c>
      <c r="U19" s="667">
        <f>H19</f>
        <v>100</v>
      </c>
      <c r="V19" s="666" t="s">
        <v>18</v>
      </c>
      <c r="W19" s="667">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459"/>
      <c r="Q20" s="1262"/>
      <c r="R20" s="666"/>
      <c r="S20" s="667"/>
      <c r="T20" s="666"/>
      <c r="U20" s="667"/>
      <c r="V20" s="666"/>
      <c r="W20" s="667"/>
      <c r="X20" s="1264"/>
      <c r="Y20" s="3384"/>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59"/>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459"/>
      <c r="Q22" s="1262"/>
      <c r="R22" s="666"/>
      <c r="S22" s="667"/>
      <c r="T22" s="666"/>
      <c r="U22" s="667"/>
      <c r="V22" s="666"/>
      <c r="W22" s="667"/>
      <c r="X22" s="1264"/>
      <c r="Y22" s="3384"/>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59"/>
      <c r="Q23" s="1262" t="str">
        <f>B23</f>
        <v>自然及人文环境</v>
      </c>
      <c r="R23" s="666" t="s">
        <v>18</v>
      </c>
      <c r="S23" s="667">
        <f>F23</f>
        <v>100</v>
      </c>
      <c r="T23" s="666" t="s">
        <v>18</v>
      </c>
      <c r="U23" s="667">
        <f>H23</f>
        <v>100</v>
      </c>
      <c r="V23" s="666" t="s">
        <v>18</v>
      </c>
      <c r="W23" s="667">
        <f>J23</f>
        <v>100</v>
      </c>
      <c r="X23" s="1264"/>
      <c r="Y23" s="338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459"/>
      <c r="Q24" s="1262"/>
      <c r="R24" s="666"/>
      <c r="S24" s="667"/>
      <c r="T24" s="666"/>
      <c r="U24" s="667"/>
      <c r="V24" s="666"/>
      <c r="W24" s="667"/>
      <c r="X24" s="1264"/>
      <c r="Y24" s="338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459"/>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4"/>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59"/>
      <c r="Q26" s="1262" t="str">
        <f t="shared" si="11"/>
        <v>朝向</v>
      </c>
      <c r="R26" s="666" t="s">
        <v>18</v>
      </c>
      <c r="S26" s="667">
        <f t="shared" si="12"/>
        <v>100</v>
      </c>
      <c r="T26" s="666" t="s">
        <v>18</v>
      </c>
      <c r="U26" s="667">
        <f t="shared" si="13"/>
        <v>100</v>
      </c>
      <c r="V26" s="666" t="s">
        <v>18</v>
      </c>
      <c r="W26" s="667">
        <f t="shared" si="14"/>
        <v>100</v>
      </c>
      <c r="X26" s="1264"/>
      <c r="Y26" s="3384"/>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459"/>
      <c r="Q27" s="530">
        <f t="shared" si="11"/>
        <v>111</v>
      </c>
      <c r="R27" s="663" t="s">
        <v>18</v>
      </c>
      <c r="S27" s="664">
        <f t="shared" si="12"/>
        <v>100</v>
      </c>
      <c r="T27" s="663" t="s">
        <v>18</v>
      </c>
      <c r="U27" s="664">
        <f t="shared" si="13"/>
        <v>100</v>
      </c>
      <c r="V27" s="663" t="s">
        <v>18</v>
      </c>
      <c r="W27" s="664">
        <f t="shared" si="14"/>
        <v>100</v>
      </c>
      <c r="X27" s="665"/>
      <c r="Y27" s="3384"/>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59"/>
      <c r="Q28" s="1262">
        <f t="shared" si="11"/>
        <v>111</v>
      </c>
      <c r="R28" s="666" t="s">
        <v>18</v>
      </c>
      <c r="S28" s="667">
        <f t="shared" si="12"/>
        <v>100</v>
      </c>
      <c r="T28" s="666" t="s">
        <v>18</v>
      </c>
      <c r="U28" s="667">
        <f t="shared" si="13"/>
        <v>100</v>
      </c>
      <c r="V28" s="666" t="s">
        <v>18</v>
      </c>
      <c r="W28" s="667">
        <f t="shared" si="14"/>
        <v>100</v>
      </c>
      <c r="X28" s="1264"/>
      <c r="Y28" s="3384"/>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59"/>
      <c r="Q29" s="1262">
        <f t="shared" si="11"/>
        <v>111</v>
      </c>
      <c r="R29" s="666" t="s">
        <v>18</v>
      </c>
      <c r="S29" s="667">
        <f t="shared" si="12"/>
        <v>100</v>
      </c>
      <c r="T29" s="666" t="s">
        <v>18</v>
      </c>
      <c r="U29" s="667">
        <f t="shared" si="13"/>
        <v>100</v>
      </c>
      <c r="V29" s="666" t="s">
        <v>18</v>
      </c>
      <c r="W29" s="667">
        <f t="shared" si="14"/>
        <v>100</v>
      </c>
      <c r="X29" s="1264"/>
      <c r="Y29" s="3384"/>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59"/>
      <c r="Q30" s="1262">
        <f t="shared" si="11"/>
        <v>111</v>
      </c>
      <c r="R30" s="666" t="s">
        <v>18</v>
      </c>
      <c r="S30" s="667">
        <f t="shared" si="12"/>
        <v>100</v>
      </c>
      <c r="T30" s="666" t="s">
        <v>18</v>
      </c>
      <c r="U30" s="667">
        <f t="shared" si="13"/>
        <v>100</v>
      </c>
      <c r="V30" s="666" t="s">
        <v>18</v>
      </c>
      <c r="W30" s="667">
        <f t="shared" si="14"/>
        <v>100</v>
      </c>
      <c r="X30" s="1264"/>
      <c r="Y30" s="3384"/>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59"/>
      <c r="Q31" s="1262">
        <f t="shared" si="11"/>
        <v>111</v>
      </c>
      <c r="R31" s="666" t="s">
        <v>18</v>
      </c>
      <c r="S31" s="667">
        <f t="shared" si="12"/>
        <v>100</v>
      </c>
      <c r="T31" s="666" t="s">
        <v>18</v>
      </c>
      <c r="U31" s="667">
        <f t="shared" si="13"/>
        <v>100</v>
      </c>
      <c r="V31" s="666" t="s">
        <v>18</v>
      </c>
      <c r="W31" s="667">
        <f t="shared" si="14"/>
        <v>100</v>
      </c>
      <c r="X31" s="1264"/>
      <c r="Y31" s="3384"/>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454" t="s">
        <v>1696</v>
      </c>
      <c r="Q32" s="1262" t="str">
        <f t="shared" si="11"/>
        <v>建筑类型</v>
      </c>
      <c r="R32" s="666" t="s">
        <v>18</v>
      </c>
      <c r="S32" s="667">
        <f t="shared" si="12"/>
        <v>100</v>
      </c>
      <c r="T32" s="666" t="s">
        <v>18</v>
      </c>
      <c r="U32" s="667">
        <f t="shared" si="13"/>
        <v>100</v>
      </c>
      <c r="V32" s="666" t="s">
        <v>18</v>
      </c>
      <c r="W32" s="667">
        <f t="shared" si="14"/>
        <v>100</v>
      </c>
      <c r="X32" s="1264"/>
      <c r="Y32" s="3385"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55"/>
      <c r="Q33" s="531" t="str">
        <f t="shared" si="11"/>
        <v>项目建筑规模</v>
      </c>
      <c r="R33" s="668" t="s">
        <v>18</v>
      </c>
      <c r="S33" s="669" t="e">
        <f t="shared" si="12"/>
        <v>#N/A</v>
      </c>
      <c r="T33" s="668" t="s">
        <v>18</v>
      </c>
      <c r="U33" s="669" t="e">
        <f t="shared" si="13"/>
        <v>#N/A</v>
      </c>
      <c r="V33" s="668" t="s">
        <v>18</v>
      </c>
      <c r="W33" s="669" t="e">
        <f t="shared" si="14"/>
        <v>#N/A</v>
      </c>
      <c r="X33" s="670"/>
      <c r="Y33" s="3385"/>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55"/>
      <c r="Q34" s="1262" t="str">
        <f t="shared" si="11"/>
        <v>建筑结构</v>
      </c>
      <c r="R34" s="666" t="s">
        <v>18</v>
      </c>
      <c r="S34" s="667">
        <f t="shared" si="12"/>
        <v>100</v>
      </c>
      <c r="T34" s="666" t="s">
        <v>18</v>
      </c>
      <c r="U34" s="667">
        <f t="shared" si="13"/>
        <v>100</v>
      </c>
      <c r="V34" s="666" t="s">
        <v>18</v>
      </c>
      <c r="W34" s="667">
        <f t="shared" si="14"/>
        <v>100</v>
      </c>
      <c r="X34" s="1264"/>
      <c r="Y34" s="338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55"/>
      <c r="Q35" s="1262" t="str">
        <f t="shared" si="11"/>
        <v>建筑品质</v>
      </c>
      <c r="R35" s="666" t="s">
        <v>18</v>
      </c>
      <c r="S35" s="667">
        <f t="shared" si="12"/>
        <v>100</v>
      </c>
      <c r="T35" s="666" t="s">
        <v>18</v>
      </c>
      <c r="U35" s="667">
        <f t="shared" si="13"/>
        <v>100</v>
      </c>
      <c r="V35" s="666" t="s">
        <v>18</v>
      </c>
      <c r="W35" s="667">
        <f t="shared" si="14"/>
        <v>100</v>
      </c>
      <c r="X35" s="1264"/>
      <c r="Y35" s="338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55"/>
      <c r="Q36" s="1262" t="str">
        <f t="shared" si="11"/>
        <v>公共部分装修</v>
      </c>
      <c r="R36" s="666" t="s">
        <v>18</v>
      </c>
      <c r="S36" s="667">
        <f t="shared" si="12"/>
        <v>100</v>
      </c>
      <c r="T36" s="666" t="s">
        <v>18</v>
      </c>
      <c r="U36" s="667">
        <f t="shared" si="13"/>
        <v>100</v>
      </c>
      <c r="V36" s="666" t="s">
        <v>18</v>
      </c>
      <c r="W36" s="667">
        <f t="shared" si="14"/>
        <v>100</v>
      </c>
      <c r="X36" s="1264"/>
      <c r="Y36" s="3385"/>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55"/>
      <c r="Q37" s="530" t="str">
        <f t="shared" si="11"/>
        <v>成新度</v>
      </c>
      <c r="R37" s="663" t="s">
        <v>18</v>
      </c>
      <c r="S37" s="664" t="e">
        <f t="shared" si="12"/>
        <v>#N/A</v>
      </c>
      <c r="T37" s="663" t="s">
        <v>18</v>
      </c>
      <c r="U37" s="664" t="e">
        <f t="shared" si="13"/>
        <v>#N/A</v>
      </c>
      <c r="V37" s="663" t="s">
        <v>18</v>
      </c>
      <c r="W37" s="664" t="e">
        <f t="shared" si="14"/>
        <v>#N/A</v>
      </c>
      <c r="X37" s="665"/>
      <c r="Y37" s="3385"/>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55" t="s">
        <v>1696</v>
      </c>
      <c r="Q38" s="1262" t="str">
        <f t="shared" si="11"/>
        <v>物业管理</v>
      </c>
      <c r="R38" s="666" t="s">
        <v>18</v>
      </c>
      <c r="S38" s="667">
        <f t="shared" si="12"/>
        <v>100</v>
      </c>
      <c r="T38" s="666" t="s">
        <v>18</v>
      </c>
      <c r="U38" s="667">
        <f t="shared" si="13"/>
        <v>100</v>
      </c>
      <c r="V38" s="666" t="s">
        <v>18</v>
      </c>
      <c r="W38" s="667">
        <f t="shared" si="14"/>
        <v>100</v>
      </c>
      <c r="X38" s="1264"/>
      <c r="Y38" s="338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55"/>
      <c r="Q39" s="1262" t="str">
        <f t="shared" si="11"/>
        <v>市政基础设施</v>
      </c>
      <c r="R39" s="666" t="s">
        <v>18</v>
      </c>
      <c r="S39" s="667">
        <f t="shared" si="12"/>
        <v>100</v>
      </c>
      <c r="T39" s="666" t="s">
        <v>18</v>
      </c>
      <c r="U39" s="667">
        <f t="shared" si="13"/>
        <v>100</v>
      </c>
      <c r="V39" s="666" t="s">
        <v>18</v>
      </c>
      <c r="W39" s="667">
        <f t="shared" si="14"/>
        <v>100</v>
      </c>
      <c r="X39" s="1264"/>
      <c r="Y39" s="338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55"/>
      <c r="Q40" s="1262" t="str">
        <f t="shared" si="11"/>
        <v>房型</v>
      </c>
      <c r="R40" s="666" t="s">
        <v>18</v>
      </c>
      <c r="S40" s="667">
        <f t="shared" si="12"/>
        <v>100</v>
      </c>
      <c r="T40" s="666" t="s">
        <v>18</v>
      </c>
      <c r="U40" s="667">
        <f t="shared" si="13"/>
        <v>100</v>
      </c>
      <c r="V40" s="666" t="s">
        <v>18</v>
      </c>
      <c r="W40" s="667">
        <f t="shared" si="14"/>
        <v>100</v>
      </c>
      <c r="X40" s="1264"/>
      <c r="Y40" s="3385"/>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55"/>
      <c r="Q41" s="531" t="str">
        <f t="shared" si="11"/>
        <v>单套/主力户型建筑面积</v>
      </c>
      <c r="R41" s="668" t="s">
        <v>18</v>
      </c>
      <c r="S41" s="669">
        <f t="shared" si="12"/>
        <v>100</v>
      </c>
      <c r="T41" s="668" t="s">
        <v>18</v>
      </c>
      <c r="U41" s="669">
        <f t="shared" si="13"/>
        <v>100</v>
      </c>
      <c r="V41" s="668" t="s">
        <v>18</v>
      </c>
      <c r="W41" s="669">
        <f t="shared" si="14"/>
        <v>100</v>
      </c>
      <c r="X41" s="670"/>
      <c r="Y41" s="3385"/>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55"/>
      <c r="Q42" s="1262" t="str">
        <f t="shared" si="11"/>
        <v>内部装修</v>
      </c>
      <c r="R42" s="666" t="s">
        <v>18</v>
      </c>
      <c r="S42" s="667">
        <f t="shared" si="12"/>
        <v>100</v>
      </c>
      <c r="T42" s="666" t="s">
        <v>18</v>
      </c>
      <c r="U42" s="667">
        <f t="shared" si="13"/>
        <v>100</v>
      </c>
      <c r="V42" s="666" t="s">
        <v>18</v>
      </c>
      <c r="W42" s="667">
        <f t="shared" si="14"/>
        <v>100</v>
      </c>
      <c r="X42" s="1264"/>
      <c r="Y42" s="3385"/>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55"/>
      <c r="Q43" s="1262" t="str">
        <f t="shared" si="11"/>
        <v>内部装修维护情况</v>
      </c>
      <c r="R43" s="666" t="s">
        <v>18</v>
      </c>
      <c r="S43" s="667">
        <f t="shared" si="12"/>
        <v>100</v>
      </c>
      <c r="T43" s="666" t="s">
        <v>18</v>
      </c>
      <c r="U43" s="667">
        <f t="shared" si="13"/>
        <v>100</v>
      </c>
      <c r="V43" s="666" t="s">
        <v>18</v>
      </c>
      <c r="W43" s="667">
        <f t="shared" si="14"/>
        <v>100</v>
      </c>
      <c r="X43" s="1264"/>
      <c r="Y43" s="3385"/>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55"/>
      <c r="Q44" s="530">
        <f t="shared" si="11"/>
        <v>111</v>
      </c>
      <c r="R44" s="663" t="s">
        <v>18</v>
      </c>
      <c r="S44" s="664">
        <f t="shared" si="12"/>
        <v>100</v>
      </c>
      <c r="T44" s="663" t="s">
        <v>18</v>
      </c>
      <c r="U44" s="664">
        <f t="shared" si="13"/>
        <v>100</v>
      </c>
      <c r="V44" s="663" t="s">
        <v>18</v>
      </c>
      <c r="W44" s="664">
        <f t="shared" si="14"/>
        <v>100</v>
      </c>
      <c r="X44" s="665"/>
      <c r="Y44" s="3385"/>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55"/>
      <c r="Q45" s="1262">
        <f t="shared" si="11"/>
        <v>111</v>
      </c>
      <c r="R45" s="666" t="s">
        <v>18</v>
      </c>
      <c r="S45" s="667">
        <f t="shared" si="12"/>
        <v>100</v>
      </c>
      <c r="T45" s="666" t="s">
        <v>18</v>
      </c>
      <c r="U45" s="667">
        <f t="shared" si="13"/>
        <v>100</v>
      </c>
      <c r="V45" s="666" t="s">
        <v>18</v>
      </c>
      <c r="W45" s="667">
        <f t="shared" si="14"/>
        <v>100</v>
      </c>
      <c r="X45" s="1264"/>
      <c r="Y45" s="3385"/>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56"/>
      <c r="Q46" s="1262">
        <f t="shared" si="11"/>
        <v>111</v>
      </c>
      <c r="R46" s="666" t="s">
        <v>17</v>
      </c>
      <c r="S46" s="667">
        <f t="shared" si="12"/>
        <v>100</v>
      </c>
      <c r="T46" s="666" t="s">
        <v>17</v>
      </c>
      <c r="U46" s="667">
        <f t="shared" si="13"/>
        <v>100</v>
      </c>
      <c r="V46" s="666" t="s">
        <v>17</v>
      </c>
      <c r="W46" s="667">
        <f t="shared" si="14"/>
        <v>100</v>
      </c>
      <c r="X46" s="1264"/>
      <c r="Y46" s="3457"/>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0"/>
      <c r="M47" s="2483"/>
      <c r="N47" s="2483"/>
      <c r="O47" s="2483"/>
      <c r="P47" s="3366" t="str">
        <f>A47</f>
        <v>成交单价（元/平方米）</v>
      </c>
      <c r="Q47" s="3366"/>
      <c r="R47" s="3382">
        <f>E47</f>
        <v>0</v>
      </c>
      <c r="S47" s="3382"/>
      <c r="T47" s="3382">
        <f>G47</f>
        <v>0</v>
      </c>
      <c r="U47" s="3382"/>
      <c r="V47" s="3382">
        <f>I47</f>
        <v>0</v>
      </c>
      <c r="W47" s="3382"/>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0"/>
      <c r="M48" s="2483"/>
      <c r="N48" s="2483"/>
      <c r="O48" s="2483"/>
      <c r="P48" s="3366" t="str">
        <f>A48</f>
        <v>比较价值（元/平方米）</v>
      </c>
      <c r="Q48" s="3366"/>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0"/>
      <c r="M49" s="2483"/>
      <c r="N49" s="2483"/>
      <c r="O49" s="2483"/>
      <c r="P49" s="3401" t="str">
        <f>A49</f>
        <v>估价对象XX用房的比较价值（楼面单价，元/平方米）</v>
      </c>
      <c r="Q49" s="3402"/>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1803"/>
      <c r="Q3" s="858"/>
      <c r="R3" s="858"/>
      <c r="S3" s="858"/>
      <c r="T3" s="858"/>
      <c r="U3" s="858"/>
      <c r="V3" s="858"/>
      <c r="W3" s="858"/>
      <c r="X3" s="858"/>
      <c r="Y3" s="858"/>
      <c r="Z3" s="858"/>
      <c r="AA3" s="858"/>
      <c r="AB3" s="858"/>
      <c r="AC3" s="1804"/>
    </row>
    <row r="4" spans="1:29" ht="15">
      <c r="A4" s="345" t="s">
        <v>1769</v>
      </c>
      <c r="B4" s="346"/>
      <c r="C4" s="3363" t="s">
        <v>1770</v>
      </c>
      <c r="D4" s="3389"/>
      <c r="E4" s="3390" t="s">
        <v>1771</v>
      </c>
      <c r="F4" s="3391"/>
      <c r="G4" s="3363" t="s">
        <v>1772</v>
      </c>
      <c r="H4" s="3389"/>
      <c r="I4" s="3363" t="s">
        <v>1773</v>
      </c>
      <c r="J4" s="3389"/>
      <c r="K4" s="537" t="s">
        <v>1774</v>
      </c>
      <c r="L4" s="2482"/>
      <c r="M4" s="2483"/>
      <c r="N4" s="2483"/>
      <c r="O4" s="2483"/>
      <c r="P4" s="3392" t="s">
        <v>1775</v>
      </c>
      <c r="Q4" s="3393"/>
      <c r="R4" s="3369" t="s">
        <v>1771</v>
      </c>
      <c r="S4" s="3370"/>
      <c r="T4" s="3369" t="s">
        <v>1772</v>
      </c>
      <c r="U4" s="3370"/>
      <c r="V4" s="3382" t="s">
        <v>1773</v>
      </c>
      <c r="W4" s="3382"/>
      <c r="X4" s="1264"/>
      <c r="Y4" s="3369" t="s">
        <v>1775</v>
      </c>
      <c r="Z4" s="3370"/>
      <c r="AA4" s="3386" t="s">
        <v>1771</v>
      </c>
      <c r="AB4" s="3382" t="s">
        <v>1772</v>
      </c>
      <c r="AC4" s="3386" t="s">
        <v>1773</v>
      </c>
    </row>
    <row r="5" spans="1:29" ht="15">
      <c r="A5" s="348"/>
      <c r="B5" s="349"/>
      <c r="C5" s="3373" t="s">
        <v>1673</v>
      </c>
      <c r="D5" s="3374"/>
      <c r="E5" s="3398" t="s">
        <v>1674</v>
      </c>
      <c r="F5" s="3399"/>
      <c r="G5" s="3373" t="s">
        <v>1675</v>
      </c>
      <c r="H5" s="3374"/>
      <c r="I5" s="3373" t="s">
        <v>1676</v>
      </c>
      <c r="J5" s="3374"/>
      <c r="K5" s="537"/>
      <c r="L5" s="2482"/>
      <c r="M5" s="2483"/>
      <c r="N5" s="2483"/>
      <c r="O5" s="2483"/>
      <c r="P5" s="3394"/>
      <c r="Q5" s="3395"/>
      <c r="R5" s="3371"/>
      <c r="S5" s="3372"/>
      <c r="T5" s="3371"/>
      <c r="U5" s="3372"/>
      <c r="V5" s="3382"/>
      <c r="W5" s="3382"/>
      <c r="X5" s="1264"/>
      <c r="Y5" s="3371"/>
      <c r="Z5" s="3372"/>
      <c r="AA5" s="3387"/>
      <c r="AB5" s="3382"/>
      <c r="AC5" s="3387"/>
    </row>
    <row r="6" spans="1:29" ht="15.75" thickBot="1">
      <c r="A6" s="350"/>
      <c r="B6" s="351"/>
      <c r="C6" s="3460" t="s">
        <v>1677</v>
      </c>
      <c r="D6" s="3461"/>
      <c r="E6" s="3462" t="s">
        <v>1677</v>
      </c>
      <c r="F6" s="3463"/>
      <c r="G6" s="3460" t="s">
        <v>1677</v>
      </c>
      <c r="H6" s="3461"/>
      <c r="I6" s="3460" t="s">
        <v>1677</v>
      </c>
      <c r="J6" s="3461"/>
      <c r="K6" s="537" t="s">
        <v>1678</v>
      </c>
      <c r="L6" s="2482"/>
      <c r="M6" s="2483"/>
      <c r="N6" s="2483"/>
      <c r="O6" s="2483"/>
      <c r="P6" s="3396"/>
      <c r="Q6" s="3397"/>
      <c r="R6" s="3371"/>
      <c r="S6" s="3372"/>
      <c r="T6" s="3380"/>
      <c r="U6" s="3381"/>
      <c r="V6" s="3382"/>
      <c r="W6" s="3382"/>
      <c r="X6" s="1264"/>
      <c r="Y6" s="3380"/>
      <c r="Z6" s="3381"/>
      <c r="AA6" s="3388"/>
      <c r="AB6" s="3382"/>
      <c r="AC6" s="3388"/>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38"/>
      <c r="L7" s="2484"/>
      <c r="M7" s="2436"/>
      <c r="N7" s="2436"/>
      <c r="O7" s="2436"/>
      <c r="P7" s="3367" t="s">
        <v>1680</v>
      </c>
      <c r="Q7" s="3377"/>
      <c r="R7" s="663" t="s">
        <v>14</v>
      </c>
      <c r="S7" s="664">
        <f t="shared" ref="S7:S15" si="0">F7</f>
        <v>0</v>
      </c>
      <c r="T7" s="663" t="s">
        <v>14</v>
      </c>
      <c r="U7" s="664">
        <f t="shared" ref="U7:U15" si="1">H7</f>
        <v>0</v>
      </c>
      <c r="V7" s="663" t="s">
        <v>14</v>
      </c>
      <c r="W7" s="664">
        <f t="shared" ref="W7:W15" si="2">J7</f>
        <v>0</v>
      </c>
      <c r="X7" s="665"/>
      <c r="Y7" s="3367" t="s">
        <v>1680</v>
      </c>
      <c r="Z7" s="336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67" t="s">
        <v>1683</v>
      </c>
      <c r="Q8" s="3368"/>
      <c r="R8" s="663" t="s">
        <v>14</v>
      </c>
      <c r="S8" s="664">
        <f t="shared" si="0"/>
        <v>100</v>
      </c>
      <c r="T8" s="663" t="s">
        <v>14</v>
      </c>
      <c r="U8" s="664">
        <f t="shared" si="1"/>
        <v>100</v>
      </c>
      <c r="V8" s="663" t="s">
        <v>14</v>
      </c>
      <c r="W8" s="664">
        <f t="shared" si="2"/>
        <v>100</v>
      </c>
      <c r="X8" s="665"/>
      <c r="Y8" s="3367" t="s">
        <v>1683</v>
      </c>
      <c r="Z8" s="336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65" t="s">
        <v>1686</v>
      </c>
      <c r="Q9" s="530" t="str">
        <f t="shared" ref="Q9:Q15" si="6">B9</f>
        <v>用途</v>
      </c>
      <c r="R9" s="663" t="s">
        <v>14</v>
      </c>
      <c r="S9" s="664">
        <f t="shared" si="0"/>
        <v>100</v>
      </c>
      <c r="T9" s="663" t="s">
        <v>14</v>
      </c>
      <c r="U9" s="664">
        <f t="shared" si="1"/>
        <v>100</v>
      </c>
      <c r="V9" s="663" t="s">
        <v>14</v>
      </c>
      <c r="W9" s="664">
        <f t="shared" si="2"/>
        <v>100</v>
      </c>
      <c r="X9" s="665"/>
      <c r="Y9" s="327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65"/>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65"/>
      <c r="Q11" s="530" t="str">
        <f t="shared" si="6"/>
        <v>容积率</v>
      </c>
      <c r="R11" s="663" t="s">
        <v>14</v>
      </c>
      <c r="S11" s="664" t="e">
        <f t="shared" si="0"/>
        <v>#N/A</v>
      </c>
      <c r="T11" s="663" t="s">
        <v>14</v>
      </c>
      <c r="U11" s="664" t="e">
        <f t="shared" si="1"/>
        <v>#N/A</v>
      </c>
      <c r="V11" s="663" t="s">
        <v>14</v>
      </c>
      <c r="W11" s="664" t="e">
        <f t="shared" si="2"/>
        <v>#N/A</v>
      </c>
      <c r="X11" s="665"/>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65"/>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65"/>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65"/>
      <c r="Q14" s="530">
        <f t="shared" si="6"/>
        <v>111</v>
      </c>
      <c r="R14" s="663" t="s">
        <v>14</v>
      </c>
      <c r="S14" s="664">
        <f t="shared" si="0"/>
        <v>100</v>
      </c>
      <c r="T14" s="663" t="s">
        <v>14</v>
      </c>
      <c r="U14" s="664">
        <f t="shared" si="1"/>
        <v>100</v>
      </c>
      <c r="V14" s="663" t="s">
        <v>14</v>
      </c>
      <c r="W14" s="664">
        <f t="shared" si="2"/>
        <v>100</v>
      </c>
      <c r="X14" s="665"/>
      <c r="Y14" s="3270"/>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58" t="s">
        <v>1691</v>
      </c>
      <c r="Q15" s="1262" t="str">
        <f t="shared" si="6"/>
        <v>商业繁华度</v>
      </c>
      <c r="R15" s="666" t="s">
        <v>14</v>
      </c>
      <c r="S15" s="667">
        <f t="shared" si="0"/>
        <v>100</v>
      </c>
      <c r="T15" s="666" t="s">
        <v>14</v>
      </c>
      <c r="U15" s="667">
        <f t="shared" si="1"/>
        <v>100</v>
      </c>
      <c r="V15" s="666" t="s">
        <v>14</v>
      </c>
      <c r="W15" s="667">
        <f t="shared" si="2"/>
        <v>100</v>
      </c>
      <c r="X15" s="1264"/>
      <c r="Y15" s="338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59"/>
      <c r="Q16" s="1262"/>
      <c r="R16" s="666"/>
      <c r="S16" s="667"/>
      <c r="T16" s="666"/>
      <c r="U16" s="667"/>
      <c r="V16" s="666"/>
      <c r="W16" s="667"/>
      <c r="X16" s="1264"/>
      <c r="Y16" s="3384"/>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59"/>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459"/>
      <c r="Q18" s="1262"/>
      <c r="R18" s="666"/>
      <c r="S18" s="667"/>
      <c r="T18" s="666"/>
      <c r="U18" s="667"/>
      <c r="V18" s="666"/>
      <c r="W18" s="667"/>
      <c r="X18" s="1264"/>
      <c r="Y18" s="3384"/>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59"/>
      <c r="Q19" s="1262" t="str">
        <f>B19</f>
        <v>公共配套设施</v>
      </c>
      <c r="R19" s="666" t="s">
        <v>14</v>
      </c>
      <c r="S19" s="667">
        <f>F19</f>
        <v>100</v>
      </c>
      <c r="T19" s="666" t="s">
        <v>14</v>
      </c>
      <c r="U19" s="667">
        <f>H19</f>
        <v>100</v>
      </c>
      <c r="V19" s="666" t="s">
        <v>14</v>
      </c>
      <c r="W19" s="667">
        <f>J19</f>
        <v>100</v>
      </c>
      <c r="X19" s="1264"/>
      <c r="Y19" s="338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459"/>
      <c r="Q20" s="1262"/>
      <c r="R20" s="666"/>
      <c r="S20" s="667"/>
      <c r="T20" s="666"/>
      <c r="U20" s="667"/>
      <c r="V20" s="666"/>
      <c r="W20" s="667"/>
      <c r="X20" s="1264"/>
      <c r="Y20" s="3384"/>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59"/>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8"/>
      <c r="M22" s="2483"/>
      <c r="N22" s="2483"/>
      <c r="O22" s="2483"/>
      <c r="P22" s="3459"/>
      <c r="Q22" s="1262"/>
      <c r="R22" s="666"/>
      <c r="S22" s="667"/>
      <c r="T22" s="666"/>
      <c r="U22" s="667"/>
      <c r="V22" s="666"/>
      <c r="W22" s="667"/>
      <c r="X22" s="1264"/>
      <c r="Y22" s="3384"/>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59"/>
      <c r="Q23" s="1262" t="str">
        <f>B23</f>
        <v>自然及人文环境</v>
      </c>
      <c r="R23" s="666" t="s">
        <v>14</v>
      </c>
      <c r="S23" s="667">
        <f>F23</f>
        <v>100</v>
      </c>
      <c r="T23" s="666" t="s">
        <v>14</v>
      </c>
      <c r="U23" s="667">
        <f>H23</f>
        <v>100</v>
      </c>
      <c r="V23" s="666" t="s">
        <v>14</v>
      </c>
      <c r="W23" s="667">
        <f>J23</f>
        <v>100</v>
      </c>
      <c r="X23" s="1264"/>
      <c r="Y23" s="3384"/>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459"/>
      <c r="Q24" s="1262"/>
      <c r="R24" s="666"/>
      <c r="S24" s="667"/>
      <c r="T24" s="666"/>
      <c r="U24" s="667"/>
      <c r="V24" s="666"/>
      <c r="W24" s="667"/>
      <c r="X24" s="1264"/>
      <c r="Y24" s="338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59"/>
      <c r="Q25" s="1262" t="str">
        <f t="shared" ref="Q25:Q46" si="11">B25</f>
        <v>临街状况</v>
      </c>
      <c r="R25" s="666" t="s">
        <v>14</v>
      </c>
      <c r="S25" s="667">
        <f>F25</f>
        <v>100</v>
      </c>
      <c r="T25" s="666" t="s">
        <v>14</v>
      </c>
      <c r="U25" s="667">
        <f>H25</f>
        <v>100</v>
      </c>
      <c r="V25" s="666" t="s">
        <v>14</v>
      </c>
      <c r="W25" s="667">
        <f>J25</f>
        <v>100</v>
      </c>
      <c r="X25" s="1264"/>
      <c r="Y25" s="3384"/>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59"/>
      <c r="Q26" s="1262" t="str">
        <f t="shared" si="11"/>
        <v>平面位置/可视性</v>
      </c>
      <c r="R26" s="666" t="s">
        <v>14</v>
      </c>
      <c r="S26" s="667">
        <f>F26</f>
        <v>100</v>
      </c>
      <c r="T26" s="666" t="s">
        <v>14</v>
      </c>
      <c r="U26" s="667">
        <f>H26</f>
        <v>100</v>
      </c>
      <c r="V26" s="666" t="s">
        <v>14</v>
      </c>
      <c r="W26" s="667">
        <f>J26</f>
        <v>100</v>
      </c>
      <c r="X26" s="1264"/>
      <c r="Y26" s="3384"/>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459"/>
      <c r="Q27" s="530" t="str">
        <f t="shared" si="11"/>
        <v>人流量</v>
      </c>
      <c r="R27" s="663" t="s">
        <v>14</v>
      </c>
      <c r="S27" s="664">
        <f>F27</f>
        <v>100</v>
      </c>
      <c r="T27" s="663" t="s">
        <v>14</v>
      </c>
      <c r="U27" s="664">
        <f>H27</f>
        <v>100</v>
      </c>
      <c r="V27" s="663" t="s">
        <v>14</v>
      </c>
      <c r="W27" s="664">
        <f>J27</f>
        <v>100</v>
      </c>
      <c r="X27" s="665"/>
      <c r="Y27" s="338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59"/>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4"/>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59"/>
      <c r="Q29" s="1262">
        <f t="shared" si="11"/>
        <v>111</v>
      </c>
      <c r="R29" s="666" t="s">
        <v>14</v>
      </c>
      <c r="S29" s="667">
        <f t="shared" si="12"/>
        <v>100</v>
      </c>
      <c r="T29" s="666" t="s">
        <v>14</v>
      </c>
      <c r="U29" s="667">
        <f t="shared" si="13"/>
        <v>100</v>
      </c>
      <c r="V29" s="666" t="s">
        <v>14</v>
      </c>
      <c r="W29" s="667">
        <f t="shared" si="14"/>
        <v>100</v>
      </c>
      <c r="X29" s="1264"/>
      <c r="Y29" s="3384"/>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59"/>
      <c r="Q30" s="1262">
        <f t="shared" si="11"/>
        <v>111</v>
      </c>
      <c r="R30" s="666" t="s">
        <v>14</v>
      </c>
      <c r="S30" s="667">
        <f t="shared" si="12"/>
        <v>100</v>
      </c>
      <c r="T30" s="666" t="s">
        <v>14</v>
      </c>
      <c r="U30" s="667">
        <f t="shared" si="13"/>
        <v>100</v>
      </c>
      <c r="V30" s="666" t="s">
        <v>14</v>
      </c>
      <c r="W30" s="667">
        <f t="shared" si="14"/>
        <v>100</v>
      </c>
      <c r="X30" s="1264"/>
      <c r="Y30" s="3384"/>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59"/>
      <c r="Q31" s="1262">
        <f t="shared" si="11"/>
        <v>111</v>
      </c>
      <c r="R31" s="666" t="s">
        <v>14</v>
      </c>
      <c r="S31" s="667">
        <f t="shared" si="12"/>
        <v>100</v>
      </c>
      <c r="T31" s="666" t="s">
        <v>14</v>
      </c>
      <c r="U31" s="667">
        <f t="shared" si="13"/>
        <v>100</v>
      </c>
      <c r="V31" s="666" t="s">
        <v>14</v>
      </c>
      <c r="W31" s="667">
        <f t="shared" si="14"/>
        <v>100</v>
      </c>
      <c r="X31" s="1264"/>
      <c r="Y31" s="3384"/>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54" t="s">
        <v>1696</v>
      </c>
      <c r="Q32" s="1262" t="str">
        <f t="shared" si="11"/>
        <v>商业类型</v>
      </c>
      <c r="R32" s="666" t="s">
        <v>14</v>
      </c>
      <c r="S32" s="667">
        <f t="shared" si="12"/>
        <v>100</v>
      </c>
      <c r="T32" s="666" t="s">
        <v>14</v>
      </c>
      <c r="U32" s="667">
        <f t="shared" si="13"/>
        <v>100</v>
      </c>
      <c r="V32" s="666" t="s">
        <v>14</v>
      </c>
      <c r="W32" s="667">
        <f t="shared" si="14"/>
        <v>100</v>
      </c>
      <c r="X32" s="1264"/>
      <c r="Y32" s="3385"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55"/>
      <c r="Q33" s="531" t="str">
        <f t="shared" si="11"/>
        <v>项目建筑规模</v>
      </c>
      <c r="R33" s="668" t="s">
        <v>14</v>
      </c>
      <c r="S33" s="669" t="e">
        <f t="shared" si="12"/>
        <v>#N/A</v>
      </c>
      <c r="T33" s="668" t="s">
        <v>14</v>
      </c>
      <c r="U33" s="669" t="e">
        <f t="shared" si="13"/>
        <v>#N/A</v>
      </c>
      <c r="V33" s="668" t="s">
        <v>14</v>
      </c>
      <c r="W33" s="669" t="e">
        <f t="shared" si="14"/>
        <v>#N/A</v>
      </c>
      <c r="X33" s="670"/>
      <c r="Y33" s="3385"/>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55"/>
      <c r="Q34" s="1262" t="str">
        <f t="shared" si="11"/>
        <v>建筑结构</v>
      </c>
      <c r="R34" s="666" t="s">
        <v>14</v>
      </c>
      <c r="S34" s="667">
        <f t="shared" si="12"/>
        <v>100</v>
      </c>
      <c r="T34" s="666" t="s">
        <v>14</v>
      </c>
      <c r="U34" s="667">
        <f t="shared" si="13"/>
        <v>100</v>
      </c>
      <c r="V34" s="666" t="s">
        <v>14</v>
      </c>
      <c r="W34" s="667">
        <f t="shared" si="14"/>
        <v>100</v>
      </c>
      <c r="X34" s="1264"/>
      <c r="Y34" s="3385"/>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55"/>
      <c r="Q35" s="1262" t="str">
        <f t="shared" si="11"/>
        <v>公共部分装修</v>
      </c>
      <c r="R35" s="666" t="s">
        <v>14</v>
      </c>
      <c r="S35" s="667">
        <f t="shared" si="12"/>
        <v>100</v>
      </c>
      <c r="T35" s="666" t="s">
        <v>14</v>
      </c>
      <c r="U35" s="667">
        <f t="shared" si="13"/>
        <v>100</v>
      </c>
      <c r="V35" s="666" t="s">
        <v>14</v>
      </c>
      <c r="W35" s="667">
        <f t="shared" si="14"/>
        <v>100</v>
      </c>
      <c r="X35" s="1264"/>
      <c r="Y35" s="3385"/>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55"/>
      <c r="Q36" s="1262" t="str">
        <f t="shared" si="11"/>
        <v>成新度</v>
      </c>
      <c r="R36" s="666" t="s">
        <v>14</v>
      </c>
      <c r="S36" s="667" t="e">
        <f t="shared" si="12"/>
        <v>#N/A</v>
      </c>
      <c r="T36" s="666" t="s">
        <v>14</v>
      </c>
      <c r="U36" s="667" t="e">
        <f t="shared" si="13"/>
        <v>#N/A</v>
      </c>
      <c r="V36" s="666" t="s">
        <v>14</v>
      </c>
      <c r="W36" s="667" t="e">
        <f t="shared" si="14"/>
        <v>#N/A</v>
      </c>
      <c r="X36" s="1264"/>
      <c r="Y36" s="3385"/>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55"/>
      <c r="Q37" s="530" t="str">
        <f t="shared" si="11"/>
        <v>市政基础设施</v>
      </c>
      <c r="R37" s="663" t="s">
        <v>14</v>
      </c>
      <c r="S37" s="664">
        <f t="shared" si="12"/>
        <v>100</v>
      </c>
      <c r="T37" s="663" t="s">
        <v>14</v>
      </c>
      <c r="U37" s="664">
        <f t="shared" si="13"/>
        <v>100</v>
      </c>
      <c r="V37" s="663" t="s">
        <v>14</v>
      </c>
      <c r="W37" s="664">
        <f t="shared" si="14"/>
        <v>100</v>
      </c>
      <c r="X37" s="665"/>
      <c r="Y37" s="338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55" t="s">
        <v>1696</v>
      </c>
      <c r="Q38" s="1262" t="str">
        <f t="shared" si="11"/>
        <v>业态</v>
      </c>
      <c r="R38" s="666" t="s">
        <v>14</v>
      </c>
      <c r="S38" s="667">
        <f t="shared" si="12"/>
        <v>100</v>
      </c>
      <c r="T38" s="666" t="s">
        <v>14</v>
      </c>
      <c r="U38" s="667">
        <f t="shared" si="13"/>
        <v>100</v>
      </c>
      <c r="V38" s="666" t="s">
        <v>14</v>
      </c>
      <c r="W38" s="667">
        <f t="shared" si="14"/>
        <v>100</v>
      </c>
      <c r="X38" s="1264"/>
      <c r="Y38" s="3385"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55"/>
      <c r="Q39" s="1262" t="str">
        <f t="shared" si="11"/>
        <v>层高</v>
      </c>
      <c r="R39" s="666" t="s">
        <v>14</v>
      </c>
      <c r="S39" s="667">
        <f t="shared" si="12"/>
        <v>100</v>
      </c>
      <c r="T39" s="666" t="s">
        <v>14</v>
      </c>
      <c r="U39" s="667">
        <f t="shared" si="13"/>
        <v>100</v>
      </c>
      <c r="V39" s="666" t="s">
        <v>14</v>
      </c>
      <c r="W39" s="667">
        <f t="shared" si="14"/>
        <v>100</v>
      </c>
      <c r="X39" s="1264"/>
      <c r="Y39" s="3385"/>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55"/>
      <c r="Q40" s="1262" t="str">
        <f t="shared" si="11"/>
        <v>单套建筑面积</v>
      </c>
      <c r="R40" s="666" t="s">
        <v>14</v>
      </c>
      <c r="S40" s="667">
        <f t="shared" si="12"/>
        <v>100</v>
      </c>
      <c r="T40" s="666" t="s">
        <v>14</v>
      </c>
      <c r="U40" s="667">
        <f t="shared" si="13"/>
        <v>100</v>
      </c>
      <c r="V40" s="666" t="s">
        <v>14</v>
      </c>
      <c r="W40" s="667">
        <f t="shared" si="14"/>
        <v>100</v>
      </c>
      <c r="X40" s="1264"/>
      <c r="Y40" s="3385"/>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55"/>
      <c r="Q41" s="531" t="str">
        <f t="shared" si="11"/>
        <v>进深比</v>
      </c>
      <c r="R41" s="668" t="s">
        <v>14</v>
      </c>
      <c r="S41" s="669">
        <f t="shared" si="12"/>
        <v>100</v>
      </c>
      <c r="T41" s="668" t="s">
        <v>14</v>
      </c>
      <c r="U41" s="669">
        <f t="shared" si="13"/>
        <v>100</v>
      </c>
      <c r="V41" s="668" t="s">
        <v>14</v>
      </c>
      <c r="W41" s="669">
        <f t="shared" si="14"/>
        <v>100</v>
      </c>
      <c r="X41" s="670"/>
      <c r="Y41" s="3385"/>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55"/>
      <c r="Q42" s="1262" t="str">
        <f t="shared" si="11"/>
        <v>内部装修</v>
      </c>
      <c r="R42" s="666" t="s">
        <v>14</v>
      </c>
      <c r="S42" s="667">
        <f t="shared" si="12"/>
        <v>100</v>
      </c>
      <c r="T42" s="666" t="s">
        <v>14</v>
      </c>
      <c r="U42" s="667">
        <f t="shared" si="13"/>
        <v>100</v>
      </c>
      <c r="V42" s="666" t="s">
        <v>14</v>
      </c>
      <c r="W42" s="667">
        <f t="shared" si="14"/>
        <v>100</v>
      </c>
      <c r="X42" s="1264"/>
      <c r="Y42" s="3385"/>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55"/>
      <c r="Q43" s="1262" t="str">
        <f t="shared" si="11"/>
        <v>内部装修维护情况</v>
      </c>
      <c r="R43" s="666" t="s">
        <v>14</v>
      </c>
      <c r="S43" s="667">
        <f t="shared" si="12"/>
        <v>100</v>
      </c>
      <c r="T43" s="666" t="s">
        <v>14</v>
      </c>
      <c r="U43" s="667">
        <f t="shared" si="13"/>
        <v>100</v>
      </c>
      <c r="V43" s="666" t="s">
        <v>14</v>
      </c>
      <c r="W43" s="667">
        <f t="shared" si="14"/>
        <v>100</v>
      </c>
      <c r="X43" s="1264"/>
      <c r="Y43" s="3385"/>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55"/>
      <c r="Q44" s="530">
        <f t="shared" si="11"/>
        <v>111</v>
      </c>
      <c r="R44" s="663" t="s">
        <v>14</v>
      </c>
      <c r="S44" s="664">
        <f t="shared" si="12"/>
        <v>100</v>
      </c>
      <c r="T44" s="663" t="s">
        <v>14</v>
      </c>
      <c r="U44" s="664">
        <f t="shared" si="13"/>
        <v>100</v>
      </c>
      <c r="V44" s="663" t="s">
        <v>14</v>
      </c>
      <c r="W44" s="664">
        <f t="shared" si="14"/>
        <v>100</v>
      </c>
      <c r="X44" s="665"/>
      <c r="Y44" s="3385"/>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55"/>
      <c r="Q45" s="1262">
        <f t="shared" si="11"/>
        <v>111</v>
      </c>
      <c r="R45" s="666" t="s">
        <v>14</v>
      </c>
      <c r="S45" s="667">
        <f t="shared" si="12"/>
        <v>100</v>
      </c>
      <c r="T45" s="666" t="s">
        <v>14</v>
      </c>
      <c r="U45" s="667">
        <f t="shared" si="13"/>
        <v>100</v>
      </c>
      <c r="V45" s="666" t="s">
        <v>14</v>
      </c>
      <c r="W45" s="667">
        <f t="shared" si="14"/>
        <v>100</v>
      </c>
      <c r="X45" s="1264"/>
      <c r="Y45" s="338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56"/>
      <c r="Q46" s="1262">
        <f t="shared" si="11"/>
        <v>111</v>
      </c>
      <c r="R46" s="666" t="s">
        <v>14</v>
      </c>
      <c r="S46" s="667">
        <f t="shared" si="12"/>
        <v>100</v>
      </c>
      <c r="T46" s="666" t="s">
        <v>14</v>
      </c>
      <c r="U46" s="667">
        <f t="shared" si="13"/>
        <v>100</v>
      </c>
      <c r="V46" s="666" t="s">
        <v>14</v>
      </c>
      <c r="W46" s="667">
        <f t="shared" si="14"/>
        <v>100</v>
      </c>
      <c r="X46" s="1264"/>
      <c r="Y46" s="3457"/>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0"/>
      <c r="M47" s="2483"/>
      <c r="N47" s="2483"/>
      <c r="O47" s="2483"/>
      <c r="P47" s="3366" t="str">
        <f>A47</f>
        <v>成交单价（元/平方米）</v>
      </c>
      <c r="Q47" s="3366"/>
      <c r="R47" s="3382">
        <f>E47</f>
        <v>0</v>
      </c>
      <c r="S47" s="3382"/>
      <c r="T47" s="3382">
        <f>G47</f>
        <v>0</v>
      </c>
      <c r="U47" s="3382"/>
      <c r="V47" s="3382">
        <f>I47</f>
        <v>0</v>
      </c>
      <c r="W47" s="3382"/>
      <c r="X47" s="385"/>
      <c r="Y47" s="672"/>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0"/>
      <c r="M48" s="2483"/>
      <c r="N48" s="2483"/>
      <c r="O48" s="2483"/>
      <c r="P48" s="3366" t="str">
        <f>A48</f>
        <v>比较价值（元/平方米）</v>
      </c>
      <c r="Q48" s="3366"/>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0"/>
      <c r="M49" s="2483"/>
      <c r="N49" s="2483"/>
      <c r="O49" s="2483"/>
      <c r="P49" s="3401" t="str">
        <f>A49</f>
        <v>估价对象XX用房的比较价值（楼面单价，元/平方米）</v>
      </c>
      <c r="Q49" s="3402"/>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7" t="s">
        <v>1798</v>
      </c>
      <c r="B57" s="385"/>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2"/>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341"/>
      <c r="Q3" s="341"/>
      <c r="R3" s="341"/>
      <c r="S3" s="341"/>
      <c r="T3" s="341"/>
      <c r="U3" s="341"/>
      <c r="V3" s="341"/>
      <c r="W3" s="341"/>
      <c r="X3" s="341"/>
      <c r="Y3" s="341"/>
      <c r="Z3" s="341"/>
      <c r="AA3" s="341"/>
      <c r="AB3" s="341"/>
      <c r="AC3" s="662"/>
    </row>
    <row r="4" spans="1:29" ht="15">
      <c r="A4" s="345" t="s">
        <v>1769</v>
      </c>
      <c r="B4" s="346"/>
      <c r="C4" s="3363" t="s">
        <v>1770</v>
      </c>
      <c r="D4" s="3389"/>
      <c r="E4" s="3390" t="s">
        <v>1771</v>
      </c>
      <c r="F4" s="3391"/>
      <c r="G4" s="3363" t="s">
        <v>1772</v>
      </c>
      <c r="H4" s="3389"/>
      <c r="I4" s="3363" t="s">
        <v>1773</v>
      </c>
      <c r="J4" s="3389"/>
      <c r="K4" s="537" t="s">
        <v>1774</v>
      </c>
      <c r="L4" s="2482"/>
      <c r="M4" s="2483"/>
      <c r="N4" s="2483"/>
      <c r="O4" s="2483"/>
      <c r="P4" s="3470" t="s">
        <v>1775</v>
      </c>
      <c r="Q4" s="3471"/>
      <c r="R4" s="3474" t="s">
        <v>1771</v>
      </c>
      <c r="S4" s="3475"/>
      <c r="T4" s="3474" t="s">
        <v>1772</v>
      </c>
      <c r="U4" s="3475"/>
      <c r="V4" s="3476" t="s">
        <v>1773</v>
      </c>
      <c r="W4" s="3476"/>
      <c r="X4" s="1808"/>
      <c r="Y4" s="3474" t="s">
        <v>1775</v>
      </c>
      <c r="Z4" s="3475"/>
      <c r="AA4" s="3478" t="s">
        <v>1771</v>
      </c>
      <c r="AB4" s="3478" t="s">
        <v>1772</v>
      </c>
      <c r="AC4" s="3467" t="s">
        <v>1773</v>
      </c>
    </row>
    <row r="5" spans="1:29" ht="15">
      <c r="A5" s="348"/>
      <c r="B5" s="349"/>
      <c r="C5" s="3373" t="s">
        <v>1673</v>
      </c>
      <c r="D5" s="3374"/>
      <c r="E5" s="3398" t="s">
        <v>1674</v>
      </c>
      <c r="F5" s="3399"/>
      <c r="G5" s="3373" t="s">
        <v>1675</v>
      </c>
      <c r="H5" s="3374"/>
      <c r="I5" s="3373" t="s">
        <v>1676</v>
      </c>
      <c r="J5" s="3374"/>
      <c r="K5" s="537"/>
      <c r="L5" s="2482"/>
      <c r="M5" s="2483"/>
      <c r="N5" s="2483"/>
      <c r="O5" s="2483"/>
      <c r="P5" s="3472"/>
      <c r="Q5" s="3395"/>
      <c r="R5" s="3371"/>
      <c r="S5" s="3372"/>
      <c r="T5" s="3371"/>
      <c r="U5" s="3372"/>
      <c r="V5" s="3382"/>
      <c r="W5" s="3382"/>
      <c r="X5" s="1264"/>
      <c r="Y5" s="3371"/>
      <c r="Z5" s="3372"/>
      <c r="AA5" s="3387"/>
      <c r="AB5" s="3387"/>
      <c r="AC5" s="3468"/>
    </row>
    <row r="6" spans="1:29" ht="15.75" thickBot="1">
      <c r="A6" s="350"/>
      <c r="B6" s="351"/>
      <c r="C6" s="3460" t="s">
        <v>1677</v>
      </c>
      <c r="D6" s="3461"/>
      <c r="E6" s="3462" t="s">
        <v>1677</v>
      </c>
      <c r="F6" s="3463"/>
      <c r="G6" s="3460" t="s">
        <v>1677</v>
      </c>
      <c r="H6" s="3461"/>
      <c r="I6" s="3460" t="s">
        <v>1677</v>
      </c>
      <c r="J6" s="3461"/>
      <c r="K6" s="537" t="s">
        <v>1678</v>
      </c>
      <c r="L6" s="2482"/>
      <c r="M6" s="2483"/>
      <c r="N6" s="2483"/>
      <c r="O6" s="2483"/>
      <c r="P6" s="3473"/>
      <c r="Q6" s="3397"/>
      <c r="R6" s="3371"/>
      <c r="S6" s="3372"/>
      <c r="T6" s="3380"/>
      <c r="U6" s="3381"/>
      <c r="V6" s="3382"/>
      <c r="W6" s="3382"/>
      <c r="X6" s="1264"/>
      <c r="Y6" s="3380"/>
      <c r="Z6" s="3381"/>
      <c r="AA6" s="3388"/>
      <c r="AB6" s="3388"/>
      <c r="AC6" s="3469"/>
    </row>
    <row r="7" spans="1:29" s="102" customFormat="1" ht="15.75" thickBot="1">
      <c r="A7" s="352" t="s">
        <v>1679</v>
      </c>
      <c r="B7" s="353"/>
      <c r="C7" s="354">
        <f>'数据-取费表'!B2</f>
        <v>45587</v>
      </c>
      <c r="D7" s="355">
        <v>100</v>
      </c>
      <c r="E7" s="356"/>
      <c r="F7" s="357">
        <f>SUMIF(59:59,YEAR(E7)&amp;"-"&amp;MONTH(E7),60:60)</f>
        <v>0</v>
      </c>
      <c r="G7" s="356"/>
      <c r="H7" s="355">
        <f>SUMIF(59:59,YEAR(G7)&amp;"-"&amp;MONTH(G7),60:60)</f>
        <v>0</v>
      </c>
      <c r="I7" s="356"/>
      <c r="J7" s="355">
        <f>SUMIF(59:59,YEAR(I7)&amp;"-"&amp;MONTH(I7),60:60)</f>
        <v>0</v>
      </c>
      <c r="K7" s="38"/>
      <c r="L7" s="2484"/>
      <c r="M7" s="2436"/>
      <c r="N7" s="2436"/>
      <c r="O7" s="2436"/>
      <c r="P7" s="3477" t="s">
        <v>1680</v>
      </c>
      <c r="Q7" s="3377"/>
      <c r="R7" s="663" t="s">
        <v>14</v>
      </c>
      <c r="S7" s="664">
        <f t="shared" ref="S7:S15" si="0">F7</f>
        <v>0</v>
      </c>
      <c r="T7" s="663" t="s">
        <v>14</v>
      </c>
      <c r="U7" s="664">
        <f t="shared" ref="U7:U15" si="1">H7</f>
        <v>0</v>
      </c>
      <c r="V7" s="663" t="s">
        <v>14</v>
      </c>
      <c r="W7" s="664">
        <f t="shared" ref="W7:W15" si="2">J7</f>
        <v>0</v>
      </c>
      <c r="X7" s="665"/>
      <c r="Y7" s="3367" t="s">
        <v>1680</v>
      </c>
      <c r="Z7" s="3368"/>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77" t="s">
        <v>1683</v>
      </c>
      <c r="Q8" s="3368"/>
      <c r="R8" s="663" t="s">
        <v>14</v>
      </c>
      <c r="S8" s="664">
        <f t="shared" si="0"/>
        <v>100</v>
      </c>
      <c r="T8" s="663" t="s">
        <v>14</v>
      </c>
      <c r="U8" s="664">
        <f t="shared" si="1"/>
        <v>100</v>
      </c>
      <c r="V8" s="663" t="s">
        <v>14</v>
      </c>
      <c r="W8" s="664">
        <f t="shared" si="2"/>
        <v>100</v>
      </c>
      <c r="X8" s="665"/>
      <c r="Y8" s="3367" t="s">
        <v>1683</v>
      </c>
      <c r="Z8" s="3368"/>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365" t="s">
        <v>1686</v>
      </c>
      <c r="Q9" s="530" t="str">
        <f t="shared" ref="Q9:Q15" si="6">B9</f>
        <v>用途</v>
      </c>
      <c r="R9" s="663" t="s">
        <v>14</v>
      </c>
      <c r="S9" s="664">
        <f t="shared" si="0"/>
        <v>100</v>
      </c>
      <c r="T9" s="663" t="s">
        <v>14</v>
      </c>
      <c r="U9" s="664">
        <f t="shared" si="1"/>
        <v>100</v>
      </c>
      <c r="V9" s="663" t="s">
        <v>14</v>
      </c>
      <c r="W9" s="664">
        <f t="shared" si="2"/>
        <v>100</v>
      </c>
      <c r="X9" s="665"/>
      <c r="Y9" s="3270" t="s">
        <v>1687</v>
      </c>
      <c r="Z9" s="50" t="str">
        <f t="shared" ref="Z9:Z15" si="7">Q9</f>
        <v>用途</v>
      </c>
      <c r="AA9" s="50">
        <f t="shared" si="3"/>
        <v>1</v>
      </c>
      <c r="AB9" s="50">
        <f t="shared" si="4"/>
        <v>1</v>
      </c>
      <c r="AC9" s="801">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65"/>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65"/>
      <c r="Q11" s="530" t="str">
        <f t="shared" si="6"/>
        <v>容积率</v>
      </c>
      <c r="R11" s="663" t="s">
        <v>14</v>
      </c>
      <c r="S11" s="664">
        <f t="shared" si="0"/>
        <v>100</v>
      </c>
      <c r="T11" s="663" t="s">
        <v>14</v>
      </c>
      <c r="U11" s="664">
        <f t="shared" si="1"/>
        <v>100</v>
      </c>
      <c r="V11" s="663" t="s">
        <v>14</v>
      </c>
      <c r="W11" s="664">
        <f t="shared" si="2"/>
        <v>100</v>
      </c>
      <c r="X11" s="665"/>
      <c r="Y11" s="327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365"/>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65"/>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65"/>
      <c r="Q14" s="530">
        <f t="shared" si="6"/>
        <v>111</v>
      </c>
      <c r="R14" s="663" t="s">
        <v>14</v>
      </c>
      <c r="S14" s="664">
        <f t="shared" si="0"/>
        <v>100</v>
      </c>
      <c r="T14" s="663" t="s">
        <v>14</v>
      </c>
      <c r="U14" s="664">
        <f t="shared" si="1"/>
        <v>100</v>
      </c>
      <c r="V14" s="663" t="s">
        <v>14</v>
      </c>
      <c r="W14" s="664">
        <f t="shared" si="2"/>
        <v>100</v>
      </c>
      <c r="X14" s="665"/>
      <c r="Y14" s="3270"/>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58" t="s">
        <v>1691</v>
      </c>
      <c r="Q15" s="1262" t="str">
        <f t="shared" si="6"/>
        <v>办公集聚程度</v>
      </c>
      <c r="R15" s="666" t="s">
        <v>14</v>
      </c>
      <c r="S15" s="667">
        <f t="shared" si="0"/>
        <v>100</v>
      </c>
      <c r="T15" s="666" t="s">
        <v>14</v>
      </c>
      <c r="U15" s="667">
        <f t="shared" si="1"/>
        <v>100</v>
      </c>
      <c r="V15" s="666" t="s">
        <v>14</v>
      </c>
      <c r="W15" s="667">
        <f t="shared" si="2"/>
        <v>100</v>
      </c>
      <c r="X15" s="1264"/>
      <c r="Y15" s="3383"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8"/>
      <c r="M16" s="2483"/>
      <c r="N16" s="2483"/>
      <c r="O16" s="2483"/>
      <c r="P16" s="3459"/>
      <c r="Q16" s="1262"/>
      <c r="R16" s="666"/>
      <c r="S16" s="667"/>
      <c r="T16" s="666"/>
      <c r="U16" s="667"/>
      <c r="V16" s="666"/>
      <c r="W16" s="667"/>
      <c r="X16" s="1264"/>
      <c r="Y16" s="3384"/>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59"/>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8"/>
      <c r="M18" s="2483"/>
      <c r="N18" s="2483"/>
      <c r="O18" s="2483"/>
      <c r="P18" s="3459"/>
      <c r="Q18" s="1262"/>
      <c r="R18" s="666"/>
      <c r="S18" s="667"/>
      <c r="T18" s="666"/>
      <c r="U18" s="667"/>
      <c r="V18" s="666"/>
      <c r="W18" s="667"/>
      <c r="X18" s="1264"/>
      <c r="Y18" s="3384"/>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59"/>
      <c r="Q19" s="1262" t="str">
        <f>B19</f>
        <v>公共配套设施</v>
      </c>
      <c r="R19" s="666" t="s">
        <v>14</v>
      </c>
      <c r="S19" s="667">
        <f>F19</f>
        <v>100</v>
      </c>
      <c r="T19" s="666" t="s">
        <v>14</v>
      </c>
      <c r="U19" s="667">
        <f>H19</f>
        <v>100</v>
      </c>
      <c r="V19" s="666" t="s">
        <v>14</v>
      </c>
      <c r="W19" s="667">
        <f>J19</f>
        <v>100</v>
      </c>
      <c r="X19" s="1264"/>
      <c r="Y19" s="3384"/>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8"/>
      <c r="M20" s="2483"/>
      <c r="N20" s="2483"/>
      <c r="O20" s="2483"/>
      <c r="P20" s="3459"/>
      <c r="Q20" s="1262"/>
      <c r="R20" s="666"/>
      <c r="S20" s="667"/>
      <c r="T20" s="666"/>
      <c r="U20" s="667"/>
      <c r="V20" s="666"/>
      <c r="W20" s="667"/>
      <c r="X20" s="1264"/>
      <c r="Y20" s="3384"/>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59"/>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8"/>
      <c r="M22" s="2483"/>
      <c r="N22" s="2483"/>
      <c r="O22" s="2483"/>
      <c r="P22" s="3459"/>
      <c r="Q22" s="1262"/>
      <c r="R22" s="666"/>
      <c r="S22" s="667"/>
      <c r="T22" s="666"/>
      <c r="U22" s="667"/>
      <c r="V22" s="666"/>
      <c r="W22" s="667"/>
      <c r="X22" s="1264"/>
      <c r="Y22" s="3384"/>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59"/>
      <c r="Q23" s="1262" t="str">
        <f>B23</f>
        <v>环境质量</v>
      </c>
      <c r="R23" s="666" t="s">
        <v>14</v>
      </c>
      <c r="S23" s="667">
        <f>F23</f>
        <v>100</v>
      </c>
      <c r="T23" s="666" t="s">
        <v>14</v>
      </c>
      <c r="U23" s="667">
        <f>H23</f>
        <v>100</v>
      </c>
      <c r="V23" s="666" t="s">
        <v>14</v>
      </c>
      <c r="W23" s="667">
        <f>J23</f>
        <v>100</v>
      </c>
      <c r="X23" s="1264"/>
      <c r="Y23" s="3384"/>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8"/>
      <c r="M24" s="2483"/>
      <c r="N24" s="2483"/>
      <c r="O24" s="2483"/>
      <c r="P24" s="3459"/>
      <c r="Q24" s="1262"/>
      <c r="R24" s="666"/>
      <c r="S24" s="667"/>
      <c r="T24" s="666"/>
      <c r="U24" s="667"/>
      <c r="V24" s="666"/>
      <c r="W24" s="667"/>
      <c r="X24" s="1264"/>
      <c r="Y24" s="3384"/>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59"/>
      <c r="Q25" s="1262" t="str">
        <f>B25</f>
        <v>毗邻道路的类型与等级</v>
      </c>
      <c r="R25" s="666" t="s">
        <v>14</v>
      </c>
      <c r="S25" s="667">
        <f>F25</f>
        <v>100</v>
      </c>
      <c r="T25" s="666" t="s">
        <v>14</v>
      </c>
      <c r="U25" s="667">
        <f>H25</f>
        <v>100</v>
      </c>
      <c r="V25" s="666" t="s">
        <v>14</v>
      </c>
      <c r="W25" s="667">
        <f>J25</f>
        <v>100</v>
      </c>
      <c r="X25" s="1264"/>
      <c r="Y25" s="338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59"/>
      <c r="Q26" s="1262"/>
      <c r="R26" s="666"/>
      <c r="S26" s="667"/>
      <c r="T26" s="666"/>
      <c r="U26" s="667"/>
      <c r="V26" s="666"/>
      <c r="W26" s="667"/>
      <c r="X26" s="1264"/>
      <c r="Y26" s="3384"/>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59"/>
      <c r="Q27" s="1262" t="str">
        <f t="shared" ref="Q27:Q47" si="11">B27</f>
        <v>楼层</v>
      </c>
      <c r="R27" s="666" t="s">
        <v>14</v>
      </c>
      <c r="S27" s="667">
        <f>F27</f>
        <v>100</v>
      </c>
      <c r="T27" s="666" t="s">
        <v>14</v>
      </c>
      <c r="U27" s="667">
        <f>H27</f>
        <v>100</v>
      </c>
      <c r="V27" s="666" t="s">
        <v>14</v>
      </c>
      <c r="W27" s="667">
        <f>J27</f>
        <v>100</v>
      </c>
      <c r="X27" s="1264"/>
      <c r="Y27" s="3384"/>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59"/>
      <c r="Q28" s="530" t="str">
        <f t="shared" si="11"/>
        <v>朝向</v>
      </c>
      <c r="R28" s="663" t="s">
        <v>14</v>
      </c>
      <c r="S28" s="664">
        <f>F28</f>
        <v>100</v>
      </c>
      <c r="T28" s="663" t="s">
        <v>14</v>
      </c>
      <c r="U28" s="664">
        <f>H28</f>
        <v>100</v>
      </c>
      <c r="V28" s="663" t="s">
        <v>14</v>
      </c>
      <c r="W28" s="664">
        <f>J28</f>
        <v>100</v>
      </c>
      <c r="X28" s="665"/>
      <c r="Y28" s="3384"/>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59"/>
      <c r="Q29" s="1262">
        <f t="shared" si="11"/>
        <v>111</v>
      </c>
      <c r="R29" s="666" t="s">
        <v>14</v>
      </c>
      <c r="S29" s="667">
        <f t="shared" ref="S29:S47" si="12">F29</f>
        <v>100</v>
      </c>
      <c r="T29" s="666" t="s">
        <v>14</v>
      </c>
      <c r="U29" s="667">
        <f t="shared" ref="U29:U47" si="13">H29</f>
        <v>100</v>
      </c>
      <c r="V29" s="666" t="s">
        <v>14</v>
      </c>
      <c r="W29" s="667">
        <f t="shared" ref="W29:W47" si="14">J29</f>
        <v>100</v>
      </c>
      <c r="X29" s="1264"/>
      <c r="Y29" s="3384"/>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59"/>
      <c r="Q30" s="1262">
        <f t="shared" si="11"/>
        <v>111</v>
      </c>
      <c r="R30" s="666" t="s">
        <v>14</v>
      </c>
      <c r="S30" s="667">
        <f t="shared" si="12"/>
        <v>100</v>
      </c>
      <c r="T30" s="666" t="s">
        <v>14</v>
      </c>
      <c r="U30" s="667">
        <f t="shared" si="13"/>
        <v>100</v>
      </c>
      <c r="V30" s="666" t="s">
        <v>14</v>
      </c>
      <c r="W30" s="667">
        <f t="shared" si="14"/>
        <v>100</v>
      </c>
      <c r="X30" s="1264"/>
      <c r="Y30" s="3384"/>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59"/>
      <c r="Q31" s="1262">
        <f t="shared" si="11"/>
        <v>111</v>
      </c>
      <c r="R31" s="666" t="s">
        <v>14</v>
      </c>
      <c r="S31" s="667">
        <f t="shared" si="12"/>
        <v>100</v>
      </c>
      <c r="T31" s="666" t="s">
        <v>14</v>
      </c>
      <c r="U31" s="667">
        <f t="shared" si="13"/>
        <v>100</v>
      </c>
      <c r="V31" s="666" t="s">
        <v>14</v>
      </c>
      <c r="W31" s="667">
        <f t="shared" si="14"/>
        <v>100</v>
      </c>
      <c r="X31" s="1264"/>
      <c r="Y31" s="3384"/>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59"/>
      <c r="Q32" s="1262">
        <f t="shared" si="11"/>
        <v>111</v>
      </c>
      <c r="R32" s="666" t="s">
        <v>14</v>
      </c>
      <c r="S32" s="667">
        <f t="shared" si="12"/>
        <v>100</v>
      </c>
      <c r="T32" s="666" t="s">
        <v>14</v>
      </c>
      <c r="U32" s="667">
        <f t="shared" si="13"/>
        <v>100</v>
      </c>
      <c r="V32" s="666" t="s">
        <v>14</v>
      </c>
      <c r="W32" s="667">
        <f t="shared" si="14"/>
        <v>100</v>
      </c>
      <c r="X32" s="1264"/>
      <c r="Y32" s="3384"/>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8"/>
      <c r="M33" s="2483"/>
      <c r="N33" s="2483"/>
      <c r="O33" s="2483"/>
      <c r="P33" s="3454" t="s">
        <v>1696</v>
      </c>
      <c r="Q33" s="1262" t="str">
        <f t="shared" si="11"/>
        <v>建筑类型</v>
      </c>
      <c r="R33" s="666" t="s">
        <v>14</v>
      </c>
      <c r="S33" s="667">
        <f t="shared" si="12"/>
        <v>100</v>
      </c>
      <c r="T33" s="666" t="s">
        <v>14</v>
      </c>
      <c r="U33" s="667">
        <f t="shared" si="13"/>
        <v>100</v>
      </c>
      <c r="V33" s="666" t="s">
        <v>14</v>
      </c>
      <c r="W33" s="667">
        <f t="shared" si="14"/>
        <v>100</v>
      </c>
      <c r="X33" s="1264"/>
      <c r="Y33" s="3385"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55"/>
      <c r="Q34" s="531" t="str">
        <f t="shared" si="11"/>
        <v>项目建筑规模</v>
      </c>
      <c r="R34" s="668" t="s">
        <v>14</v>
      </c>
      <c r="S34" s="669" t="e">
        <f t="shared" si="12"/>
        <v>#N/A</v>
      </c>
      <c r="T34" s="668" t="s">
        <v>14</v>
      </c>
      <c r="U34" s="669" t="e">
        <f t="shared" si="13"/>
        <v>#N/A</v>
      </c>
      <c r="V34" s="668" t="s">
        <v>14</v>
      </c>
      <c r="W34" s="669" t="e">
        <f t="shared" si="14"/>
        <v>#N/A</v>
      </c>
      <c r="X34" s="670"/>
      <c r="Y34" s="3385"/>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55"/>
      <c r="Q35" s="1262" t="str">
        <f t="shared" si="11"/>
        <v>建筑结构</v>
      </c>
      <c r="R35" s="666" t="s">
        <v>14</v>
      </c>
      <c r="S35" s="667">
        <f t="shared" si="12"/>
        <v>100</v>
      </c>
      <c r="T35" s="666" t="s">
        <v>14</v>
      </c>
      <c r="U35" s="667">
        <f t="shared" si="13"/>
        <v>100</v>
      </c>
      <c r="V35" s="666" t="s">
        <v>14</v>
      </c>
      <c r="W35" s="667">
        <f t="shared" si="14"/>
        <v>100</v>
      </c>
      <c r="X35" s="1264"/>
      <c r="Y35" s="3385"/>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55"/>
      <c r="Q36" s="1262" t="str">
        <f t="shared" si="11"/>
        <v>公共部分装修</v>
      </c>
      <c r="R36" s="666" t="s">
        <v>14</v>
      </c>
      <c r="S36" s="667">
        <f t="shared" si="12"/>
        <v>100</v>
      </c>
      <c r="T36" s="666" t="s">
        <v>14</v>
      </c>
      <c r="U36" s="667">
        <f t="shared" si="13"/>
        <v>100</v>
      </c>
      <c r="V36" s="666" t="s">
        <v>14</v>
      </c>
      <c r="W36" s="667">
        <f t="shared" si="14"/>
        <v>100</v>
      </c>
      <c r="X36" s="1264"/>
      <c r="Y36" s="3385"/>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55"/>
      <c r="Q37" s="1262" t="str">
        <f t="shared" si="11"/>
        <v>成新度</v>
      </c>
      <c r="R37" s="666" t="s">
        <v>14</v>
      </c>
      <c r="S37" s="667" t="e">
        <f t="shared" si="12"/>
        <v>#N/A</v>
      </c>
      <c r="T37" s="666" t="s">
        <v>14</v>
      </c>
      <c r="U37" s="667" t="e">
        <f t="shared" si="13"/>
        <v>#N/A</v>
      </c>
      <c r="V37" s="666" t="s">
        <v>14</v>
      </c>
      <c r="W37" s="667" t="e">
        <f t="shared" si="14"/>
        <v>#N/A</v>
      </c>
      <c r="X37" s="1264"/>
      <c r="Y37" s="3385"/>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55"/>
      <c r="Q38" s="530" t="str">
        <f t="shared" si="11"/>
        <v>写字楼等级</v>
      </c>
      <c r="R38" s="663" t="s">
        <v>14</v>
      </c>
      <c r="S38" s="664">
        <f t="shared" si="12"/>
        <v>100</v>
      </c>
      <c r="T38" s="663" t="s">
        <v>14</v>
      </c>
      <c r="U38" s="664">
        <f t="shared" si="13"/>
        <v>100</v>
      </c>
      <c r="V38" s="663" t="s">
        <v>14</v>
      </c>
      <c r="W38" s="664">
        <f t="shared" si="14"/>
        <v>100</v>
      </c>
      <c r="X38" s="665"/>
      <c r="Y38" s="3385"/>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55" t="s">
        <v>1696</v>
      </c>
      <c r="Q39" s="1262" t="str">
        <f t="shared" si="11"/>
        <v>物业管理</v>
      </c>
      <c r="R39" s="666" t="s">
        <v>14</v>
      </c>
      <c r="S39" s="667">
        <f t="shared" si="12"/>
        <v>100</v>
      </c>
      <c r="T39" s="666" t="s">
        <v>14</v>
      </c>
      <c r="U39" s="667">
        <f t="shared" si="13"/>
        <v>100</v>
      </c>
      <c r="V39" s="666" t="s">
        <v>14</v>
      </c>
      <c r="W39" s="667">
        <f t="shared" si="14"/>
        <v>100</v>
      </c>
      <c r="X39" s="1264"/>
      <c r="Y39" s="3385"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55"/>
      <c r="Q40" s="1262" t="str">
        <f t="shared" si="11"/>
        <v>市政基础设施</v>
      </c>
      <c r="R40" s="666" t="s">
        <v>14</v>
      </c>
      <c r="S40" s="667">
        <f t="shared" si="12"/>
        <v>100</v>
      </c>
      <c r="T40" s="666" t="s">
        <v>14</v>
      </c>
      <c r="U40" s="667">
        <f t="shared" si="13"/>
        <v>100</v>
      </c>
      <c r="V40" s="666" t="s">
        <v>14</v>
      </c>
      <c r="W40" s="667">
        <f t="shared" si="14"/>
        <v>100</v>
      </c>
      <c r="X40" s="1264"/>
      <c r="Y40" s="3385"/>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55"/>
      <c r="Q41" s="1262" t="str">
        <f t="shared" si="11"/>
        <v>层高</v>
      </c>
      <c r="R41" s="666" t="s">
        <v>14</v>
      </c>
      <c r="S41" s="667">
        <f t="shared" si="12"/>
        <v>100</v>
      </c>
      <c r="T41" s="666" t="s">
        <v>14</v>
      </c>
      <c r="U41" s="667">
        <f t="shared" si="13"/>
        <v>100</v>
      </c>
      <c r="V41" s="666" t="s">
        <v>14</v>
      </c>
      <c r="W41" s="667">
        <f t="shared" si="14"/>
        <v>100</v>
      </c>
      <c r="X41" s="1264"/>
      <c r="Y41" s="3385"/>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55"/>
      <c r="Q42" s="531" t="str">
        <f t="shared" si="11"/>
        <v>单套建筑面积</v>
      </c>
      <c r="R42" s="668" t="s">
        <v>14</v>
      </c>
      <c r="S42" s="669">
        <f t="shared" si="12"/>
        <v>100</v>
      </c>
      <c r="T42" s="668" t="s">
        <v>14</v>
      </c>
      <c r="U42" s="669">
        <f t="shared" si="13"/>
        <v>100</v>
      </c>
      <c r="V42" s="668" t="s">
        <v>14</v>
      </c>
      <c r="W42" s="669">
        <f t="shared" si="14"/>
        <v>100</v>
      </c>
      <c r="X42" s="670"/>
      <c r="Y42" s="3385"/>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55"/>
      <c r="Q43" s="1262" t="str">
        <f t="shared" si="11"/>
        <v>内部装修</v>
      </c>
      <c r="R43" s="666" t="s">
        <v>14</v>
      </c>
      <c r="S43" s="667">
        <f t="shared" si="12"/>
        <v>100</v>
      </c>
      <c r="T43" s="666" t="s">
        <v>14</v>
      </c>
      <c r="U43" s="667">
        <f t="shared" si="13"/>
        <v>100</v>
      </c>
      <c r="V43" s="666" t="s">
        <v>14</v>
      </c>
      <c r="W43" s="667">
        <f t="shared" si="14"/>
        <v>100</v>
      </c>
      <c r="X43" s="1264"/>
      <c r="Y43" s="3385"/>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8"/>
      <c r="M44" s="2483"/>
      <c r="N44" s="2483"/>
      <c r="O44" s="2483"/>
      <c r="P44" s="3455"/>
      <c r="Q44" s="1262" t="str">
        <f t="shared" si="11"/>
        <v>内部装修维护情况</v>
      </c>
      <c r="R44" s="666" t="s">
        <v>14</v>
      </c>
      <c r="S44" s="667">
        <f t="shared" si="12"/>
        <v>100</v>
      </c>
      <c r="T44" s="666" t="s">
        <v>14</v>
      </c>
      <c r="U44" s="667">
        <f t="shared" si="13"/>
        <v>100</v>
      </c>
      <c r="V44" s="666" t="s">
        <v>14</v>
      </c>
      <c r="W44" s="667">
        <f t="shared" si="14"/>
        <v>100</v>
      </c>
      <c r="X44" s="1264"/>
      <c r="Y44" s="3385"/>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55"/>
      <c r="Q45" s="530">
        <f t="shared" si="11"/>
        <v>111</v>
      </c>
      <c r="R45" s="663" t="s">
        <v>14</v>
      </c>
      <c r="S45" s="664">
        <f t="shared" si="12"/>
        <v>100</v>
      </c>
      <c r="T45" s="663" t="s">
        <v>14</v>
      </c>
      <c r="U45" s="664">
        <f t="shared" si="13"/>
        <v>100</v>
      </c>
      <c r="V45" s="663" t="s">
        <v>14</v>
      </c>
      <c r="W45" s="664">
        <f t="shared" si="14"/>
        <v>100</v>
      </c>
      <c r="X45" s="665"/>
      <c r="Y45" s="3385"/>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55"/>
      <c r="Q46" s="1262">
        <f t="shared" si="11"/>
        <v>111</v>
      </c>
      <c r="R46" s="666" t="s">
        <v>14</v>
      </c>
      <c r="S46" s="667">
        <f t="shared" si="12"/>
        <v>100</v>
      </c>
      <c r="T46" s="666" t="s">
        <v>14</v>
      </c>
      <c r="U46" s="667">
        <f t="shared" si="13"/>
        <v>100</v>
      </c>
      <c r="V46" s="666" t="s">
        <v>14</v>
      </c>
      <c r="W46" s="667">
        <f t="shared" si="14"/>
        <v>100</v>
      </c>
      <c r="X46" s="1264"/>
      <c r="Y46" s="3385"/>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56"/>
      <c r="Q47" s="1262">
        <f t="shared" si="11"/>
        <v>111</v>
      </c>
      <c r="R47" s="666" t="s">
        <v>14</v>
      </c>
      <c r="S47" s="667">
        <f t="shared" si="12"/>
        <v>100</v>
      </c>
      <c r="T47" s="666" t="s">
        <v>14</v>
      </c>
      <c r="U47" s="667">
        <f t="shared" si="13"/>
        <v>100</v>
      </c>
      <c r="V47" s="666" t="s">
        <v>14</v>
      </c>
      <c r="W47" s="667">
        <f t="shared" si="14"/>
        <v>100</v>
      </c>
      <c r="X47" s="1264"/>
      <c r="Y47" s="3457"/>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0"/>
      <c r="M48" s="2483"/>
      <c r="N48" s="2483"/>
      <c r="O48" s="2483"/>
      <c r="P48" s="3365" t="str">
        <f>A48</f>
        <v>成交单价（元/平方米）</v>
      </c>
      <c r="Q48" s="3366"/>
      <c r="R48" s="3382">
        <f>E48</f>
        <v>0</v>
      </c>
      <c r="S48" s="3382"/>
      <c r="T48" s="3382">
        <f>G48</f>
        <v>0</v>
      </c>
      <c r="U48" s="3382"/>
      <c r="V48" s="3382">
        <f>I48</f>
        <v>0</v>
      </c>
      <c r="W48" s="3382"/>
      <c r="X48" s="385"/>
      <c r="Y48" s="672"/>
      <c r="Z48" s="385"/>
      <c r="AA48" s="385"/>
      <c r="AB48" s="385"/>
      <c r="AC48" s="555"/>
    </row>
    <row r="49" spans="1:29" ht="15.75" thickBot="1">
      <c r="A49" s="423" t="s">
        <v>1793</v>
      </c>
      <c r="B49" s="424"/>
      <c r="C49" s="1081" t="e">
        <f>R50</f>
        <v>#DIV/0!</v>
      </c>
      <c r="D49" s="2140" t="s">
        <v>2137</v>
      </c>
      <c r="E49" s="1082" t="e">
        <f>R49</f>
        <v>#DIV/0!</v>
      </c>
      <c r="F49" s="2141"/>
      <c r="G49" s="1081" t="e">
        <f>T49</f>
        <v>#DIV/0!</v>
      </c>
      <c r="H49" s="2141"/>
      <c r="I49" s="1082" t="e">
        <f>V49</f>
        <v>#DIV/0!</v>
      </c>
      <c r="J49" s="2141"/>
      <c r="K49" s="2143">
        <f>F49+H49+J49</f>
        <v>0</v>
      </c>
      <c r="L49" s="2490"/>
      <c r="M49" s="2483"/>
      <c r="N49" s="2483"/>
      <c r="O49" s="2483"/>
      <c r="P49" s="3365" t="str">
        <f>A49</f>
        <v>比较价值（元/平方米）</v>
      </c>
      <c r="Q49" s="3366"/>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0"/>
      <c r="M50" s="2483"/>
      <c r="N50" s="2483"/>
      <c r="O50" s="2483"/>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7" t="s">
        <v>1798</v>
      </c>
      <c r="B58" s="385"/>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2"/>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2382.1000000000004</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63" t="s">
        <v>1770</v>
      </c>
      <c r="D4" s="3389"/>
      <c r="E4" s="3390" t="s">
        <v>1771</v>
      </c>
      <c r="F4" s="3391"/>
      <c r="G4" s="3363" t="s">
        <v>1772</v>
      </c>
      <c r="H4" s="3389"/>
      <c r="I4" s="3363" t="s">
        <v>1773</v>
      </c>
      <c r="J4" s="3389"/>
      <c r="K4" s="537" t="s">
        <v>1774</v>
      </c>
      <c r="L4" s="859"/>
      <c r="M4" s="860"/>
      <c r="N4" s="860"/>
      <c r="O4" s="860"/>
      <c r="P4" s="3392" t="s">
        <v>1775</v>
      </c>
      <c r="Q4" s="3393"/>
      <c r="R4" s="3369" t="s">
        <v>1771</v>
      </c>
      <c r="S4" s="3370"/>
      <c r="T4" s="3369" t="s">
        <v>1772</v>
      </c>
      <c r="U4" s="3370"/>
      <c r="V4" s="3382" t="s">
        <v>1773</v>
      </c>
      <c r="W4" s="3382"/>
      <c r="X4" s="1264"/>
      <c r="Y4" s="3369" t="s">
        <v>1775</v>
      </c>
      <c r="Z4" s="3370"/>
      <c r="AA4" s="3386" t="s">
        <v>1771</v>
      </c>
      <c r="AB4" s="3387" t="s">
        <v>1772</v>
      </c>
      <c r="AC4" s="3386" t="s">
        <v>1773</v>
      </c>
    </row>
    <row r="5" spans="1:29" ht="15">
      <c r="A5" s="348"/>
      <c r="B5" s="349"/>
      <c r="C5" s="3373" t="s">
        <v>1673</v>
      </c>
      <c r="D5" s="3374"/>
      <c r="E5" s="3398" t="s">
        <v>1674</v>
      </c>
      <c r="F5" s="3399"/>
      <c r="G5" s="3373" t="s">
        <v>1675</v>
      </c>
      <c r="H5" s="3374"/>
      <c r="I5" s="3373" t="s">
        <v>1676</v>
      </c>
      <c r="J5" s="3374"/>
      <c r="K5" s="537"/>
      <c r="L5" s="859"/>
      <c r="M5" s="860"/>
      <c r="N5" s="860"/>
      <c r="O5" s="860"/>
      <c r="P5" s="3394"/>
      <c r="Q5" s="3395"/>
      <c r="R5" s="3371"/>
      <c r="S5" s="3372"/>
      <c r="T5" s="3371"/>
      <c r="U5" s="3372"/>
      <c r="V5" s="3382"/>
      <c r="W5" s="3382"/>
      <c r="X5" s="1264"/>
      <c r="Y5" s="3371"/>
      <c r="Z5" s="3372"/>
      <c r="AA5" s="3387"/>
      <c r="AB5" s="3387"/>
      <c r="AC5" s="3387"/>
    </row>
    <row r="6" spans="1:29" ht="15.75" thickBot="1">
      <c r="A6" s="350"/>
      <c r="B6" s="351"/>
      <c r="C6" s="3460" t="s">
        <v>1677</v>
      </c>
      <c r="D6" s="3461"/>
      <c r="E6" s="3462" t="s">
        <v>1677</v>
      </c>
      <c r="F6" s="3463"/>
      <c r="G6" s="3460" t="s">
        <v>1677</v>
      </c>
      <c r="H6" s="3461"/>
      <c r="I6" s="3460" t="s">
        <v>1677</v>
      </c>
      <c r="J6" s="3461"/>
      <c r="K6" s="537" t="s">
        <v>1678</v>
      </c>
      <c r="L6" s="859"/>
      <c r="M6" s="860"/>
      <c r="N6" s="860"/>
      <c r="O6" s="860"/>
      <c r="P6" s="3396"/>
      <c r="Q6" s="3397"/>
      <c r="R6" s="3371"/>
      <c r="S6" s="3372"/>
      <c r="T6" s="3380"/>
      <c r="U6" s="3381"/>
      <c r="V6" s="3382"/>
      <c r="W6" s="3382"/>
      <c r="X6" s="1264"/>
      <c r="Y6" s="3380"/>
      <c r="Z6" s="3381"/>
      <c r="AA6" s="3388"/>
      <c r="AB6" s="3388"/>
      <c r="AC6" s="3388"/>
    </row>
    <row r="7" spans="1:29" s="102" customFormat="1" ht="15.75" thickBot="1">
      <c r="A7" s="352" t="s">
        <v>1679</v>
      </c>
      <c r="B7" s="353"/>
      <c r="C7" s="354">
        <f>'数据-取费表'!B2</f>
        <v>45587</v>
      </c>
      <c r="D7" s="355">
        <v>100</v>
      </c>
      <c r="E7" s="356"/>
      <c r="F7" s="357">
        <f>SUMIF(52:52,YEAR(E7)&amp;"-"&amp;MONTH(E7),53:53)</f>
        <v>0</v>
      </c>
      <c r="G7" s="356"/>
      <c r="H7" s="355">
        <f>SUMIF(52:52,YEAR(G7)&amp;"-"&amp;MONTH(G7),53:53)</f>
        <v>0</v>
      </c>
      <c r="I7" s="356"/>
      <c r="J7" s="355">
        <f>SUMIF(52:52,YEAR(I7)&amp;"-"&amp;MONTH(I7),53:53)</f>
        <v>0</v>
      </c>
      <c r="K7" s="38"/>
      <c r="L7" s="861"/>
      <c r="M7" s="862"/>
      <c r="N7" s="862"/>
      <c r="O7" s="862"/>
      <c r="P7" s="3367" t="s">
        <v>1680</v>
      </c>
      <c r="Q7" s="3377"/>
      <c r="R7" s="663" t="s">
        <v>14</v>
      </c>
      <c r="S7" s="664">
        <f t="shared" ref="S7:S15" si="0">F7</f>
        <v>0</v>
      </c>
      <c r="T7" s="663" t="s">
        <v>14</v>
      </c>
      <c r="U7" s="664">
        <f t="shared" ref="U7:U15" si="1">H7</f>
        <v>0</v>
      </c>
      <c r="V7" s="663" t="s">
        <v>14</v>
      </c>
      <c r="W7" s="664">
        <f t="shared" ref="W7:W15" si="2">J7</f>
        <v>0</v>
      </c>
      <c r="X7" s="665"/>
      <c r="Y7" s="3367" t="s">
        <v>1680</v>
      </c>
      <c r="Z7" s="336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7" t="s">
        <v>1683</v>
      </c>
      <c r="Q8" s="3368"/>
      <c r="R8" s="663" t="s">
        <v>14</v>
      </c>
      <c r="S8" s="664">
        <f t="shared" si="0"/>
        <v>100</v>
      </c>
      <c r="T8" s="663" t="s">
        <v>14</v>
      </c>
      <c r="U8" s="664">
        <f t="shared" si="1"/>
        <v>100</v>
      </c>
      <c r="V8" s="663" t="s">
        <v>14</v>
      </c>
      <c r="W8" s="664">
        <f t="shared" si="2"/>
        <v>100</v>
      </c>
      <c r="X8" s="665"/>
      <c r="Y8" s="3367" t="s">
        <v>1683</v>
      </c>
      <c r="Z8" s="336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66" t="s">
        <v>1686</v>
      </c>
      <c r="Q9" s="530" t="str">
        <f t="shared" ref="Q9:Q15" si="6">B9</f>
        <v>用途</v>
      </c>
      <c r="R9" s="663" t="s">
        <v>14</v>
      </c>
      <c r="S9" s="664">
        <f t="shared" si="0"/>
        <v>100</v>
      </c>
      <c r="T9" s="663" t="s">
        <v>14</v>
      </c>
      <c r="U9" s="664">
        <f t="shared" si="1"/>
        <v>100</v>
      </c>
      <c r="V9" s="663" t="s">
        <v>14</v>
      </c>
      <c r="W9" s="664">
        <f t="shared" si="2"/>
        <v>100</v>
      </c>
      <c r="X9" s="665"/>
      <c r="Y9" s="327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4"/>
      <c r="M10" s="865"/>
      <c r="N10" s="865"/>
      <c r="O10" s="866"/>
      <c r="P10" s="3366"/>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66"/>
      <c r="Q11" s="530" t="str">
        <f t="shared" si="6"/>
        <v>容积率</v>
      </c>
      <c r="R11" s="663" t="s">
        <v>14</v>
      </c>
      <c r="S11" s="664">
        <f t="shared" si="0"/>
        <v>100</v>
      </c>
      <c r="T11" s="663" t="s">
        <v>14</v>
      </c>
      <c r="U11" s="664">
        <f t="shared" si="1"/>
        <v>100</v>
      </c>
      <c r="V11" s="663" t="s">
        <v>14</v>
      </c>
      <c r="W11" s="664">
        <f t="shared" si="2"/>
        <v>100</v>
      </c>
      <c r="X11" s="665"/>
      <c r="Y11" s="327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66"/>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66"/>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66"/>
      <c r="Q14" s="530">
        <f t="shared" si="6"/>
        <v>111</v>
      </c>
      <c r="R14" s="663" t="s">
        <v>14</v>
      </c>
      <c r="S14" s="664">
        <f t="shared" si="0"/>
        <v>100</v>
      </c>
      <c r="T14" s="663" t="s">
        <v>14</v>
      </c>
      <c r="U14" s="664">
        <f t="shared" si="1"/>
        <v>100</v>
      </c>
      <c r="V14" s="663" t="s">
        <v>14</v>
      </c>
      <c r="W14" s="664">
        <f t="shared" si="2"/>
        <v>100</v>
      </c>
      <c r="X14" s="665"/>
      <c r="Y14" s="3270"/>
      <c r="Z14" s="50">
        <f t="shared" si="7"/>
        <v>111</v>
      </c>
      <c r="AA14" s="50">
        <f t="shared" si="3"/>
        <v>1</v>
      </c>
      <c r="AB14" s="50">
        <f t="shared" si="4"/>
        <v>1</v>
      </c>
      <c r="AC14" s="50">
        <f t="shared" si="5"/>
        <v>1</v>
      </c>
    </row>
    <row r="15" spans="1:29" ht="15">
      <c r="A15" s="379" t="s">
        <v>1690</v>
      </c>
      <c r="B15" s="58" t="s">
        <v>1827</v>
      </c>
      <c r="C15" s="1818" t="str">
        <f>估价对象房地状况!G3</f>
        <v>一般</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3" t="s">
        <v>1691</v>
      </c>
      <c r="Q15" s="1262" t="str">
        <f t="shared" si="6"/>
        <v>产业集聚程度</v>
      </c>
      <c r="R15" s="666" t="s">
        <v>14</v>
      </c>
      <c r="S15" s="667">
        <f t="shared" si="0"/>
        <v>100</v>
      </c>
      <c r="T15" s="666" t="s">
        <v>14</v>
      </c>
      <c r="U15" s="667">
        <f t="shared" si="1"/>
        <v>100</v>
      </c>
      <c r="V15" s="666" t="s">
        <v>14</v>
      </c>
      <c r="W15" s="667">
        <f t="shared" si="2"/>
        <v>100</v>
      </c>
      <c r="X15" s="1264"/>
      <c r="Y15" s="338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84"/>
      <c r="Q16" s="1262"/>
      <c r="R16" s="666"/>
      <c r="S16" s="667"/>
      <c r="T16" s="666"/>
      <c r="U16" s="667"/>
      <c r="V16" s="666"/>
      <c r="W16" s="667"/>
      <c r="X16" s="1264"/>
      <c r="Y16" s="3384"/>
      <c r="Z16" s="1263"/>
      <c r="AA16" s="1263">
        <v>1</v>
      </c>
      <c r="AB16" s="1263">
        <v>1</v>
      </c>
      <c r="AC16" s="1263">
        <v>1</v>
      </c>
    </row>
    <row r="17" spans="1:29" ht="15">
      <c r="A17" s="367"/>
      <c r="B17" s="390" t="s">
        <v>1259</v>
      </c>
      <c r="C17" s="1753" t="str">
        <f>估价对象房地状况!G4</f>
        <v>较差</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4"/>
      <c r="Q17" s="1262" t="str">
        <f>B17</f>
        <v>交通便捷度</v>
      </c>
      <c r="R17" s="666" t="s">
        <v>14</v>
      </c>
      <c r="S17" s="667">
        <f>F17</f>
        <v>100</v>
      </c>
      <c r="T17" s="666" t="s">
        <v>14</v>
      </c>
      <c r="U17" s="667">
        <f>H17</f>
        <v>100</v>
      </c>
      <c r="V17" s="666" t="s">
        <v>14</v>
      </c>
      <c r="W17" s="667">
        <f>J17</f>
        <v>100</v>
      </c>
      <c r="X17" s="1264"/>
      <c r="Y17" s="338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84"/>
      <c r="Q18" s="1262"/>
      <c r="R18" s="666"/>
      <c r="S18" s="667"/>
      <c r="T18" s="666"/>
      <c r="U18" s="667"/>
      <c r="V18" s="666"/>
      <c r="W18" s="667"/>
      <c r="X18" s="1264"/>
      <c r="Y18" s="3384"/>
      <c r="Z18" s="1263"/>
      <c r="AA18" s="1263">
        <v>1</v>
      </c>
      <c r="AB18" s="1263">
        <v>1</v>
      </c>
      <c r="AC18" s="1263">
        <v>1</v>
      </c>
    </row>
    <row r="19" spans="1:29" ht="15">
      <c r="A19" s="367"/>
      <c r="B19" s="390" t="s">
        <v>1812</v>
      </c>
      <c r="C19" s="1753" t="str">
        <f>估价对象房地状况!G5</f>
        <v>较差</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4"/>
      <c r="Q19" s="1262" t="str">
        <f>B19</f>
        <v>公共配套设施</v>
      </c>
      <c r="R19" s="666" t="s">
        <v>14</v>
      </c>
      <c r="S19" s="667">
        <f>F19</f>
        <v>100</v>
      </c>
      <c r="T19" s="666" t="s">
        <v>14</v>
      </c>
      <c r="U19" s="667">
        <f>H19</f>
        <v>100</v>
      </c>
      <c r="V19" s="666" t="s">
        <v>14</v>
      </c>
      <c r="W19" s="667">
        <f>J19</f>
        <v>100</v>
      </c>
      <c r="X19" s="1264"/>
      <c r="Y19" s="338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84"/>
      <c r="Q20" s="1262"/>
      <c r="R20" s="666"/>
      <c r="S20" s="667"/>
      <c r="T20" s="666"/>
      <c r="U20" s="667"/>
      <c r="V20" s="666"/>
      <c r="W20" s="667"/>
      <c r="X20" s="1264"/>
      <c r="Y20" s="3384"/>
      <c r="Z20" s="1263"/>
      <c r="AA20" s="1263">
        <v>1</v>
      </c>
      <c r="AB20" s="1263">
        <v>1</v>
      </c>
      <c r="AC20" s="1263">
        <v>1</v>
      </c>
    </row>
    <row r="21" spans="1:29" ht="15">
      <c r="A21" s="367"/>
      <c r="B21" s="586" t="s">
        <v>1813</v>
      </c>
      <c r="C21" s="1753"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4"/>
      <c r="Q21" s="1262" t="str">
        <f>B21</f>
        <v>基础设施水平</v>
      </c>
      <c r="R21" s="666" t="s">
        <v>14</v>
      </c>
      <c r="S21" s="667">
        <f>F21</f>
        <v>100</v>
      </c>
      <c r="T21" s="666" t="s">
        <v>14</v>
      </c>
      <c r="U21" s="667">
        <f>H21</f>
        <v>100</v>
      </c>
      <c r="V21" s="666" t="s">
        <v>14</v>
      </c>
      <c r="W21" s="667">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84"/>
      <c r="Q22" s="1262"/>
      <c r="R22" s="666"/>
      <c r="S22" s="667"/>
      <c r="T22" s="666"/>
      <c r="U22" s="667"/>
      <c r="V22" s="666"/>
      <c r="W22" s="667"/>
      <c r="X22" s="1264"/>
      <c r="Y22" s="3384"/>
      <c r="Z22" s="1263"/>
      <c r="AA22" s="1263">
        <v>1</v>
      </c>
      <c r="AB22" s="1263">
        <v>1</v>
      </c>
      <c r="AC22" s="1263">
        <v>1</v>
      </c>
    </row>
    <row r="23" spans="1:29" ht="15">
      <c r="A23" s="367"/>
      <c r="B23" s="390" t="s">
        <v>1814</v>
      </c>
      <c r="C23" s="1753" t="str">
        <f>估价对象房地状况!G7</f>
        <v>一般</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4"/>
      <c r="Q23" s="1262" t="str">
        <f>B23</f>
        <v>环境质量</v>
      </c>
      <c r="R23" s="666" t="s">
        <v>14</v>
      </c>
      <c r="S23" s="667">
        <f>F23</f>
        <v>100</v>
      </c>
      <c r="T23" s="666" t="s">
        <v>14</v>
      </c>
      <c r="U23" s="667">
        <f>H23</f>
        <v>100</v>
      </c>
      <c r="V23" s="666" t="s">
        <v>14</v>
      </c>
      <c r="W23" s="667">
        <f>J23</f>
        <v>100</v>
      </c>
      <c r="X23" s="1264"/>
      <c r="Y23" s="338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84"/>
      <c r="Q24" s="1262"/>
      <c r="R24" s="666"/>
      <c r="S24" s="667"/>
      <c r="T24" s="666"/>
      <c r="U24" s="667"/>
      <c r="V24" s="666"/>
      <c r="W24" s="667"/>
      <c r="X24" s="1264"/>
      <c r="Y24" s="3384"/>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4"/>
      <c r="Q25" s="1262">
        <f>B25</f>
        <v>111</v>
      </c>
      <c r="R25" s="666" t="s">
        <v>14</v>
      </c>
      <c r="S25" s="667">
        <f>F25</f>
        <v>100</v>
      </c>
      <c r="T25" s="666" t="s">
        <v>14</v>
      </c>
      <c r="U25" s="667">
        <f>H25</f>
        <v>100</v>
      </c>
      <c r="V25" s="666" t="s">
        <v>14</v>
      </c>
      <c r="W25" s="667">
        <f>J25</f>
        <v>100</v>
      </c>
      <c r="X25" s="1264"/>
      <c r="Y25" s="3384"/>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4"/>
      <c r="Q26" s="1262">
        <f t="shared" ref="Q26:Q40" si="11">B26</f>
        <v>111</v>
      </c>
      <c r="R26" s="666" t="s">
        <v>14</v>
      </c>
      <c r="S26" s="667">
        <f>F26</f>
        <v>100</v>
      </c>
      <c r="T26" s="666" t="s">
        <v>14</v>
      </c>
      <c r="U26" s="667">
        <f>H26</f>
        <v>100</v>
      </c>
      <c r="V26" s="666" t="s">
        <v>14</v>
      </c>
      <c r="W26" s="667">
        <f>J26</f>
        <v>100</v>
      </c>
      <c r="X26" s="1264"/>
      <c r="Y26" s="3384"/>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4"/>
      <c r="Q27" s="530">
        <f t="shared" si="11"/>
        <v>111</v>
      </c>
      <c r="R27" s="663" t="s">
        <v>14</v>
      </c>
      <c r="S27" s="664">
        <f>F27</f>
        <v>100</v>
      </c>
      <c r="T27" s="663" t="s">
        <v>14</v>
      </c>
      <c r="U27" s="664">
        <f>H27</f>
        <v>100</v>
      </c>
      <c r="V27" s="663" t="s">
        <v>14</v>
      </c>
      <c r="W27" s="664">
        <f>J27</f>
        <v>100</v>
      </c>
      <c r="X27" s="665"/>
      <c r="Y27" s="3384"/>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4"/>
      <c r="Q28" s="1262">
        <f t="shared" si="11"/>
        <v>111</v>
      </c>
      <c r="R28" s="666" t="s">
        <v>14</v>
      </c>
      <c r="S28" s="667">
        <f t="shared" ref="S28:S40" si="12">F28</f>
        <v>100</v>
      </c>
      <c r="T28" s="666" t="s">
        <v>14</v>
      </c>
      <c r="U28" s="667">
        <f t="shared" ref="U28:U40" si="13">H28</f>
        <v>100</v>
      </c>
      <c r="V28" s="666" t="s">
        <v>14</v>
      </c>
      <c r="W28" s="667">
        <f t="shared" ref="W28:W40" si="14">J28</f>
        <v>100</v>
      </c>
      <c r="X28" s="1264"/>
      <c r="Y28" s="3384"/>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00" t="s">
        <v>1696</v>
      </c>
      <c r="Q29" s="1262" t="str">
        <f t="shared" si="11"/>
        <v>建筑类型</v>
      </c>
      <c r="R29" s="666" t="s">
        <v>14</v>
      </c>
      <c r="S29" s="667">
        <f t="shared" si="12"/>
        <v>100</v>
      </c>
      <c r="T29" s="666" t="s">
        <v>14</v>
      </c>
      <c r="U29" s="667">
        <f t="shared" si="13"/>
        <v>100</v>
      </c>
      <c r="V29" s="666" t="s">
        <v>14</v>
      </c>
      <c r="W29" s="667">
        <f t="shared" si="14"/>
        <v>100</v>
      </c>
      <c r="X29" s="1264"/>
      <c r="Y29" s="338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5"/>
      <c r="Q30" s="531" t="str">
        <f t="shared" si="11"/>
        <v>项目建筑规模</v>
      </c>
      <c r="R30" s="668" t="s">
        <v>14</v>
      </c>
      <c r="S30" s="669" t="e">
        <f t="shared" si="12"/>
        <v>#N/A</v>
      </c>
      <c r="T30" s="668" t="s">
        <v>14</v>
      </c>
      <c r="U30" s="669" t="e">
        <f t="shared" si="13"/>
        <v>#N/A</v>
      </c>
      <c r="V30" s="668" t="s">
        <v>14</v>
      </c>
      <c r="W30" s="669" t="e">
        <f t="shared" si="14"/>
        <v>#N/A</v>
      </c>
      <c r="X30" s="670"/>
      <c r="Y30" s="3385"/>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5"/>
      <c r="Q31" s="1262" t="str">
        <f t="shared" si="11"/>
        <v>建筑结构</v>
      </c>
      <c r="R31" s="666" t="s">
        <v>14</v>
      </c>
      <c r="S31" s="667">
        <f t="shared" si="12"/>
        <v>100</v>
      </c>
      <c r="T31" s="666" t="s">
        <v>14</v>
      </c>
      <c r="U31" s="667">
        <f t="shared" si="13"/>
        <v>100</v>
      </c>
      <c r="V31" s="666" t="s">
        <v>14</v>
      </c>
      <c r="W31" s="667">
        <f t="shared" si="14"/>
        <v>100</v>
      </c>
      <c r="X31" s="1264"/>
      <c r="Y31" s="338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5"/>
      <c r="Q32" s="1262" t="str">
        <f t="shared" si="11"/>
        <v>公共部分装修</v>
      </c>
      <c r="R32" s="666" t="s">
        <v>14</v>
      </c>
      <c r="S32" s="667">
        <f t="shared" si="12"/>
        <v>100</v>
      </c>
      <c r="T32" s="666" t="s">
        <v>14</v>
      </c>
      <c r="U32" s="667">
        <f t="shared" si="13"/>
        <v>100</v>
      </c>
      <c r="V32" s="666" t="s">
        <v>14</v>
      </c>
      <c r="W32" s="667">
        <f t="shared" si="14"/>
        <v>100</v>
      </c>
      <c r="X32" s="1264"/>
      <c r="Y32" s="338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5"/>
      <c r="Q33" s="1262" t="str">
        <f t="shared" si="11"/>
        <v>成新度</v>
      </c>
      <c r="R33" s="666" t="s">
        <v>14</v>
      </c>
      <c r="S33" s="667" t="e">
        <f t="shared" si="12"/>
        <v>#N/A</v>
      </c>
      <c r="T33" s="666" t="s">
        <v>14</v>
      </c>
      <c r="U33" s="667" t="e">
        <f t="shared" si="13"/>
        <v>#N/A</v>
      </c>
      <c r="V33" s="666" t="s">
        <v>14</v>
      </c>
      <c r="W33" s="667" t="e">
        <f t="shared" si="14"/>
        <v>#N/A</v>
      </c>
      <c r="X33" s="1264"/>
      <c r="Y33" s="338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5"/>
      <c r="Q34" s="530" t="str">
        <f t="shared" si="11"/>
        <v>物业管理</v>
      </c>
      <c r="R34" s="663" t="s">
        <v>14</v>
      </c>
      <c r="S34" s="664">
        <f t="shared" si="12"/>
        <v>100</v>
      </c>
      <c r="T34" s="663" t="s">
        <v>14</v>
      </c>
      <c r="U34" s="664">
        <f t="shared" si="13"/>
        <v>100</v>
      </c>
      <c r="V34" s="663" t="s">
        <v>14</v>
      </c>
      <c r="W34" s="664">
        <f t="shared" si="14"/>
        <v>100</v>
      </c>
      <c r="X34" s="665"/>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5" t="s">
        <v>1696</v>
      </c>
      <c r="Q35" s="1262" t="str">
        <f t="shared" si="11"/>
        <v>市政基础设施</v>
      </c>
      <c r="R35" s="666" t="s">
        <v>14</v>
      </c>
      <c r="S35" s="667">
        <f t="shared" si="12"/>
        <v>100</v>
      </c>
      <c r="T35" s="666" t="s">
        <v>14</v>
      </c>
      <c r="U35" s="667">
        <f t="shared" si="13"/>
        <v>100</v>
      </c>
      <c r="V35" s="666" t="s">
        <v>14</v>
      </c>
      <c r="W35" s="667">
        <f t="shared" si="14"/>
        <v>100</v>
      </c>
      <c r="X35" s="1264"/>
      <c r="Y35" s="338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5"/>
      <c r="Q36" s="1262" t="str">
        <f t="shared" si="11"/>
        <v>内部装修</v>
      </c>
      <c r="R36" s="666" t="s">
        <v>14</v>
      </c>
      <c r="S36" s="667">
        <f t="shared" si="12"/>
        <v>100</v>
      </c>
      <c r="T36" s="666" t="s">
        <v>14</v>
      </c>
      <c r="U36" s="667">
        <f t="shared" si="13"/>
        <v>100</v>
      </c>
      <c r="V36" s="666" t="s">
        <v>14</v>
      </c>
      <c r="W36" s="667">
        <f t="shared" si="14"/>
        <v>100</v>
      </c>
      <c r="X36" s="1264"/>
      <c r="Y36" s="338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5"/>
      <c r="Q37" s="1262" t="str">
        <f t="shared" si="11"/>
        <v>内部装修状况</v>
      </c>
      <c r="R37" s="666" t="s">
        <v>14</v>
      </c>
      <c r="S37" s="667">
        <f t="shared" si="12"/>
        <v>100</v>
      </c>
      <c r="T37" s="666" t="s">
        <v>14</v>
      </c>
      <c r="U37" s="667">
        <f t="shared" si="13"/>
        <v>100</v>
      </c>
      <c r="V37" s="666" t="s">
        <v>14</v>
      </c>
      <c r="W37" s="667">
        <f t="shared" si="14"/>
        <v>100</v>
      </c>
      <c r="X37" s="1264"/>
      <c r="Y37" s="3385"/>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5"/>
      <c r="Q38" s="531">
        <f t="shared" si="11"/>
        <v>111</v>
      </c>
      <c r="R38" s="668" t="s">
        <v>14</v>
      </c>
      <c r="S38" s="669">
        <f t="shared" si="12"/>
        <v>100</v>
      </c>
      <c r="T38" s="668" t="s">
        <v>14</v>
      </c>
      <c r="U38" s="669">
        <f t="shared" si="13"/>
        <v>100</v>
      </c>
      <c r="V38" s="668" t="s">
        <v>14</v>
      </c>
      <c r="W38" s="669">
        <f t="shared" si="14"/>
        <v>100</v>
      </c>
      <c r="X38" s="670"/>
      <c r="Y38" s="3385"/>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5"/>
      <c r="Q39" s="1262">
        <f t="shared" si="11"/>
        <v>111</v>
      </c>
      <c r="R39" s="666" t="s">
        <v>14</v>
      </c>
      <c r="S39" s="667">
        <f t="shared" si="12"/>
        <v>100</v>
      </c>
      <c r="T39" s="666" t="s">
        <v>14</v>
      </c>
      <c r="U39" s="667">
        <f t="shared" si="13"/>
        <v>100</v>
      </c>
      <c r="V39" s="666" t="s">
        <v>14</v>
      </c>
      <c r="W39" s="667">
        <f t="shared" si="14"/>
        <v>100</v>
      </c>
      <c r="X39" s="1264"/>
      <c r="Y39" s="3385"/>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57"/>
      <c r="Q40" s="1262">
        <f t="shared" si="11"/>
        <v>111</v>
      </c>
      <c r="R40" s="666" t="s">
        <v>14</v>
      </c>
      <c r="S40" s="667">
        <f t="shared" si="12"/>
        <v>100</v>
      </c>
      <c r="T40" s="666" t="s">
        <v>14</v>
      </c>
      <c r="U40" s="667">
        <f t="shared" si="13"/>
        <v>100</v>
      </c>
      <c r="V40" s="666" t="s">
        <v>14</v>
      </c>
      <c r="W40" s="667">
        <f t="shared" si="14"/>
        <v>100</v>
      </c>
      <c r="X40" s="1264"/>
      <c r="Y40" s="3457"/>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66" t="str">
        <f>A41</f>
        <v>成交单价（元/平方米）</v>
      </c>
      <c r="Q41" s="3366"/>
      <c r="R41" s="3382">
        <f>E41</f>
        <v>0</v>
      </c>
      <c r="S41" s="3382"/>
      <c r="T41" s="3382">
        <f>G41</f>
        <v>0</v>
      </c>
      <c r="U41" s="3382"/>
      <c r="V41" s="3382">
        <f>I41</f>
        <v>0</v>
      </c>
      <c r="W41" s="3382"/>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66" t="str">
        <f>A42</f>
        <v>比较价值（元/平方米）</v>
      </c>
      <c r="Q42" s="3366"/>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01" t="str">
        <f>A43</f>
        <v>估价对象XX用房的比较价值（楼面单价，元/平方米）</v>
      </c>
      <c r="Q43" s="3402"/>
      <c r="R43" s="3453" t="e">
        <f>IF(F1="售价",ROUND(IF(D42="简单平均",AVERAGE(R42:V42),R42*F42+T42*H42+V42*J42),0),ROUND(IF(D42="简单平均",AVERAGE(R42:V42),R42*F42+T42*H42+V42*J42),1))</f>
        <v>#DIV/0!</v>
      </c>
      <c r="S43" s="3453"/>
      <c r="T43" s="3453"/>
      <c r="U43" s="3453"/>
      <c r="V43" s="3453"/>
      <c r="W43" s="3453"/>
      <c r="X43" s="385"/>
      <c r="Y43" s="385"/>
      <c r="Z43" s="385"/>
      <c r="AA43" s="385"/>
      <c r="AB43" s="385"/>
      <c r="AC43" s="385"/>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5"/>
      <c r="M46" s="860"/>
      <c r="N46" s="860"/>
      <c r="O46" s="860"/>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5"/>
      <c r="M47" s="860"/>
      <c r="N47" s="860"/>
      <c r="O47" s="860"/>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5"/>
      <c r="M48" s="873"/>
      <c r="N48" s="873"/>
      <c r="O48" s="873"/>
    </row>
    <row r="49" spans="1:17" s="437"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1"/>
      <c r="R3" s="341"/>
      <c r="S3" s="341"/>
      <c r="T3" s="341"/>
      <c r="U3" s="341"/>
      <c r="V3" s="341"/>
      <c r="W3" s="341"/>
      <c r="X3" s="341"/>
      <c r="Y3" s="341"/>
      <c r="Z3" s="341"/>
      <c r="AA3" s="341"/>
      <c r="AB3" s="675"/>
      <c r="AC3" s="662"/>
    </row>
    <row r="4" spans="1:29" ht="15">
      <c r="A4" s="345" t="s">
        <v>1769</v>
      </c>
      <c r="B4" s="346"/>
      <c r="C4" s="3363" t="s">
        <v>1770</v>
      </c>
      <c r="D4" s="3389"/>
      <c r="E4" s="3390" t="s">
        <v>1771</v>
      </c>
      <c r="F4" s="3391"/>
      <c r="G4" s="3363" t="s">
        <v>1772</v>
      </c>
      <c r="H4" s="3389"/>
      <c r="I4" s="3363" t="s">
        <v>1773</v>
      </c>
      <c r="J4" s="3389"/>
      <c r="K4" s="537" t="s">
        <v>1774</v>
      </c>
      <c r="L4" s="2482"/>
      <c r="M4" s="2483"/>
      <c r="N4" s="2483"/>
      <c r="O4" s="2483"/>
      <c r="P4" s="3392" t="s">
        <v>1775</v>
      </c>
      <c r="Q4" s="3393"/>
      <c r="R4" s="3369" t="s">
        <v>1771</v>
      </c>
      <c r="S4" s="3370"/>
      <c r="T4" s="3369" t="s">
        <v>1772</v>
      </c>
      <c r="U4" s="3370"/>
      <c r="V4" s="3382" t="s">
        <v>1773</v>
      </c>
      <c r="W4" s="3382"/>
      <c r="X4" s="1264"/>
      <c r="Y4" s="3369" t="s">
        <v>1775</v>
      </c>
      <c r="Z4" s="3370"/>
      <c r="AA4" s="3386" t="s">
        <v>1771</v>
      </c>
      <c r="AB4" s="3387" t="s">
        <v>1772</v>
      </c>
      <c r="AC4" s="3386" t="s">
        <v>1773</v>
      </c>
    </row>
    <row r="5" spans="1:29" ht="15">
      <c r="A5" s="348"/>
      <c r="B5" s="349"/>
      <c r="C5" s="3373" t="s">
        <v>1673</v>
      </c>
      <c r="D5" s="3374"/>
      <c r="E5" s="3398" t="s">
        <v>1674</v>
      </c>
      <c r="F5" s="3399"/>
      <c r="G5" s="3373" t="s">
        <v>1675</v>
      </c>
      <c r="H5" s="3374"/>
      <c r="I5" s="3373" t="s">
        <v>1676</v>
      </c>
      <c r="J5" s="3374"/>
      <c r="K5" s="537"/>
      <c r="L5" s="2482"/>
      <c r="M5" s="2483"/>
      <c r="N5" s="2483"/>
      <c r="O5" s="2483"/>
      <c r="P5" s="3394"/>
      <c r="Q5" s="3395"/>
      <c r="R5" s="3371"/>
      <c r="S5" s="3372"/>
      <c r="T5" s="3371"/>
      <c r="U5" s="3372"/>
      <c r="V5" s="3382"/>
      <c r="W5" s="3382"/>
      <c r="X5" s="1264"/>
      <c r="Y5" s="3371"/>
      <c r="Z5" s="3372"/>
      <c r="AA5" s="3387"/>
      <c r="AB5" s="3387"/>
      <c r="AC5" s="3387"/>
    </row>
    <row r="6" spans="1:29" ht="15.75" thickBot="1">
      <c r="A6" s="350"/>
      <c r="B6" s="351"/>
      <c r="C6" s="3460" t="s">
        <v>1677</v>
      </c>
      <c r="D6" s="3461"/>
      <c r="E6" s="3462" t="s">
        <v>1677</v>
      </c>
      <c r="F6" s="3463"/>
      <c r="G6" s="3460" t="s">
        <v>1677</v>
      </c>
      <c r="H6" s="3461"/>
      <c r="I6" s="3460" t="s">
        <v>1677</v>
      </c>
      <c r="J6" s="3461"/>
      <c r="K6" s="537" t="s">
        <v>1678</v>
      </c>
      <c r="L6" s="2482"/>
      <c r="M6" s="2483"/>
      <c r="N6" s="2483"/>
      <c r="O6" s="2483"/>
      <c r="P6" s="3396"/>
      <c r="Q6" s="3397"/>
      <c r="R6" s="3371"/>
      <c r="S6" s="3372"/>
      <c r="T6" s="3380"/>
      <c r="U6" s="3381"/>
      <c r="V6" s="3382"/>
      <c r="W6" s="3382"/>
      <c r="X6" s="1264"/>
      <c r="Y6" s="3380"/>
      <c r="Z6" s="3381"/>
      <c r="AA6" s="3388"/>
      <c r="AB6" s="3388"/>
      <c r="AC6" s="3388"/>
    </row>
    <row r="7" spans="1:29" s="102" customFormat="1" ht="15.75" thickBot="1">
      <c r="A7" s="352" t="s">
        <v>1679</v>
      </c>
      <c r="B7" s="353"/>
      <c r="C7" s="354">
        <f>'数据-取费表'!B2</f>
        <v>45587</v>
      </c>
      <c r="D7" s="355">
        <v>100</v>
      </c>
      <c r="E7" s="356"/>
      <c r="F7" s="357">
        <f>SUMIF(48:48,YEAR(E7)&amp;"-"&amp;MONTH(E7),49:49)</f>
        <v>0</v>
      </c>
      <c r="G7" s="356"/>
      <c r="H7" s="355">
        <f>SUMIF(48:48,YEAR(G7)&amp;"-"&amp;MONTH(G7),49:49)</f>
        <v>0</v>
      </c>
      <c r="I7" s="356"/>
      <c r="J7" s="355">
        <f>SUMIF(48:48,YEAR(I7)&amp;"-"&amp;MONTH(I7),49:49)</f>
        <v>0</v>
      </c>
      <c r="K7" s="38"/>
      <c r="L7" s="2484"/>
      <c r="M7" s="2436"/>
      <c r="N7" s="2436"/>
      <c r="O7" s="2436"/>
      <c r="P7" s="3367" t="s">
        <v>1680</v>
      </c>
      <c r="Q7" s="3377"/>
      <c r="R7" s="663" t="s">
        <v>14</v>
      </c>
      <c r="S7" s="664">
        <f t="shared" ref="S7:S14" si="0">F7</f>
        <v>0</v>
      </c>
      <c r="T7" s="663" t="s">
        <v>14</v>
      </c>
      <c r="U7" s="664">
        <f t="shared" ref="U7:U14" si="1">H7</f>
        <v>0</v>
      </c>
      <c r="V7" s="663" t="s">
        <v>14</v>
      </c>
      <c r="W7" s="664">
        <f t="shared" ref="W7:W14" si="2">J7</f>
        <v>0</v>
      </c>
      <c r="X7" s="665"/>
      <c r="Y7" s="3367" t="s">
        <v>1680</v>
      </c>
      <c r="Z7" s="336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67" t="s">
        <v>1683</v>
      </c>
      <c r="Q8" s="3368"/>
      <c r="R8" s="663" t="s">
        <v>14</v>
      </c>
      <c r="S8" s="664">
        <f t="shared" si="0"/>
        <v>100</v>
      </c>
      <c r="T8" s="663" t="s">
        <v>14</v>
      </c>
      <c r="U8" s="664">
        <f t="shared" si="1"/>
        <v>100</v>
      </c>
      <c r="V8" s="663" t="s">
        <v>14</v>
      </c>
      <c r="W8" s="664">
        <f t="shared" si="2"/>
        <v>100</v>
      </c>
      <c r="X8" s="665"/>
      <c r="Y8" s="3367" t="s">
        <v>1683</v>
      </c>
      <c r="Z8" s="336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66" t="s">
        <v>1686</v>
      </c>
      <c r="Q9" s="530" t="str">
        <f t="shared" ref="Q9:Q14" si="6">B9</f>
        <v>用途</v>
      </c>
      <c r="R9" s="663" t="s">
        <v>14</v>
      </c>
      <c r="S9" s="664">
        <f t="shared" si="0"/>
        <v>100</v>
      </c>
      <c r="T9" s="663" t="s">
        <v>14</v>
      </c>
      <c r="U9" s="664">
        <f t="shared" si="1"/>
        <v>100</v>
      </c>
      <c r="V9" s="663" t="s">
        <v>14</v>
      </c>
      <c r="W9" s="664">
        <f t="shared" si="2"/>
        <v>100</v>
      </c>
      <c r="X9" s="665"/>
      <c r="Y9" s="3270"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6"/>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6"/>
      <c r="Q11" s="530">
        <f t="shared" si="6"/>
        <v>111</v>
      </c>
      <c r="R11" s="663" t="s">
        <v>14</v>
      </c>
      <c r="S11" s="664">
        <f t="shared" si="0"/>
        <v>100</v>
      </c>
      <c r="T11" s="663" t="s">
        <v>14</v>
      </c>
      <c r="U11" s="664">
        <f t="shared" si="1"/>
        <v>100</v>
      </c>
      <c r="V11" s="663" t="s">
        <v>14</v>
      </c>
      <c r="W11" s="664">
        <f t="shared" si="2"/>
        <v>100</v>
      </c>
      <c r="X11" s="665"/>
      <c r="Y11" s="327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66"/>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6"/>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83" t="s">
        <v>1691</v>
      </c>
      <c r="Q14" s="1262" t="str">
        <f t="shared" si="6"/>
        <v>交通便捷度</v>
      </c>
      <c r="R14" s="666" t="s">
        <v>14</v>
      </c>
      <c r="S14" s="667">
        <f t="shared" si="0"/>
        <v>100</v>
      </c>
      <c r="T14" s="666" t="s">
        <v>14</v>
      </c>
      <c r="U14" s="667">
        <f t="shared" si="1"/>
        <v>100</v>
      </c>
      <c r="V14" s="666" t="s">
        <v>14</v>
      </c>
      <c r="W14" s="667">
        <f t="shared" si="2"/>
        <v>100</v>
      </c>
      <c r="X14" s="1264"/>
      <c r="Y14" s="338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84"/>
      <c r="Q15" s="1262"/>
      <c r="R15" s="666"/>
      <c r="S15" s="667"/>
      <c r="T15" s="666"/>
      <c r="U15" s="667"/>
      <c r="V15" s="666"/>
      <c r="W15" s="667"/>
      <c r="X15" s="1264"/>
      <c r="Y15" s="3384"/>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84"/>
      <c r="Q16" s="1262" t="str">
        <f>B16</f>
        <v>公共配套设施</v>
      </c>
      <c r="R16" s="666" t="s">
        <v>14</v>
      </c>
      <c r="S16" s="667">
        <f>F16</f>
        <v>100</v>
      </c>
      <c r="T16" s="666" t="s">
        <v>14</v>
      </c>
      <c r="U16" s="667">
        <f>H16</f>
        <v>100</v>
      </c>
      <c r="V16" s="666" t="s">
        <v>14</v>
      </c>
      <c r="W16" s="667">
        <f>J16</f>
        <v>100</v>
      </c>
      <c r="X16" s="1264"/>
      <c r="Y16" s="338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384"/>
      <c r="Q17" s="1262"/>
      <c r="R17" s="666"/>
      <c r="S17" s="667"/>
      <c r="T17" s="666"/>
      <c r="U17" s="667"/>
      <c r="V17" s="666"/>
      <c r="W17" s="667"/>
      <c r="X17" s="1264"/>
      <c r="Y17" s="3384"/>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84"/>
      <c r="Q18" s="1262" t="str">
        <f>B18</f>
        <v>基础设施水平</v>
      </c>
      <c r="R18" s="666" t="s">
        <v>14</v>
      </c>
      <c r="S18" s="667">
        <f>F18</f>
        <v>100</v>
      </c>
      <c r="T18" s="666" t="s">
        <v>14</v>
      </c>
      <c r="U18" s="667">
        <f>H18</f>
        <v>100</v>
      </c>
      <c r="V18" s="666" t="s">
        <v>14</v>
      </c>
      <c r="W18" s="667">
        <f>J18</f>
        <v>100</v>
      </c>
      <c r="X18" s="1264"/>
      <c r="Y18" s="338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8"/>
      <c r="M19" s="2483"/>
      <c r="N19" s="2483"/>
      <c r="O19" s="2483"/>
      <c r="P19" s="3384"/>
      <c r="Q19" s="1262"/>
      <c r="R19" s="666"/>
      <c r="S19" s="667"/>
      <c r="T19" s="666"/>
      <c r="U19" s="667"/>
      <c r="V19" s="666"/>
      <c r="W19" s="667"/>
      <c r="X19" s="1264"/>
      <c r="Y19" s="3384"/>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84"/>
      <c r="Q20" s="1262" t="str">
        <f>B20</f>
        <v>自然及人文环境</v>
      </c>
      <c r="R20" s="666" t="s">
        <v>14</v>
      </c>
      <c r="S20" s="667">
        <f>F20</f>
        <v>100</v>
      </c>
      <c r="T20" s="666" t="s">
        <v>14</v>
      </c>
      <c r="U20" s="667">
        <f>H20</f>
        <v>100</v>
      </c>
      <c r="V20" s="666" t="s">
        <v>14</v>
      </c>
      <c r="W20" s="667">
        <f>J20</f>
        <v>100</v>
      </c>
      <c r="X20" s="1264"/>
      <c r="Y20" s="338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84"/>
      <c r="Q21" s="1262"/>
      <c r="R21" s="666"/>
      <c r="S21" s="667"/>
      <c r="T21" s="666"/>
      <c r="U21" s="667"/>
      <c r="V21" s="666"/>
      <c r="W21" s="667"/>
      <c r="X21" s="1264"/>
      <c r="Y21" s="338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84"/>
      <c r="Q22" s="1262" t="str">
        <f>B22</f>
        <v>楼层</v>
      </c>
      <c r="R22" s="666" t="s">
        <v>14</v>
      </c>
      <c r="S22" s="667">
        <f>F22</f>
        <v>100</v>
      </c>
      <c r="T22" s="666" t="s">
        <v>14</v>
      </c>
      <c r="U22" s="667">
        <f>H22</f>
        <v>100</v>
      </c>
      <c r="V22" s="666" t="s">
        <v>14</v>
      </c>
      <c r="W22" s="667">
        <f>J22</f>
        <v>100</v>
      </c>
      <c r="X22" s="1264"/>
      <c r="Y22" s="338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84"/>
      <c r="Q23" s="1262">
        <f>B23</f>
        <v>111</v>
      </c>
      <c r="R23" s="666" t="s">
        <v>14</v>
      </c>
      <c r="S23" s="667">
        <f>F23</f>
        <v>100</v>
      </c>
      <c r="T23" s="666" t="s">
        <v>14</v>
      </c>
      <c r="U23" s="667">
        <f>H23</f>
        <v>100</v>
      </c>
      <c r="V23" s="666" t="s">
        <v>14</v>
      </c>
      <c r="W23" s="667">
        <f>J23</f>
        <v>100</v>
      </c>
      <c r="X23" s="1264"/>
      <c r="Y23" s="338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84"/>
      <c r="Q24" s="1262">
        <f t="shared" ref="Q24:Q36" si="11">B24</f>
        <v>111</v>
      </c>
      <c r="R24" s="666" t="s">
        <v>14</v>
      </c>
      <c r="S24" s="667">
        <f>F24</f>
        <v>100</v>
      </c>
      <c r="T24" s="666" t="s">
        <v>14</v>
      </c>
      <c r="U24" s="667">
        <f>H24</f>
        <v>100</v>
      </c>
      <c r="V24" s="666" t="s">
        <v>14</v>
      </c>
      <c r="W24" s="667">
        <f>J24</f>
        <v>100</v>
      </c>
      <c r="X24" s="1264"/>
      <c r="Y24" s="338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84"/>
      <c r="Q25" s="530">
        <f t="shared" si="11"/>
        <v>111</v>
      </c>
      <c r="R25" s="663" t="s">
        <v>14</v>
      </c>
      <c r="S25" s="664">
        <f>F25</f>
        <v>100</v>
      </c>
      <c r="T25" s="663" t="s">
        <v>14</v>
      </c>
      <c r="U25" s="664">
        <f>H25</f>
        <v>100</v>
      </c>
      <c r="V25" s="663" t="s">
        <v>14</v>
      </c>
      <c r="W25" s="664">
        <f>J25</f>
        <v>100</v>
      </c>
      <c r="X25" s="665"/>
      <c r="Y25" s="3384"/>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00"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5"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85"/>
      <c r="Q27" s="531" t="str">
        <f t="shared" si="11"/>
        <v>项目停车位配比</v>
      </c>
      <c r="R27" s="668" t="s">
        <v>14</v>
      </c>
      <c r="S27" s="669">
        <f t="shared" si="12"/>
        <v>100</v>
      </c>
      <c r="T27" s="668" t="s">
        <v>14</v>
      </c>
      <c r="U27" s="669">
        <f t="shared" si="13"/>
        <v>100</v>
      </c>
      <c r="V27" s="668" t="s">
        <v>14</v>
      </c>
      <c r="W27" s="669">
        <f t="shared" si="14"/>
        <v>100</v>
      </c>
      <c r="X27" s="670"/>
      <c r="Y27" s="3385"/>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85"/>
      <c r="Q28" s="1262" t="str">
        <f t="shared" si="11"/>
        <v>公共部分装修</v>
      </c>
      <c r="R28" s="666" t="s">
        <v>14</v>
      </c>
      <c r="S28" s="667">
        <f t="shared" si="12"/>
        <v>100</v>
      </c>
      <c r="T28" s="666" t="s">
        <v>14</v>
      </c>
      <c r="U28" s="667">
        <f t="shared" si="13"/>
        <v>100</v>
      </c>
      <c r="V28" s="666" t="s">
        <v>14</v>
      </c>
      <c r="W28" s="667">
        <f t="shared" si="14"/>
        <v>100</v>
      </c>
      <c r="X28" s="1264"/>
      <c r="Y28" s="3385"/>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85"/>
      <c r="Q29" s="1262" t="str">
        <f t="shared" si="11"/>
        <v>成新率</v>
      </c>
      <c r="R29" s="666" t="s">
        <v>14</v>
      </c>
      <c r="S29" s="667" t="e">
        <f t="shared" si="12"/>
        <v>#N/A</v>
      </c>
      <c r="T29" s="666" t="s">
        <v>14</v>
      </c>
      <c r="U29" s="667" t="e">
        <f t="shared" si="13"/>
        <v>#N/A</v>
      </c>
      <c r="V29" s="666" t="s">
        <v>14</v>
      </c>
      <c r="W29" s="667" t="e">
        <f t="shared" si="14"/>
        <v>#N/A</v>
      </c>
      <c r="X29" s="1264"/>
      <c r="Y29" s="3385"/>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85"/>
      <c r="Q30" s="1262" t="str">
        <f t="shared" si="11"/>
        <v>物业等级</v>
      </c>
      <c r="R30" s="666" t="s">
        <v>14</v>
      </c>
      <c r="S30" s="667">
        <f t="shared" si="12"/>
        <v>100</v>
      </c>
      <c r="T30" s="666" t="s">
        <v>14</v>
      </c>
      <c r="U30" s="667">
        <f t="shared" si="13"/>
        <v>100</v>
      </c>
      <c r="V30" s="666" t="s">
        <v>14</v>
      </c>
      <c r="W30" s="667">
        <f t="shared" si="14"/>
        <v>100</v>
      </c>
      <c r="X30" s="1264"/>
      <c r="Y30" s="3385"/>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85"/>
      <c r="Q31" s="530" t="str">
        <f t="shared" si="11"/>
        <v>停车位面积</v>
      </c>
      <c r="R31" s="663" t="s">
        <v>14</v>
      </c>
      <c r="S31" s="664" t="e">
        <f t="shared" si="12"/>
        <v>#N/A</v>
      </c>
      <c r="T31" s="663" t="s">
        <v>14</v>
      </c>
      <c r="U31" s="664" t="e">
        <f t="shared" si="13"/>
        <v>#N/A</v>
      </c>
      <c r="V31" s="663" t="s">
        <v>14</v>
      </c>
      <c r="W31" s="664" t="e">
        <f t="shared" si="14"/>
        <v>#N/A</v>
      </c>
      <c r="X31" s="665"/>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85" t="s">
        <v>1696</v>
      </c>
      <c r="Q32" s="1262" t="str">
        <f t="shared" si="11"/>
        <v>车位类型</v>
      </c>
      <c r="R32" s="666" t="s">
        <v>14</v>
      </c>
      <c r="S32" s="667">
        <f t="shared" si="12"/>
        <v>100</v>
      </c>
      <c r="T32" s="666" t="s">
        <v>14</v>
      </c>
      <c r="U32" s="667">
        <f t="shared" si="13"/>
        <v>100</v>
      </c>
      <c r="V32" s="666" t="s">
        <v>14</v>
      </c>
      <c r="W32" s="667">
        <f t="shared" si="14"/>
        <v>100</v>
      </c>
      <c r="X32" s="1264"/>
      <c r="Y32" s="3385"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85"/>
      <c r="Q33" s="1262" t="str">
        <f t="shared" si="11"/>
        <v>是否直接入户</v>
      </c>
      <c r="R33" s="666" t="s">
        <v>14</v>
      </c>
      <c r="S33" s="667">
        <f t="shared" si="12"/>
        <v>100</v>
      </c>
      <c r="T33" s="666" t="s">
        <v>14</v>
      </c>
      <c r="U33" s="667">
        <f t="shared" si="13"/>
        <v>100</v>
      </c>
      <c r="V33" s="666" t="s">
        <v>14</v>
      </c>
      <c r="W33" s="667">
        <f t="shared" si="14"/>
        <v>100</v>
      </c>
      <c r="X33" s="1264"/>
      <c r="Y33" s="3385"/>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85"/>
      <c r="Q34" s="1262">
        <f t="shared" si="11"/>
        <v>111</v>
      </c>
      <c r="R34" s="666" t="s">
        <v>14</v>
      </c>
      <c r="S34" s="667">
        <f t="shared" si="12"/>
        <v>100</v>
      </c>
      <c r="T34" s="666" t="s">
        <v>14</v>
      </c>
      <c r="U34" s="667">
        <f t="shared" si="13"/>
        <v>100</v>
      </c>
      <c r="V34" s="666" t="s">
        <v>14</v>
      </c>
      <c r="W34" s="667">
        <f t="shared" si="14"/>
        <v>100</v>
      </c>
      <c r="X34" s="1264"/>
      <c r="Y34" s="3385"/>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85"/>
      <c r="Q35" s="531">
        <f t="shared" si="11"/>
        <v>111</v>
      </c>
      <c r="R35" s="668" t="s">
        <v>14</v>
      </c>
      <c r="S35" s="669">
        <f t="shared" si="12"/>
        <v>100</v>
      </c>
      <c r="T35" s="668" t="s">
        <v>14</v>
      </c>
      <c r="U35" s="669">
        <f t="shared" si="13"/>
        <v>100</v>
      </c>
      <c r="V35" s="668" t="s">
        <v>14</v>
      </c>
      <c r="W35" s="669">
        <f t="shared" si="14"/>
        <v>100</v>
      </c>
      <c r="X35" s="670"/>
      <c r="Y35" s="3385"/>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85"/>
      <c r="Q36" s="1262">
        <f t="shared" si="11"/>
        <v>111</v>
      </c>
      <c r="R36" s="666" t="s">
        <v>14</v>
      </c>
      <c r="S36" s="667">
        <f t="shared" si="12"/>
        <v>100</v>
      </c>
      <c r="T36" s="666" t="s">
        <v>14</v>
      </c>
      <c r="U36" s="667">
        <f t="shared" si="13"/>
        <v>100</v>
      </c>
      <c r="V36" s="666" t="s">
        <v>14</v>
      </c>
      <c r="W36" s="667">
        <f t="shared" si="14"/>
        <v>100</v>
      </c>
      <c r="X36" s="1264"/>
      <c r="Y36" s="3385"/>
      <c r="Z36" s="1263">
        <f t="shared" si="15"/>
        <v>111</v>
      </c>
      <c r="AA36" s="1263">
        <f t="shared" si="3"/>
        <v>1</v>
      </c>
      <c r="AB36" s="1263">
        <f t="shared" si="4"/>
        <v>1</v>
      </c>
      <c r="AC36" s="1263">
        <f t="shared" si="5"/>
        <v>1</v>
      </c>
    </row>
    <row r="37" spans="1:29" ht="15">
      <c r="A37" s="416" t="s">
        <v>1844</v>
      </c>
      <c r="B37" s="1820" t="s">
        <v>3346</v>
      </c>
      <c r="C37" s="1080" t="s">
        <v>0</v>
      </c>
      <c r="D37" s="418"/>
      <c r="E37" s="419"/>
      <c r="F37" s="420"/>
      <c r="G37" s="421"/>
      <c r="H37" s="422"/>
      <c r="I37" s="419"/>
      <c r="J37" s="422"/>
      <c r="K37" s="545"/>
      <c r="L37" s="2490"/>
      <c r="M37" s="2483"/>
      <c r="N37" s="2483"/>
      <c r="O37" s="2483"/>
      <c r="P37" s="3366" t="str">
        <f>A37</f>
        <v>成交单价</v>
      </c>
      <c r="Q37" s="3366"/>
      <c r="R37" s="3382">
        <f>E37</f>
        <v>0</v>
      </c>
      <c r="S37" s="3382"/>
      <c r="T37" s="3382">
        <f>G37</f>
        <v>0</v>
      </c>
      <c r="U37" s="3382"/>
      <c r="V37" s="3382">
        <f>I37</f>
        <v>0</v>
      </c>
      <c r="W37" s="3382"/>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0"/>
      <c r="M38" s="2483"/>
      <c r="N38" s="2483"/>
      <c r="O38" s="2483"/>
      <c r="P38" s="3366" t="str">
        <f>A38</f>
        <v>比较价值（元/平方米）</v>
      </c>
      <c r="Q38" s="3366"/>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401" t="str">
        <f>A39</f>
        <v>估价对象XX用房的比较价值（楼面单价，元/平方米）</v>
      </c>
      <c r="Q39" s="3402"/>
      <c r="R39" s="3479" t="e">
        <f>IF(F1="售价",ROUND(IF(D38="简单平均",AVERAGE(R38:W38),R38*F38+T38*H38+V38*J38),0),ROUND(IF(D38="简单平均",AVERAGE(R38:V38),R38*F38+T38*H38+V38*J38),1))</f>
        <v>#DIV/0!</v>
      </c>
      <c r="S39" s="3479"/>
      <c r="T39" s="3479"/>
      <c r="U39" s="3479"/>
      <c r="V39" s="3479"/>
      <c r="W39" s="3479"/>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3"/>
      <c r="Q48" s="2506"/>
      <c r="R48" s="2506"/>
      <c r="S48" s="2506"/>
      <c r="T48" s="2506"/>
      <c r="U48" s="2506"/>
      <c r="V48" s="2506"/>
      <c r="W48" s="2506"/>
      <c r="X48" s="2506"/>
      <c r="Y48" s="2506"/>
      <c r="Z48" s="2506"/>
      <c r="AA48" s="2506"/>
      <c r="AB48" s="2506"/>
      <c r="AC48" s="2506"/>
    </row>
    <row r="49" spans="1:29" s="102" customFormat="1" ht="15">
      <c r="A49" s="443"/>
      <c r="B49" s="444"/>
      <c r="C49" s="1096">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2"/>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3" t="s">
        <v>1770</v>
      </c>
      <c r="D4" s="3389"/>
      <c r="E4" s="3390" t="s">
        <v>1771</v>
      </c>
      <c r="F4" s="3391"/>
      <c r="G4" s="3363" t="s">
        <v>1772</v>
      </c>
      <c r="H4" s="3389"/>
      <c r="I4" s="3363" t="s">
        <v>1773</v>
      </c>
      <c r="J4" s="3389"/>
      <c r="K4" s="537" t="s">
        <v>1774</v>
      </c>
      <c r="L4" s="2482"/>
      <c r="M4" s="2483"/>
      <c r="N4" s="2483"/>
      <c r="O4" s="2483"/>
      <c r="P4" s="3392" t="s">
        <v>1775</v>
      </c>
      <c r="Q4" s="3393"/>
      <c r="R4" s="3369" t="s">
        <v>1771</v>
      </c>
      <c r="S4" s="3370"/>
      <c r="T4" s="3369" t="s">
        <v>1772</v>
      </c>
      <c r="U4" s="3370"/>
      <c r="V4" s="3382" t="s">
        <v>1773</v>
      </c>
      <c r="W4" s="3382"/>
      <c r="X4" s="1264"/>
      <c r="Y4" s="3369" t="s">
        <v>1775</v>
      </c>
      <c r="Z4" s="3370"/>
      <c r="AA4" s="3386" t="s">
        <v>1771</v>
      </c>
      <c r="AB4" s="3387" t="s">
        <v>1772</v>
      </c>
      <c r="AC4" s="3386" t="s">
        <v>1773</v>
      </c>
    </row>
    <row r="5" spans="1:29" ht="15">
      <c r="A5" s="348"/>
      <c r="B5" s="349"/>
      <c r="C5" s="3373" t="s">
        <v>1673</v>
      </c>
      <c r="D5" s="3374"/>
      <c r="E5" s="3398" t="s">
        <v>1674</v>
      </c>
      <c r="F5" s="3399"/>
      <c r="G5" s="3373" t="s">
        <v>1675</v>
      </c>
      <c r="H5" s="3374"/>
      <c r="I5" s="3373" t="s">
        <v>1676</v>
      </c>
      <c r="J5" s="3374"/>
      <c r="K5" s="537"/>
      <c r="L5" s="2482"/>
      <c r="M5" s="2483"/>
      <c r="N5" s="2483"/>
      <c r="O5" s="2483"/>
      <c r="P5" s="3394"/>
      <c r="Q5" s="3395"/>
      <c r="R5" s="3371"/>
      <c r="S5" s="3372"/>
      <c r="T5" s="3371"/>
      <c r="U5" s="3372"/>
      <c r="V5" s="3382"/>
      <c r="W5" s="3382"/>
      <c r="X5" s="1264"/>
      <c r="Y5" s="3371"/>
      <c r="Z5" s="3372"/>
      <c r="AA5" s="3387"/>
      <c r="AB5" s="3387"/>
      <c r="AC5" s="3387"/>
    </row>
    <row r="6" spans="1:29" ht="15.75" thickBot="1">
      <c r="A6" s="350"/>
      <c r="B6" s="351"/>
      <c r="C6" s="3460" t="s">
        <v>1677</v>
      </c>
      <c r="D6" s="3461"/>
      <c r="E6" s="3462" t="s">
        <v>1677</v>
      </c>
      <c r="F6" s="3463"/>
      <c r="G6" s="3460" t="s">
        <v>1677</v>
      </c>
      <c r="H6" s="3461"/>
      <c r="I6" s="3460" t="s">
        <v>1677</v>
      </c>
      <c r="J6" s="3461"/>
      <c r="K6" s="537" t="s">
        <v>1678</v>
      </c>
      <c r="L6" s="2482"/>
      <c r="M6" s="2483"/>
      <c r="N6" s="2483"/>
      <c r="O6" s="2483"/>
      <c r="P6" s="3396"/>
      <c r="Q6" s="3397"/>
      <c r="R6" s="3371"/>
      <c r="S6" s="3372"/>
      <c r="T6" s="3380"/>
      <c r="U6" s="3381"/>
      <c r="V6" s="3382"/>
      <c r="W6" s="3382"/>
      <c r="X6" s="1264"/>
      <c r="Y6" s="3380"/>
      <c r="Z6" s="3381"/>
      <c r="AA6" s="3388"/>
      <c r="AB6" s="3388"/>
      <c r="AC6" s="3388"/>
    </row>
    <row r="7" spans="1:29" s="102" customFormat="1" ht="15.75" thickBot="1">
      <c r="A7" s="352" t="s">
        <v>1679</v>
      </c>
      <c r="B7" s="353"/>
      <c r="C7" s="354">
        <f>'数据-取费表'!B2</f>
        <v>45587</v>
      </c>
      <c r="D7" s="355">
        <v>100</v>
      </c>
      <c r="E7" s="356"/>
      <c r="F7" s="357">
        <f>SUMIF(46:46,YEAR(E7)&amp;"-"&amp;MONTH(E7),47:47)</f>
        <v>0</v>
      </c>
      <c r="G7" s="1821"/>
      <c r="H7" s="355">
        <f>SUMIF(46:46,YEAR(G7)&amp;"-"&amp;MONTH(G7),47:47)</f>
        <v>0</v>
      </c>
      <c r="I7" s="356"/>
      <c r="J7" s="355">
        <f>SUMIF(46:46,YEAR(I7)&amp;"-"&amp;MONTH(I7),47:47)</f>
        <v>0</v>
      </c>
      <c r="K7" s="38"/>
      <c r="L7" s="2484"/>
      <c r="M7" s="2436"/>
      <c r="N7" s="2436"/>
      <c r="O7" s="2436"/>
      <c r="P7" s="3367" t="s">
        <v>1680</v>
      </c>
      <c r="Q7" s="3377"/>
      <c r="R7" s="663" t="s">
        <v>14</v>
      </c>
      <c r="S7" s="664">
        <f t="shared" ref="S7:S14" si="0">F7</f>
        <v>0</v>
      </c>
      <c r="T7" s="663" t="s">
        <v>14</v>
      </c>
      <c r="U7" s="664">
        <f t="shared" ref="U7:U14" si="1">H7</f>
        <v>0</v>
      </c>
      <c r="V7" s="663" t="s">
        <v>14</v>
      </c>
      <c r="W7" s="664">
        <f t="shared" ref="W7:W14" si="2">J7</f>
        <v>0</v>
      </c>
      <c r="X7" s="665"/>
      <c r="Y7" s="3367" t="s">
        <v>1680</v>
      </c>
      <c r="Z7" s="336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67" t="s">
        <v>1683</v>
      </c>
      <c r="Q8" s="3368"/>
      <c r="R8" s="663" t="s">
        <v>14</v>
      </c>
      <c r="S8" s="664">
        <f t="shared" si="0"/>
        <v>100</v>
      </c>
      <c r="T8" s="663" t="s">
        <v>14</v>
      </c>
      <c r="U8" s="664">
        <f t="shared" si="1"/>
        <v>100</v>
      </c>
      <c r="V8" s="663" t="s">
        <v>14</v>
      </c>
      <c r="W8" s="664">
        <f t="shared" si="2"/>
        <v>100</v>
      </c>
      <c r="X8" s="665"/>
      <c r="Y8" s="3367" t="s">
        <v>1683</v>
      </c>
      <c r="Z8" s="336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66" t="s">
        <v>1686</v>
      </c>
      <c r="Q9" s="530" t="str">
        <f t="shared" ref="Q9:Q14" si="6">B9</f>
        <v>用途</v>
      </c>
      <c r="R9" s="663" t="s">
        <v>14</v>
      </c>
      <c r="S9" s="664">
        <f t="shared" si="0"/>
        <v>100</v>
      </c>
      <c r="T9" s="663" t="s">
        <v>14</v>
      </c>
      <c r="U9" s="664">
        <f t="shared" si="1"/>
        <v>100</v>
      </c>
      <c r="V9" s="663" t="s">
        <v>14</v>
      </c>
      <c r="W9" s="664">
        <f t="shared" si="2"/>
        <v>100</v>
      </c>
      <c r="X9" s="665"/>
      <c r="Y9" s="3270"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6"/>
      <c r="Q10" s="530" t="str">
        <f t="shared" si="6"/>
        <v>土地使用年限（年）</v>
      </c>
      <c r="R10" s="663" t="s">
        <v>14</v>
      </c>
      <c r="S10" s="664">
        <f t="shared" si="0"/>
        <v>100</v>
      </c>
      <c r="T10" s="663" t="s">
        <v>14</v>
      </c>
      <c r="U10" s="664">
        <f t="shared" si="1"/>
        <v>100</v>
      </c>
      <c r="V10" s="663" t="s">
        <v>14</v>
      </c>
      <c r="W10" s="664">
        <f t="shared" si="2"/>
        <v>100</v>
      </c>
      <c r="X10" s="665"/>
      <c r="Y10" s="327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6"/>
      <c r="Q11" s="530">
        <f t="shared" si="6"/>
        <v>111</v>
      </c>
      <c r="R11" s="663" t="s">
        <v>14</v>
      </c>
      <c r="S11" s="664">
        <f t="shared" si="0"/>
        <v>100</v>
      </c>
      <c r="T11" s="663" t="s">
        <v>14</v>
      </c>
      <c r="U11" s="664">
        <f t="shared" si="1"/>
        <v>100</v>
      </c>
      <c r="V11" s="663" t="s">
        <v>14</v>
      </c>
      <c r="W11" s="664">
        <f t="shared" si="2"/>
        <v>100</v>
      </c>
      <c r="X11" s="665"/>
      <c r="Y11" s="327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66"/>
      <c r="Q12" s="530">
        <f t="shared" si="6"/>
        <v>111</v>
      </c>
      <c r="R12" s="663" t="s">
        <v>14</v>
      </c>
      <c r="S12" s="664">
        <f t="shared" si="0"/>
        <v>100</v>
      </c>
      <c r="T12" s="663" t="s">
        <v>14</v>
      </c>
      <c r="U12" s="664">
        <f t="shared" si="1"/>
        <v>100</v>
      </c>
      <c r="V12" s="663" t="s">
        <v>14</v>
      </c>
      <c r="W12" s="664">
        <f t="shared" si="2"/>
        <v>100</v>
      </c>
      <c r="X12" s="665"/>
      <c r="Y12" s="327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366"/>
      <c r="Q13" s="530">
        <f t="shared" si="6"/>
        <v>111</v>
      </c>
      <c r="R13" s="663" t="s">
        <v>14</v>
      </c>
      <c r="S13" s="664">
        <f t="shared" si="0"/>
        <v>100</v>
      </c>
      <c r="T13" s="663" t="s">
        <v>14</v>
      </c>
      <c r="U13" s="664">
        <f t="shared" si="1"/>
        <v>100</v>
      </c>
      <c r="V13" s="663" t="s">
        <v>14</v>
      </c>
      <c r="W13" s="664">
        <f t="shared" si="2"/>
        <v>100</v>
      </c>
      <c r="X13" s="665"/>
      <c r="Y13" s="3270"/>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83" t="s">
        <v>1691</v>
      </c>
      <c r="Q14" s="1262" t="str">
        <f t="shared" si="6"/>
        <v>交通便捷度</v>
      </c>
      <c r="R14" s="666" t="s">
        <v>14</v>
      </c>
      <c r="S14" s="667">
        <f t="shared" si="0"/>
        <v>100</v>
      </c>
      <c r="T14" s="666" t="s">
        <v>14</v>
      </c>
      <c r="U14" s="667">
        <f t="shared" si="1"/>
        <v>100</v>
      </c>
      <c r="V14" s="666" t="s">
        <v>14</v>
      </c>
      <c r="W14" s="667">
        <f t="shared" si="2"/>
        <v>100</v>
      </c>
      <c r="X14" s="1264"/>
      <c r="Y14" s="338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84"/>
      <c r="Q15" s="1262"/>
      <c r="R15" s="666"/>
      <c r="S15" s="667"/>
      <c r="T15" s="666"/>
      <c r="U15" s="667"/>
      <c r="V15" s="666"/>
      <c r="W15" s="667"/>
      <c r="X15" s="1264"/>
      <c r="Y15" s="3384"/>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84"/>
      <c r="Q16" s="1262" t="str">
        <f>B16</f>
        <v>公共配套设施</v>
      </c>
      <c r="R16" s="666" t="s">
        <v>14</v>
      </c>
      <c r="S16" s="667">
        <f>F16</f>
        <v>100</v>
      </c>
      <c r="T16" s="666" t="s">
        <v>14</v>
      </c>
      <c r="U16" s="667">
        <f>H16</f>
        <v>100</v>
      </c>
      <c r="V16" s="666" t="s">
        <v>14</v>
      </c>
      <c r="W16" s="667">
        <f>J16</f>
        <v>100</v>
      </c>
      <c r="X16" s="1264"/>
      <c r="Y16" s="338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384"/>
      <c r="Q17" s="1262"/>
      <c r="R17" s="666"/>
      <c r="S17" s="667"/>
      <c r="T17" s="666"/>
      <c r="U17" s="667"/>
      <c r="V17" s="666"/>
      <c r="W17" s="667"/>
      <c r="X17" s="1264"/>
      <c r="Y17" s="3384"/>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84"/>
      <c r="Q18" s="1262" t="str">
        <f>B18</f>
        <v>基础设施水平</v>
      </c>
      <c r="R18" s="666" t="s">
        <v>14</v>
      </c>
      <c r="S18" s="667">
        <f>F18</f>
        <v>100</v>
      </c>
      <c r="T18" s="666" t="s">
        <v>14</v>
      </c>
      <c r="U18" s="667">
        <f>H18</f>
        <v>100</v>
      </c>
      <c r="V18" s="666" t="s">
        <v>14</v>
      </c>
      <c r="W18" s="667">
        <f>J18</f>
        <v>100</v>
      </c>
      <c r="X18" s="1264"/>
      <c r="Y18" s="338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8"/>
      <c r="M19" s="2483"/>
      <c r="N19" s="2483"/>
      <c r="O19" s="2538"/>
      <c r="P19" s="3384"/>
      <c r="Q19" s="1262"/>
      <c r="R19" s="666"/>
      <c r="S19" s="667"/>
      <c r="T19" s="666"/>
      <c r="U19" s="667"/>
      <c r="V19" s="666"/>
      <c r="W19" s="667"/>
      <c r="X19" s="1264"/>
      <c r="Y19" s="3384"/>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84"/>
      <c r="Q20" s="1262" t="str">
        <f>B20</f>
        <v>自然及人文环境</v>
      </c>
      <c r="R20" s="666" t="s">
        <v>14</v>
      </c>
      <c r="S20" s="667">
        <f>F20</f>
        <v>100</v>
      </c>
      <c r="T20" s="666" t="s">
        <v>14</v>
      </c>
      <c r="U20" s="667">
        <f>H20</f>
        <v>100</v>
      </c>
      <c r="V20" s="666" t="s">
        <v>14</v>
      </c>
      <c r="W20" s="667">
        <f>J20</f>
        <v>100</v>
      </c>
      <c r="X20" s="1264"/>
      <c r="Y20" s="338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84"/>
      <c r="Q21" s="1262"/>
      <c r="R21" s="666"/>
      <c r="S21" s="667"/>
      <c r="T21" s="666"/>
      <c r="U21" s="667"/>
      <c r="V21" s="666"/>
      <c r="W21" s="667"/>
      <c r="X21" s="1264"/>
      <c r="Y21" s="338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84"/>
      <c r="Q22" s="1262" t="str">
        <f>B22</f>
        <v>楼层</v>
      </c>
      <c r="R22" s="666" t="s">
        <v>14</v>
      </c>
      <c r="S22" s="667">
        <f>F22</f>
        <v>100</v>
      </c>
      <c r="T22" s="666" t="s">
        <v>14</v>
      </c>
      <c r="U22" s="667">
        <f>H22</f>
        <v>100</v>
      </c>
      <c r="V22" s="666" t="s">
        <v>14</v>
      </c>
      <c r="W22" s="667">
        <f>J22</f>
        <v>100</v>
      </c>
      <c r="X22" s="1264"/>
      <c r="Y22" s="338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84"/>
      <c r="Q23" s="1262">
        <f>B23</f>
        <v>111</v>
      </c>
      <c r="R23" s="666" t="s">
        <v>14</v>
      </c>
      <c r="S23" s="667">
        <f>F23</f>
        <v>100</v>
      </c>
      <c r="T23" s="666" t="s">
        <v>14</v>
      </c>
      <c r="U23" s="667">
        <f>H23</f>
        <v>100</v>
      </c>
      <c r="V23" s="666" t="s">
        <v>14</v>
      </c>
      <c r="W23" s="667">
        <f>J23</f>
        <v>100</v>
      </c>
      <c r="X23" s="1264"/>
      <c r="Y23" s="338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84"/>
      <c r="Q24" s="1262">
        <f t="shared" ref="Q24:Q34" si="11">B24</f>
        <v>111</v>
      </c>
      <c r="R24" s="666" t="s">
        <v>14</v>
      </c>
      <c r="S24" s="667">
        <f>F24</f>
        <v>100</v>
      </c>
      <c r="T24" s="666" t="s">
        <v>14</v>
      </c>
      <c r="U24" s="667">
        <f>H24</f>
        <v>100</v>
      </c>
      <c r="V24" s="666" t="s">
        <v>14</v>
      </c>
      <c r="W24" s="667">
        <f>J24</f>
        <v>100</v>
      </c>
      <c r="X24" s="1264"/>
      <c r="Y24" s="3384"/>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384"/>
      <c r="Q25" s="530">
        <f t="shared" si="11"/>
        <v>111</v>
      </c>
      <c r="R25" s="663" t="s">
        <v>14</v>
      </c>
      <c r="S25" s="664">
        <f>F25</f>
        <v>100</v>
      </c>
      <c r="T25" s="663" t="s">
        <v>14</v>
      </c>
      <c r="U25" s="664">
        <f>H25</f>
        <v>100</v>
      </c>
      <c r="V25" s="663" t="s">
        <v>14</v>
      </c>
      <c r="W25" s="664">
        <f>J25</f>
        <v>100</v>
      </c>
      <c r="X25" s="665"/>
      <c r="Y25" s="3384"/>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40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85"/>
      <c r="Q27" s="531" t="str">
        <f t="shared" si="11"/>
        <v>成新率</v>
      </c>
      <c r="R27" s="668" t="s">
        <v>14</v>
      </c>
      <c r="S27" s="669" t="e">
        <f t="shared" si="12"/>
        <v>#N/A</v>
      </c>
      <c r="T27" s="668" t="s">
        <v>14</v>
      </c>
      <c r="U27" s="669" t="e">
        <f t="shared" si="13"/>
        <v>#N/A</v>
      </c>
      <c r="V27" s="668" t="s">
        <v>14</v>
      </c>
      <c r="W27" s="669" t="e">
        <f t="shared" si="14"/>
        <v>#N/A</v>
      </c>
      <c r="X27" s="670"/>
      <c r="Y27" s="3385"/>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85"/>
      <c r="Q28" s="1262" t="str">
        <f t="shared" si="11"/>
        <v>物业等级</v>
      </c>
      <c r="R28" s="666" t="s">
        <v>14</v>
      </c>
      <c r="S28" s="667">
        <f t="shared" si="12"/>
        <v>100</v>
      </c>
      <c r="T28" s="666" t="s">
        <v>14</v>
      </c>
      <c r="U28" s="667">
        <f t="shared" si="13"/>
        <v>100</v>
      </c>
      <c r="V28" s="666" t="s">
        <v>14</v>
      </c>
      <c r="W28" s="667">
        <f t="shared" si="14"/>
        <v>100</v>
      </c>
      <c r="X28" s="1264"/>
      <c r="Y28" s="3385"/>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85"/>
      <c r="Q29" s="1262" t="str">
        <f t="shared" si="11"/>
        <v>有无电梯</v>
      </c>
      <c r="R29" s="666" t="s">
        <v>14</v>
      </c>
      <c r="S29" s="667">
        <f t="shared" si="12"/>
        <v>100</v>
      </c>
      <c r="T29" s="666" t="s">
        <v>14</v>
      </c>
      <c r="U29" s="667">
        <f t="shared" si="13"/>
        <v>100</v>
      </c>
      <c r="V29" s="666" t="s">
        <v>14</v>
      </c>
      <c r="W29" s="667">
        <f t="shared" si="14"/>
        <v>100</v>
      </c>
      <c r="X29" s="1264"/>
      <c r="Y29" s="338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85"/>
      <c r="Q30" s="1262" t="str">
        <f t="shared" si="11"/>
        <v>建筑面积</v>
      </c>
      <c r="R30" s="666" t="s">
        <v>14</v>
      </c>
      <c r="S30" s="667" t="e">
        <f t="shared" si="12"/>
        <v>#N/A</v>
      </c>
      <c r="T30" s="666" t="s">
        <v>14</v>
      </c>
      <c r="U30" s="667" t="e">
        <f t="shared" si="13"/>
        <v>#N/A</v>
      </c>
      <c r="V30" s="666" t="s">
        <v>14</v>
      </c>
      <c r="W30" s="667" t="e">
        <f t="shared" si="14"/>
        <v>#N/A</v>
      </c>
      <c r="X30" s="1264"/>
      <c r="Y30" s="3385"/>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85"/>
      <c r="Q31" s="530" t="str">
        <f t="shared" si="11"/>
        <v>是否封闭</v>
      </c>
      <c r="R31" s="663" t="s">
        <v>14</v>
      </c>
      <c r="S31" s="664">
        <f t="shared" si="12"/>
        <v>100</v>
      </c>
      <c r="T31" s="663" t="s">
        <v>14</v>
      </c>
      <c r="U31" s="664">
        <f t="shared" si="13"/>
        <v>100</v>
      </c>
      <c r="V31" s="663" t="s">
        <v>14</v>
      </c>
      <c r="W31" s="664">
        <f t="shared" si="14"/>
        <v>100</v>
      </c>
      <c r="X31" s="665"/>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85" t="s">
        <v>1696</v>
      </c>
      <c r="Q32" s="1262">
        <f t="shared" si="11"/>
        <v>111</v>
      </c>
      <c r="R32" s="666" t="s">
        <v>14</v>
      </c>
      <c r="S32" s="667">
        <f t="shared" si="12"/>
        <v>100</v>
      </c>
      <c r="T32" s="666" t="s">
        <v>14</v>
      </c>
      <c r="U32" s="667">
        <f t="shared" si="13"/>
        <v>100</v>
      </c>
      <c r="V32" s="666" t="s">
        <v>14</v>
      </c>
      <c r="W32" s="667">
        <f t="shared" si="14"/>
        <v>100</v>
      </c>
      <c r="X32" s="1264"/>
      <c r="Y32" s="338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85"/>
      <c r="Q33" s="1262">
        <f t="shared" si="11"/>
        <v>111</v>
      </c>
      <c r="R33" s="666" t="s">
        <v>14</v>
      </c>
      <c r="S33" s="667">
        <f t="shared" si="12"/>
        <v>100</v>
      </c>
      <c r="T33" s="666" t="s">
        <v>14</v>
      </c>
      <c r="U33" s="667">
        <f t="shared" si="13"/>
        <v>100</v>
      </c>
      <c r="V33" s="666" t="s">
        <v>14</v>
      </c>
      <c r="W33" s="667">
        <f t="shared" si="14"/>
        <v>100</v>
      </c>
      <c r="X33" s="1264"/>
      <c r="Y33" s="3385"/>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385"/>
      <c r="Q34" s="1262">
        <f t="shared" si="11"/>
        <v>111</v>
      </c>
      <c r="R34" s="666" t="s">
        <v>14</v>
      </c>
      <c r="S34" s="667">
        <f t="shared" si="12"/>
        <v>100</v>
      </c>
      <c r="T34" s="666" t="s">
        <v>14</v>
      </c>
      <c r="U34" s="667">
        <f t="shared" si="13"/>
        <v>100</v>
      </c>
      <c r="V34" s="666" t="s">
        <v>14</v>
      </c>
      <c r="W34" s="667">
        <f t="shared" si="14"/>
        <v>100</v>
      </c>
      <c r="X34" s="1264"/>
      <c r="Y34" s="3385"/>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0"/>
      <c r="M35" s="2483"/>
      <c r="N35" s="2483"/>
      <c r="O35" s="2483"/>
      <c r="P35" s="3366" t="str">
        <f>A35</f>
        <v>成交单价（元/平方米）</v>
      </c>
      <c r="Q35" s="3366"/>
      <c r="R35" s="3382">
        <f>E35</f>
        <v>0</v>
      </c>
      <c r="S35" s="3382"/>
      <c r="T35" s="3382">
        <f>G35</f>
        <v>0</v>
      </c>
      <c r="U35" s="3382"/>
      <c r="V35" s="3382">
        <f>I35</f>
        <v>0</v>
      </c>
      <c r="W35" s="3382"/>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0"/>
      <c r="M36" s="2483"/>
      <c r="N36" s="2483"/>
      <c r="O36" s="2483"/>
      <c r="P36" s="3366" t="str">
        <f>A36</f>
        <v>比较价值（元/平方米）</v>
      </c>
      <c r="Q36" s="3366"/>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0"/>
      <c r="M37" s="2483"/>
      <c r="N37" s="2483"/>
      <c r="O37" s="2483"/>
      <c r="P37" s="3401" t="str">
        <f>A37</f>
        <v>估价对象XX用房的比较价值（楼面单价，元/平方米）</v>
      </c>
      <c r="Q37" s="3402"/>
      <c r="R37" s="3479" t="e">
        <f>IF(F1="售价",ROUND(IF(D36="简单平均",AVERAGE(R36:W36),R36*F36+T36*H36+V36*J36),0),ROUND(IF(D36="简单平均",AVERAGE(R36:V36),R36*F36+T36*H36+V36*J36),1))</f>
        <v>#DIV/0!</v>
      </c>
      <c r="S37" s="3479"/>
      <c r="T37" s="3479"/>
      <c r="U37" s="3479"/>
      <c r="V37" s="3479"/>
      <c r="W37" s="3479"/>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7" t="s">
        <v>1798</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2"/>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3" t="s">
        <v>1770</v>
      </c>
      <c r="D4" s="3389"/>
      <c r="E4" s="3390" t="s">
        <v>1771</v>
      </c>
      <c r="F4" s="3391"/>
      <c r="G4" s="3363" t="s">
        <v>1772</v>
      </c>
      <c r="H4" s="3389"/>
      <c r="I4" s="3363" t="s">
        <v>1773</v>
      </c>
      <c r="J4" s="3389"/>
      <c r="K4" s="537" t="s">
        <v>1774</v>
      </c>
      <c r="L4" s="2482"/>
      <c r="M4" s="2483"/>
      <c r="N4" s="2483"/>
      <c r="O4" s="2483"/>
      <c r="P4" s="3392" t="s">
        <v>1775</v>
      </c>
      <c r="Q4" s="3393"/>
      <c r="R4" s="3369" t="s">
        <v>1771</v>
      </c>
      <c r="S4" s="3370"/>
      <c r="T4" s="3369" t="s">
        <v>1772</v>
      </c>
      <c r="U4" s="3370"/>
      <c r="V4" s="3382" t="s">
        <v>1773</v>
      </c>
      <c r="W4" s="3382"/>
      <c r="X4" s="1264"/>
      <c r="Y4" s="3369" t="s">
        <v>1775</v>
      </c>
      <c r="Z4" s="3370"/>
      <c r="AA4" s="3386" t="s">
        <v>1771</v>
      </c>
      <c r="AB4" s="3387" t="s">
        <v>1772</v>
      </c>
      <c r="AC4" s="3386" t="s">
        <v>1773</v>
      </c>
    </row>
    <row r="5" spans="1:29" ht="15">
      <c r="A5" s="348"/>
      <c r="B5" s="349"/>
      <c r="C5" s="3373" t="s">
        <v>1673</v>
      </c>
      <c r="D5" s="3374"/>
      <c r="E5" s="3398" t="s">
        <v>1674</v>
      </c>
      <c r="F5" s="3399"/>
      <c r="G5" s="3373" t="s">
        <v>1675</v>
      </c>
      <c r="H5" s="3374"/>
      <c r="I5" s="3373" t="s">
        <v>1676</v>
      </c>
      <c r="J5" s="3374"/>
      <c r="K5" s="537"/>
      <c r="L5" s="2482"/>
      <c r="M5" s="2483"/>
      <c r="N5" s="2483"/>
      <c r="O5" s="2483"/>
      <c r="P5" s="3394"/>
      <c r="Q5" s="3395"/>
      <c r="R5" s="3371"/>
      <c r="S5" s="3372"/>
      <c r="T5" s="3371"/>
      <c r="U5" s="3372"/>
      <c r="V5" s="3382"/>
      <c r="W5" s="3382"/>
      <c r="X5" s="1264"/>
      <c r="Y5" s="3371"/>
      <c r="Z5" s="3372"/>
      <c r="AA5" s="3387"/>
      <c r="AB5" s="3387"/>
      <c r="AC5" s="3387"/>
    </row>
    <row r="6" spans="1:29" ht="15.75" thickBot="1">
      <c r="A6" s="350"/>
      <c r="B6" s="351"/>
      <c r="C6" s="3460" t="s">
        <v>1677</v>
      </c>
      <c r="D6" s="3461"/>
      <c r="E6" s="3462" t="s">
        <v>1677</v>
      </c>
      <c r="F6" s="3463"/>
      <c r="G6" s="3460" t="s">
        <v>1677</v>
      </c>
      <c r="H6" s="3461"/>
      <c r="I6" s="3460" t="s">
        <v>1677</v>
      </c>
      <c r="J6" s="3461"/>
      <c r="K6" s="537" t="s">
        <v>1678</v>
      </c>
      <c r="L6" s="2482"/>
      <c r="M6" s="2483"/>
      <c r="N6" s="2483"/>
      <c r="O6" s="2483"/>
      <c r="P6" s="3396"/>
      <c r="Q6" s="3397"/>
      <c r="R6" s="3371"/>
      <c r="S6" s="3372"/>
      <c r="T6" s="3380"/>
      <c r="U6" s="3381"/>
      <c r="V6" s="3382"/>
      <c r="W6" s="3382"/>
      <c r="X6" s="1264"/>
      <c r="Y6" s="3380"/>
      <c r="Z6" s="3381"/>
      <c r="AA6" s="3388"/>
      <c r="AB6" s="3388"/>
      <c r="AC6" s="3388"/>
    </row>
    <row r="7" spans="1:29" s="102" customFormat="1" ht="15.75" thickBot="1">
      <c r="A7" s="352" t="s">
        <v>1679</v>
      </c>
      <c r="B7" s="353"/>
      <c r="C7" s="354">
        <f>'数据-取费表'!B2</f>
        <v>45587</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367" t="s">
        <v>1680</v>
      </c>
      <c r="Q7" s="3377"/>
      <c r="R7" s="663" t="s">
        <v>14</v>
      </c>
      <c r="S7" s="664">
        <f t="shared" ref="S7:S15" si="0">F7</f>
        <v>0</v>
      </c>
      <c r="T7" s="663" t="s">
        <v>14</v>
      </c>
      <c r="U7" s="664">
        <f t="shared" ref="U7:U15" si="1">H7</f>
        <v>0</v>
      </c>
      <c r="V7" s="663" t="s">
        <v>14</v>
      </c>
      <c r="W7" s="664">
        <f t="shared" ref="W7:W15" si="2">J7</f>
        <v>0</v>
      </c>
      <c r="X7" s="665"/>
      <c r="Y7" s="3367" t="s">
        <v>1680</v>
      </c>
      <c r="Z7" s="336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67" t="s">
        <v>1683</v>
      </c>
      <c r="Q8" s="3368"/>
      <c r="R8" s="663" t="s">
        <v>14</v>
      </c>
      <c r="S8" s="664">
        <f t="shared" si="0"/>
        <v>0</v>
      </c>
      <c r="T8" s="663" t="s">
        <v>14</v>
      </c>
      <c r="U8" s="664">
        <f t="shared" si="1"/>
        <v>0</v>
      </c>
      <c r="V8" s="663" t="s">
        <v>14</v>
      </c>
      <c r="W8" s="664">
        <f t="shared" si="2"/>
        <v>0</v>
      </c>
      <c r="X8" s="665"/>
      <c r="Y8" s="3367" t="s">
        <v>1683</v>
      </c>
      <c r="Z8" s="3368"/>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366" t="s">
        <v>1686</v>
      </c>
      <c r="Q9" s="530" t="str">
        <f t="shared" ref="Q9:Q15" si="6">B9</f>
        <v>用途</v>
      </c>
      <c r="R9" s="663" t="s">
        <v>14</v>
      </c>
      <c r="S9" s="664">
        <f t="shared" si="0"/>
        <v>100</v>
      </c>
      <c r="T9" s="663" t="s">
        <v>14</v>
      </c>
      <c r="U9" s="664">
        <f t="shared" si="1"/>
        <v>100</v>
      </c>
      <c r="V9" s="663" t="s">
        <v>14</v>
      </c>
      <c r="W9" s="664">
        <f t="shared" si="2"/>
        <v>100</v>
      </c>
      <c r="X9" s="665"/>
      <c r="Y9" s="327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140</v>
      </c>
      <c r="G10" s="402"/>
      <c r="H10" s="119">
        <f>ROUND(100/'数据-取费表'!G16,0)</f>
        <v>140</v>
      </c>
      <c r="I10" s="402"/>
      <c r="J10" s="119">
        <f>ROUND(100/'数据-取费表'!G16,0)</f>
        <v>140</v>
      </c>
      <c r="K10" s="592"/>
      <c r="L10" s="2485"/>
      <c r="M10" s="2486"/>
      <c r="N10" s="2486"/>
      <c r="O10" s="2537"/>
      <c r="P10" s="3366"/>
      <c r="Q10" s="530" t="str">
        <f t="shared" si="6"/>
        <v>土地使用年限（年）</v>
      </c>
      <c r="R10" s="663" t="s">
        <v>14</v>
      </c>
      <c r="S10" s="664">
        <f t="shared" si="0"/>
        <v>140</v>
      </c>
      <c r="T10" s="663" t="s">
        <v>14</v>
      </c>
      <c r="U10" s="664">
        <f t="shared" si="1"/>
        <v>140</v>
      </c>
      <c r="V10" s="663" t="s">
        <v>14</v>
      </c>
      <c r="W10" s="664">
        <f t="shared" si="2"/>
        <v>140</v>
      </c>
      <c r="X10" s="665"/>
      <c r="Y10" s="3270"/>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6"/>
      <c r="Q11" s="530" t="str">
        <f t="shared" si="6"/>
        <v>容积率</v>
      </c>
      <c r="R11" s="663" t="s">
        <v>14</v>
      </c>
      <c r="S11" s="664" t="e">
        <f t="shared" si="0"/>
        <v>#N/A</v>
      </c>
      <c r="T11" s="663" t="s">
        <v>14</v>
      </c>
      <c r="U11" s="664" t="e">
        <f t="shared" si="1"/>
        <v>#N/A</v>
      </c>
      <c r="V11" s="663" t="s">
        <v>14</v>
      </c>
      <c r="W11" s="664" t="e">
        <f t="shared" si="2"/>
        <v>#N/A</v>
      </c>
      <c r="X11" s="665"/>
      <c r="Y11" s="327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66"/>
      <c r="Q12" s="530" t="str">
        <f t="shared" si="6"/>
        <v>配建</v>
      </c>
      <c r="R12" s="663" t="s">
        <v>14</v>
      </c>
      <c r="S12" s="664">
        <f t="shared" si="0"/>
        <v>100</v>
      </c>
      <c r="T12" s="663" t="s">
        <v>14</v>
      </c>
      <c r="U12" s="664">
        <f t="shared" si="1"/>
        <v>100</v>
      </c>
      <c r="V12" s="663" t="s">
        <v>14</v>
      </c>
      <c r="W12" s="664">
        <f t="shared" si="2"/>
        <v>100</v>
      </c>
      <c r="X12" s="665"/>
      <c r="Y12" s="327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6"/>
      <c r="Q13" s="530">
        <f t="shared" si="6"/>
        <v>111</v>
      </c>
      <c r="R13" s="663" t="s">
        <v>14</v>
      </c>
      <c r="S13" s="664">
        <f t="shared" si="0"/>
        <v>100</v>
      </c>
      <c r="T13" s="663" t="s">
        <v>14</v>
      </c>
      <c r="U13" s="664">
        <f t="shared" si="1"/>
        <v>100</v>
      </c>
      <c r="V13" s="663" t="s">
        <v>14</v>
      </c>
      <c r="W13" s="664">
        <f t="shared" si="2"/>
        <v>100</v>
      </c>
      <c r="X13" s="665"/>
      <c r="Y13" s="327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6"/>
      <c r="Q14" s="530">
        <f t="shared" si="6"/>
        <v>111</v>
      </c>
      <c r="R14" s="663" t="s">
        <v>14</v>
      </c>
      <c r="S14" s="664">
        <f t="shared" si="0"/>
        <v>100</v>
      </c>
      <c r="T14" s="663" t="s">
        <v>14</v>
      </c>
      <c r="U14" s="664">
        <f t="shared" si="1"/>
        <v>100</v>
      </c>
      <c r="V14" s="663" t="s">
        <v>14</v>
      </c>
      <c r="W14" s="664">
        <f t="shared" si="2"/>
        <v>100</v>
      </c>
      <c r="X14" s="665"/>
      <c r="Y14" s="3270"/>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83" t="s">
        <v>1691</v>
      </c>
      <c r="Q15" s="1262" t="str">
        <f t="shared" si="6"/>
        <v>居住社区成熟度</v>
      </c>
      <c r="R15" s="666" t="s">
        <v>14</v>
      </c>
      <c r="S15" s="667">
        <f t="shared" si="0"/>
        <v>100</v>
      </c>
      <c r="T15" s="666" t="s">
        <v>14</v>
      </c>
      <c r="U15" s="667">
        <f t="shared" si="1"/>
        <v>100</v>
      </c>
      <c r="V15" s="666" t="s">
        <v>14</v>
      </c>
      <c r="W15" s="667">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384"/>
      <c r="Q16" s="1262"/>
      <c r="R16" s="666"/>
      <c r="S16" s="667"/>
      <c r="T16" s="666"/>
      <c r="U16" s="667"/>
      <c r="V16" s="666"/>
      <c r="W16" s="667"/>
      <c r="X16" s="1264"/>
      <c r="Y16" s="3384"/>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84"/>
      <c r="Q17" s="1262" t="str">
        <f>B17</f>
        <v>商业繁华度</v>
      </c>
      <c r="R17" s="666" t="s">
        <v>14</v>
      </c>
      <c r="S17" s="667">
        <f>F17</f>
        <v>100</v>
      </c>
      <c r="T17" s="666" t="s">
        <v>14</v>
      </c>
      <c r="U17" s="667">
        <f>H17</f>
        <v>100</v>
      </c>
      <c r="V17" s="666" t="s">
        <v>14</v>
      </c>
      <c r="W17" s="667">
        <f>J17</f>
        <v>100</v>
      </c>
      <c r="X17" s="1264"/>
      <c r="Y17" s="338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384"/>
      <c r="Q18" s="1262"/>
      <c r="R18" s="666"/>
      <c r="S18" s="667"/>
      <c r="T18" s="666"/>
      <c r="U18" s="667"/>
      <c r="V18" s="666"/>
      <c r="W18" s="667"/>
      <c r="X18" s="1264"/>
      <c r="Y18" s="3384"/>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84"/>
      <c r="Q19" s="1262" t="str">
        <f>B19</f>
        <v>办公集聚程度</v>
      </c>
      <c r="R19" s="666" t="s">
        <v>14</v>
      </c>
      <c r="S19" s="667">
        <f>F19</f>
        <v>100</v>
      </c>
      <c r="T19" s="666" t="s">
        <v>14</v>
      </c>
      <c r="U19" s="667">
        <f>H19</f>
        <v>100</v>
      </c>
      <c r="V19" s="666" t="s">
        <v>14</v>
      </c>
      <c r="W19" s="667">
        <f>J19</f>
        <v>100</v>
      </c>
      <c r="X19" s="1264"/>
      <c r="Y19" s="338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384"/>
      <c r="Q20" s="1262"/>
      <c r="R20" s="666"/>
      <c r="S20" s="667"/>
      <c r="T20" s="666"/>
      <c r="U20" s="667"/>
      <c r="V20" s="666"/>
      <c r="W20" s="667"/>
      <c r="X20" s="1264"/>
      <c r="Y20" s="3384"/>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84"/>
      <c r="Q21" s="1262" t="str">
        <f>B21</f>
        <v>交通便捷度</v>
      </c>
      <c r="R21" s="666" t="s">
        <v>14</v>
      </c>
      <c r="S21" s="667">
        <f>F21</f>
        <v>100</v>
      </c>
      <c r="T21" s="666" t="s">
        <v>14</v>
      </c>
      <c r="U21" s="667">
        <f>H21</f>
        <v>100</v>
      </c>
      <c r="V21" s="666" t="s">
        <v>14</v>
      </c>
      <c r="W21" s="667">
        <f>J21</f>
        <v>100</v>
      </c>
      <c r="X21" s="1264"/>
      <c r="Y21" s="3384"/>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384"/>
      <c r="Q22" s="1262"/>
      <c r="R22" s="666"/>
      <c r="S22" s="667"/>
      <c r="T22" s="666"/>
      <c r="U22" s="667"/>
      <c r="V22" s="666"/>
      <c r="W22" s="667"/>
      <c r="X22" s="1264"/>
      <c r="Y22" s="3384"/>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84"/>
      <c r="Q23" s="1262" t="str">
        <f t="shared" ref="Q23:Q37" si="8">B23</f>
        <v>区域土地利用方向</v>
      </c>
      <c r="R23" s="666" t="s">
        <v>14</v>
      </c>
      <c r="S23" s="667">
        <f>F23</f>
        <v>100</v>
      </c>
      <c r="T23" s="666" t="s">
        <v>14</v>
      </c>
      <c r="U23" s="667">
        <f>H23</f>
        <v>100</v>
      </c>
      <c r="V23" s="666" t="s">
        <v>14</v>
      </c>
      <c r="W23" s="667">
        <f>J23</f>
        <v>100</v>
      </c>
      <c r="X23" s="1264"/>
      <c r="Y23" s="338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8"/>
      <c r="M24" s="2483"/>
      <c r="N24" s="2483"/>
      <c r="O24" s="2538"/>
      <c r="P24" s="3384"/>
      <c r="Q24" s="1262"/>
      <c r="R24" s="666"/>
      <c r="S24" s="667"/>
      <c r="T24" s="666"/>
      <c r="U24" s="667"/>
      <c r="V24" s="666"/>
      <c r="W24" s="667"/>
      <c r="X24" s="1264"/>
      <c r="Y24" s="3384"/>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84"/>
      <c r="Q25" s="1262" t="str">
        <f t="shared" si="8"/>
        <v>自然及人文环境状况</v>
      </c>
      <c r="R25" s="666" t="s">
        <v>14</v>
      </c>
      <c r="S25" s="667">
        <f>F25</f>
        <v>100</v>
      </c>
      <c r="T25" s="666" t="s">
        <v>14</v>
      </c>
      <c r="U25" s="667">
        <f>H25</f>
        <v>100</v>
      </c>
      <c r="V25" s="666" t="s">
        <v>14</v>
      </c>
      <c r="W25" s="667">
        <f>J25</f>
        <v>100</v>
      </c>
      <c r="X25" s="1264"/>
      <c r="Y25" s="338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384"/>
      <c r="Q26" s="1262"/>
      <c r="R26" s="666"/>
      <c r="S26" s="667"/>
      <c r="T26" s="666"/>
      <c r="U26" s="667"/>
      <c r="V26" s="666"/>
      <c r="W26" s="667"/>
      <c r="X26" s="1264"/>
      <c r="Y26" s="3384"/>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84"/>
      <c r="Q27" s="530" t="str">
        <f t="shared" si="8"/>
        <v>公共配套设施</v>
      </c>
      <c r="R27" s="663" t="s">
        <v>14</v>
      </c>
      <c r="S27" s="664">
        <f>F27</f>
        <v>100</v>
      </c>
      <c r="T27" s="663" t="s">
        <v>14</v>
      </c>
      <c r="U27" s="664">
        <f>H27</f>
        <v>100</v>
      </c>
      <c r="V27" s="663" t="s">
        <v>14</v>
      </c>
      <c r="W27" s="664">
        <f>J27</f>
        <v>100</v>
      </c>
      <c r="X27" s="665"/>
      <c r="Y27" s="3384"/>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384"/>
      <c r="Q28" s="530"/>
      <c r="R28" s="663"/>
      <c r="S28" s="664"/>
      <c r="T28" s="663"/>
      <c r="U28" s="664"/>
      <c r="V28" s="663"/>
      <c r="W28" s="664"/>
      <c r="X28" s="665"/>
      <c r="Y28" s="3384"/>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84"/>
      <c r="Q29" s="530" t="str">
        <f t="shared" ref="Q29" si="9">B29</f>
        <v>基础设施水平</v>
      </c>
      <c r="R29" s="663" t="s">
        <v>14</v>
      </c>
      <c r="S29" s="664">
        <f>F29</f>
        <v>100</v>
      </c>
      <c r="T29" s="663" t="s">
        <v>14</v>
      </c>
      <c r="U29" s="664">
        <f>H29</f>
        <v>100</v>
      </c>
      <c r="V29" s="663" t="s">
        <v>14</v>
      </c>
      <c r="W29" s="664">
        <f>J29</f>
        <v>100</v>
      </c>
      <c r="X29" s="665"/>
      <c r="Y29" s="3384"/>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384"/>
      <c r="Q30" s="530"/>
      <c r="R30" s="663"/>
      <c r="S30" s="664"/>
      <c r="T30" s="663"/>
      <c r="U30" s="664"/>
      <c r="V30" s="663"/>
      <c r="W30" s="664"/>
      <c r="X30" s="665"/>
      <c r="Y30" s="338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8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84"/>
      <c r="Q32" s="1262" t="str">
        <f t="shared" si="8"/>
        <v>毗邻道路的类型与等级</v>
      </c>
      <c r="R32" s="666" t="s">
        <v>14</v>
      </c>
      <c r="S32" s="667">
        <f t="shared" si="10"/>
        <v>100</v>
      </c>
      <c r="T32" s="666" t="s">
        <v>14</v>
      </c>
      <c r="U32" s="667">
        <f t="shared" si="11"/>
        <v>100</v>
      </c>
      <c r="V32" s="666" t="s">
        <v>14</v>
      </c>
      <c r="W32" s="667">
        <f t="shared" si="12"/>
        <v>100</v>
      </c>
      <c r="X32" s="1264"/>
      <c r="Y32" s="338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384"/>
      <c r="Q33" s="1262"/>
      <c r="R33" s="666"/>
      <c r="S33" s="667"/>
      <c r="T33" s="666"/>
      <c r="U33" s="667"/>
      <c r="V33" s="666"/>
      <c r="W33" s="667"/>
      <c r="X33" s="1264"/>
      <c r="Y33" s="338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84"/>
      <c r="Q34" s="1262" t="str">
        <f t="shared" si="8"/>
        <v>土地级别</v>
      </c>
      <c r="R34" s="666" t="s">
        <v>14</v>
      </c>
      <c r="S34" s="667">
        <f t="shared" si="10"/>
        <v>100</v>
      </c>
      <c r="T34" s="666" t="s">
        <v>14</v>
      </c>
      <c r="U34" s="667">
        <f t="shared" si="11"/>
        <v>100</v>
      </c>
      <c r="V34" s="666" t="s">
        <v>14</v>
      </c>
      <c r="W34" s="667">
        <f t="shared" si="12"/>
        <v>100</v>
      </c>
      <c r="X34" s="1264"/>
      <c r="Y34" s="3384"/>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84"/>
      <c r="Q35" s="1262">
        <f t="shared" si="8"/>
        <v>111</v>
      </c>
      <c r="R35" s="666" t="s">
        <v>14</v>
      </c>
      <c r="S35" s="667">
        <f t="shared" si="10"/>
        <v>100</v>
      </c>
      <c r="T35" s="666" t="s">
        <v>14</v>
      </c>
      <c r="U35" s="667">
        <f t="shared" si="11"/>
        <v>100</v>
      </c>
      <c r="V35" s="666" t="s">
        <v>14</v>
      </c>
      <c r="W35" s="667">
        <f t="shared" si="12"/>
        <v>100</v>
      </c>
      <c r="X35" s="1264"/>
      <c r="Y35" s="3384"/>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00" t="s">
        <v>1696</v>
      </c>
      <c r="Q36" s="1262">
        <f t="shared" si="8"/>
        <v>111</v>
      </c>
      <c r="R36" s="666" t="s">
        <v>14</v>
      </c>
      <c r="S36" s="667">
        <f t="shared" si="10"/>
        <v>100</v>
      </c>
      <c r="T36" s="666" t="s">
        <v>14</v>
      </c>
      <c r="U36" s="667">
        <f t="shared" si="11"/>
        <v>100</v>
      </c>
      <c r="V36" s="666" t="s">
        <v>14</v>
      </c>
      <c r="W36" s="667">
        <f t="shared" si="12"/>
        <v>100</v>
      </c>
      <c r="X36" s="1264"/>
      <c r="Y36" s="3385"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85"/>
      <c r="Q37" s="1262">
        <f t="shared" si="8"/>
        <v>111</v>
      </c>
      <c r="R37" s="668" t="s">
        <v>14</v>
      </c>
      <c r="S37" s="669">
        <f t="shared" si="10"/>
        <v>100</v>
      </c>
      <c r="T37" s="668" t="s">
        <v>14</v>
      </c>
      <c r="U37" s="669">
        <f t="shared" si="11"/>
        <v>100</v>
      </c>
      <c r="V37" s="668" t="s">
        <v>14</v>
      </c>
      <c r="W37" s="669">
        <f t="shared" si="12"/>
        <v>100</v>
      </c>
      <c r="X37" s="670"/>
      <c r="Y37" s="3385"/>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85"/>
      <c r="Q38" s="1262" t="str">
        <f>B38</f>
        <v>宗地面积</v>
      </c>
      <c r="R38" s="666" t="s">
        <v>14</v>
      </c>
      <c r="S38" s="667" t="e">
        <f t="shared" si="10"/>
        <v>#N/A</v>
      </c>
      <c r="T38" s="666" t="s">
        <v>14</v>
      </c>
      <c r="U38" s="667" t="e">
        <f t="shared" si="11"/>
        <v>#N/A</v>
      </c>
      <c r="V38" s="666" t="s">
        <v>14</v>
      </c>
      <c r="W38" s="667" t="e">
        <f t="shared" si="12"/>
        <v>#N/A</v>
      </c>
      <c r="X38" s="1264"/>
      <c r="Y38" s="3385"/>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385"/>
      <c r="Q39" s="1262" t="str">
        <f t="shared" ref="Q39:Q45" si="14">B39</f>
        <v>宗地形状</v>
      </c>
      <c r="R39" s="666" t="s">
        <v>14</v>
      </c>
      <c r="S39" s="667">
        <f t="shared" si="10"/>
        <v>100</v>
      </c>
      <c r="T39" s="666" t="s">
        <v>14</v>
      </c>
      <c r="U39" s="667">
        <f t="shared" si="11"/>
        <v>100</v>
      </c>
      <c r="V39" s="666" t="s">
        <v>14</v>
      </c>
      <c r="W39" s="667">
        <f t="shared" si="12"/>
        <v>100</v>
      </c>
      <c r="X39" s="1264"/>
      <c r="Y39" s="3385"/>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85"/>
      <c r="Q40" s="1262" t="str">
        <f t="shared" si="14"/>
        <v>临街宽度及深度</v>
      </c>
      <c r="R40" s="666" t="s">
        <v>14</v>
      </c>
      <c r="S40" s="667">
        <f t="shared" si="10"/>
        <v>100</v>
      </c>
      <c r="T40" s="666" t="s">
        <v>14</v>
      </c>
      <c r="U40" s="667">
        <f t="shared" si="11"/>
        <v>100</v>
      </c>
      <c r="V40" s="666" t="s">
        <v>14</v>
      </c>
      <c r="W40" s="667">
        <f t="shared" si="12"/>
        <v>100</v>
      </c>
      <c r="X40" s="1264"/>
      <c r="Y40" s="3385"/>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385"/>
      <c r="Q41" s="1262" t="str">
        <f t="shared" si="14"/>
        <v>宗地开发程度</v>
      </c>
      <c r="R41" s="663" t="s">
        <v>14</v>
      </c>
      <c r="S41" s="664">
        <f t="shared" si="10"/>
        <v>100</v>
      </c>
      <c r="T41" s="663" t="s">
        <v>14</v>
      </c>
      <c r="U41" s="664">
        <f t="shared" si="11"/>
        <v>100</v>
      </c>
      <c r="V41" s="663" t="s">
        <v>14</v>
      </c>
      <c r="W41" s="664">
        <f t="shared" si="12"/>
        <v>100</v>
      </c>
      <c r="X41" s="665"/>
      <c r="Y41" s="338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385" t="s">
        <v>1696</v>
      </c>
      <c r="Q42" s="1262" t="str">
        <f t="shared" si="14"/>
        <v>工程地质条件</v>
      </c>
      <c r="R42" s="666" t="s">
        <v>14</v>
      </c>
      <c r="S42" s="667">
        <f t="shared" si="10"/>
        <v>100</v>
      </c>
      <c r="T42" s="666" t="s">
        <v>14</v>
      </c>
      <c r="U42" s="667">
        <f t="shared" si="11"/>
        <v>100</v>
      </c>
      <c r="V42" s="666" t="s">
        <v>14</v>
      </c>
      <c r="W42" s="667">
        <f t="shared" si="12"/>
        <v>100</v>
      </c>
      <c r="X42" s="1264"/>
      <c r="Y42" s="3385"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85"/>
      <c r="Q43" s="1262">
        <f t="shared" si="14"/>
        <v>111</v>
      </c>
      <c r="R43" s="666" t="s">
        <v>14</v>
      </c>
      <c r="S43" s="667">
        <f t="shared" si="10"/>
        <v>100</v>
      </c>
      <c r="T43" s="666" t="s">
        <v>14</v>
      </c>
      <c r="U43" s="667">
        <f t="shared" si="11"/>
        <v>100</v>
      </c>
      <c r="V43" s="666" t="s">
        <v>14</v>
      </c>
      <c r="W43" s="667">
        <f t="shared" si="12"/>
        <v>100</v>
      </c>
      <c r="X43" s="1264"/>
      <c r="Y43" s="3385"/>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85"/>
      <c r="Q44" s="1262">
        <f t="shared" si="14"/>
        <v>111</v>
      </c>
      <c r="R44" s="666" t="s">
        <v>14</v>
      </c>
      <c r="S44" s="667">
        <f t="shared" si="10"/>
        <v>100</v>
      </c>
      <c r="T44" s="666" t="s">
        <v>14</v>
      </c>
      <c r="U44" s="667">
        <f t="shared" si="11"/>
        <v>100</v>
      </c>
      <c r="V44" s="666" t="s">
        <v>14</v>
      </c>
      <c r="W44" s="667">
        <f t="shared" si="12"/>
        <v>100</v>
      </c>
      <c r="X44" s="1264"/>
      <c r="Y44" s="3385"/>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85"/>
      <c r="Q45" s="1262">
        <f t="shared" si="14"/>
        <v>111</v>
      </c>
      <c r="R45" s="668" t="s">
        <v>14</v>
      </c>
      <c r="S45" s="669">
        <f t="shared" si="10"/>
        <v>100</v>
      </c>
      <c r="T45" s="668" t="s">
        <v>14</v>
      </c>
      <c r="U45" s="669">
        <f t="shared" si="11"/>
        <v>100</v>
      </c>
      <c r="V45" s="668" t="s">
        <v>14</v>
      </c>
      <c r="W45" s="669">
        <f t="shared" si="12"/>
        <v>100</v>
      </c>
      <c r="X45" s="670"/>
      <c r="Y45" s="3385"/>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0"/>
      <c r="M46" s="2483"/>
      <c r="N46" s="2483"/>
      <c r="O46" s="2483"/>
      <c r="P46" s="3366" t="str">
        <f>A46</f>
        <v>成交单价</v>
      </c>
      <c r="Q46" s="3366"/>
      <c r="R46" s="3382">
        <f>E46</f>
        <v>0</v>
      </c>
      <c r="S46" s="3382"/>
      <c r="T46" s="3382">
        <f>G46</f>
        <v>0</v>
      </c>
      <c r="U46" s="3382"/>
      <c r="V46" s="3382">
        <f>I46</f>
        <v>0</v>
      </c>
      <c r="W46" s="3382"/>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0"/>
      <c r="M47" s="2483"/>
      <c r="N47" s="2483"/>
      <c r="O47" s="2483"/>
      <c r="P47" s="3366" t="str">
        <f>A47</f>
        <v>比较价值（元/平方米）</v>
      </c>
      <c r="Q47" s="3366"/>
      <c r="R47" s="3404" t="e">
        <f>ROUND(PRODUCT(R46,AA7:AA45),0)</f>
        <v>#DIV/0!</v>
      </c>
      <c r="S47" s="3404"/>
      <c r="T47" s="3404" t="e">
        <f>ROUND(PRODUCT(T46,AB7:AB45),0)</f>
        <v>#DIV/0!</v>
      </c>
      <c r="U47" s="3404"/>
      <c r="V47" s="3404" t="e">
        <f>ROUND(PRODUCT(V46,AC7:AC45),0)</f>
        <v>#DIV/0!</v>
      </c>
      <c r="W47" s="340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0"/>
      <c r="M48" s="2483"/>
      <c r="N48" s="2483"/>
      <c r="O48" s="2483"/>
      <c r="P48" s="3401" t="str">
        <f>A48</f>
        <v>估价对象XX用房的比较价值（楼面单价，元/平方米）</v>
      </c>
      <c r="Q48" s="3402"/>
      <c r="R48" s="3403" t="e">
        <f>ROUND(IF(D47="简单平均",AVERAGE(R47:W47),R47*F47+T47*H47+V47*J47),0)</f>
        <v>#DIV/0!</v>
      </c>
      <c r="S48" s="3403"/>
      <c r="T48" s="3403"/>
      <c r="U48" s="3403"/>
      <c r="V48" s="3403"/>
      <c r="W48" s="3403"/>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6" t="s">
        <v>1886</v>
      </c>
      <c r="G55" s="3363" t="s">
        <v>1887</v>
      </c>
      <c r="H55" s="3364"/>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9">
        <v>1</v>
      </c>
      <c r="E56" s="610">
        <f>'数据-汇总表'!E8+'数据-汇总表'!E9</f>
        <v>2382.1000000000004</v>
      </c>
      <c r="F56" s="832" t="e">
        <f t="shared" ref="F56:F64" si="15">ROUND(B56*E56/10000,0)</f>
        <v>#DIV/0!</v>
      </c>
      <c r="G56" s="3365"/>
      <c r="H56" s="3366"/>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0">
        <v>0.25</v>
      </c>
      <c r="E57" s="614"/>
      <c r="F57" s="832" t="e">
        <f t="shared" si="15"/>
        <v>#DIV/0!</v>
      </c>
      <c r="G57" s="2746" t="s">
        <v>1892</v>
      </c>
      <c r="H57" s="833">
        <f>项目基本情况!B37</f>
        <v>0</v>
      </c>
      <c r="I57" s="837">
        <f>SUMIF(修正!A57:A68,H57,修正!B57:B68)</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0">
        <v>0.25</v>
      </c>
      <c r="E58" s="614"/>
      <c r="F58" s="832" t="e">
        <f t="shared" si="15"/>
        <v>#DIV/0!</v>
      </c>
      <c r="G58" s="2747"/>
      <c r="H58" s="833">
        <f>项目基本情况!B37</f>
        <v>0</v>
      </c>
      <c r="I58" s="837">
        <f>SUMIF(修正!A57:A68,H58,修正!C57:C68)</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0">
        <v>0.25</v>
      </c>
      <c r="E59" s="614"/>
      <c r="F59" s="832" t="e">
        <f t="shared" si="15"/>
        <v>#DIV/0!</v>
      </c>
      <c r="G59" s="2747"/>
      <c r="H59" s="833">
        <f>项目基本情况!B37</f>
        <v>0</v>
      </c>
      <c r="I59" s="837">
        <f>SUMIF(修正!A57:A68,H59,修正!D57:D68)</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2382.1000000000004</v>
      </c>
      <c r="F65" s="617"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3"/>
      <c r="Q67" s="2483"/>
      <c r="R67" s="2483"/>
      <c r="S67" s="2483"/>
      <c r="T67" s="2483"/>
      <c r="U67" s="2483"/>
      <c r="V67" s="2483"/>
      <c r="W67" s="2483"/>
      <c r="X67" s="2483"/>
      <c r="Y67" s="2483"/>
      <c r="Z67" s="2483"/>
      <c r="AA67" s="2483"/>
      <c r="AB67" s="2483"/>
      <c r="AC67" s="2483"/>
    </row>
    <row r="68" spans="1:29" ht="21.75" thickBot="1">
      <c r="A68" s="657" t="s">
        <v>1798</v>
      </c>
      <c r="B68" s="385"/>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8"/>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83" t="s">
        <v>2083</v>
      </c>
      <c r="D1" s="3484"/>
      <c r="E1" s="3484"/>
      <c r="F1" s="3484"/>
      <c r="G1" s="3484"/>
      <c r="H1" s="3484"/>
      <c r="I1" s="3484"/>
      <c r="J1" s="3484"/>
      <c r="K1" s="3484"/>
      <c r="L1" s="3484"/>
      <c r="M1" s="3484"/>
      <c r="N1" s="3484"/>
      <c r="O1" s="3484"/>
      <c r="P1" s="3484"/>
      <c r="Q1" s="3484"/>
      <c r="R1" s="3484"/>
      <c r="S1" s="3485"/>
      <c r="T1" s="928" t="s">
        <v>2084</v>
      </c>
    </row>
    <row r="2" spans="1:45" s="625" customFormat="1">
      <c r="A2" s="929"/>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2"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6" customFormat="1">
      <c r="A24" s="633" t="s">
        <v>2104</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0"/>
      <c r="G1" s="2540"/>
      <c r="H1" s="2540"/>
      <c r="I1" s="2540"/>
      <c r="J1" s="2540"/>
      <c r="K1" s="2540"/>
      <c r="L1" s="2540"/>
      <c r="M1" s="2540"/>
      <c r="N1" s="2540"/>
      <c r="O1" s="2540"/>
      <c r="P1" s="2540"/>
    </row>
    <row r="2" spans="1:16" ht="15.75">
      <c r="A2" s="1983" t="s">
        <v>2072</v>
      </c>
      <c r="B2" s="2385">
        <f ca="1">SUMIF(B6:B13,"&lt;&gt;#ref!",B6:B13)</f>
        <v>1472</v>
      </c>
      <c r="C2" s="1983" t="s">
        <v>2073</v>
      </c>
      <c r="D2" s="1983" t="s">
        <v>2074</v>
      </c>
      <c r="E2" s="2395">
        <f ca="1">SUMIF(E6:E13,"&lt;&gt;#ref!",E6:E13)</f>
        <v>10810.26</v>
      </c>
      <c r="F2" s="2540"/>
      <c r="G2" s="2540"/>
      <c r="H2" s="2540"/>
      <c r="I2" s="2540"/>
      <c r="J2" s="2540"/>
      <c r="K2" s="2540"/>
      <c r="L2" s="2540"/>
      <c r="M2" s="2540"/>
      <c r="N2" s="2540"/>
      <c r="O2" s="2540"/>
      <c r="P2" s="2540"/>
    </row>
    <row r="3" spans="1:16" ht="15.75">
      <c r="A3" s="1983" t="s">
        <v>2075</v>
      </c>
      <c r="B3" s="2385">
        <f ca="1">ROUND(B2*10000/E2,0)</f>
        <v>1362</v>
      </c>
      <c r="C3" s="1983"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1" t="s">
        <v>2076</v>
      </c>
      <c r="B5" s="2393" t="s">
        <v>2077</v>
      </c>
      <c r="C5" s="1984"/>
      <c r="D5" s="2540"/>
      <c r="E5" s="2394" t="s">
        <v>2078</v>
      </c>
      <c r="F5" s="2540"/>
      <c r="G5" s="2540"/>
      <c r="H5" s="2540"/>
      <c r="I5" s="2540"/>
      <c r="J5" s="2540"/>
      <c r="K5" s="2540"/>
      <c r="L5" s="2540"/>
      <c r="M5" s="2540"/>
      <c r="N5" s="2540"/>
      <c r="O5" s="2540"/>
      <c r="P5" s="2540"/>
    </row>
    <row r="6" spans="1:16" ht="15.75">
      <c r="A6" s="2392" t="s">
        <v>2079</v>
      </c>
      <c r="B6" s="2385">
        <f ca="1">SUMIF(INDIRECT("'"&amp;A6&amp;"'"&amp;"!A:A"),"总价",INDIRECT("'"&amp;A6&amp;"'"&amp;"!B:B"))</f>
        <v>1472</v>
      </c>
      <c r="C6" s="1983" t="s">
        <v>2073</v>
      </c>
      <c r="D6" s="2540"/>
      <c r="E6" s="2395">
        <f ca="1">SUMIF(INDIRECT("'"&amp;A6&amp;"'"&amp;"!C:C"),"建筑面积",INDIRECT("'"&amp;A6&amp;"'"&amp;"!D:D"))</f>
        <v>10810.26</v>
      </c>
      <c r="F6" s="2540"/>
      <c r="G6" s="2540"/>
      <c r="H6" s="2540"/>
      <c r="I6" s="2540"/>
      <c r="J6" s="2540"/>
      <c r="K6" s="2540"/>
      <c r="L6" s="2540"/>
      <c r="M6" s="2540"/>
      <c r="N6" s="2540"/>
      <c r="O6" s="2540"/>
      <c r="P6" s="2540"/>
    </row>
    <row r="7" spans="1:16" ht="15.75">
      <c r="A7" s="2392"/>
      <c r="B7" s="2385" t="e">
        <f ca="1">SUMIF(INDIRECT("'"&amp;A7&amp;"'"&amp;"!A:A"),"总价",INDIRECT("'"&amp;A7&amp;"'"&amp;"!B:B"))</f>
        <v>#REF!</v>
      </c>
      <c r="C7" s="1983" t="s">
        <v>2073</v>
      </c>
      <c r="D7" s="2540"/>
      <c r="E7" s="2395" t="e">
        <f t="shared" ref="E7:E13" ca="1" si="0">SUMIF(INDIRECT("'"&amp;A7&amp;"'"&amp;"!C:C"),"建筑面积",INDIRECT("'"&amp;A7&amp;"'"&amp;"!D:D"))</f>
        <v>#REF!</v>
      </c>
      <c r="F7" s="2540"/>
      <c r="G7" s="2540"/>
      <c r="H7" s="2540"/>
      <c r="I7" s="2540"/>
      <c r="J7" s="2540"/>
      <c r="K7" s="2540"/>
      <c r="L7" s="2540"/>
      <c r="M7" s="2540"/>
      <c r="N7" s="2540"/>
      <c r="O7" s="2540"/>
      <c r="P7" s="2540"/>
    </row>
    <row r="8" spans="1:16" ht="15.75">
      <c r="A8" s="2392"/>
      <c r="B8" s="2385" t="e">
        <f t="shared" ref="B8:B13" ca="1" si="1">SUMIF(INDIRECT("'"&amp;A8&amp;"'"&amp;"!A:A"),"总价",INDIRECT("'"&amp;A8&amp;"'"&amp;"!B:B"))</f>
        <v>#REF!</v>
      </c>
      <c r="C8" s="1983" t="s">
        <v>2073</v>
      </c>
      <c r="D8" s="2540"/>
      <c r="E8" s="2395" t="e">
        <f t="shared" ca="1" si="0"/>
        <v>#REF!</v>
      </c>
      <c r="F8" s="2540"/>
      <c r="G8" s="2540"/>
      <c r="H8" s="2540"/>
      <c r="I8" s="2540"/>
      <c r="J8" s="2540"/>
      <c r="K8" s="2540"/>
      <c r="L8" s="2540"/>
      <c r="M8" s="2540"/>
      <c r="N8" s="2540"/>
      <c r="O8" s="2540"/>
      <c r="P8" s="2540"/>
    </row>
    <row r="9" spans="1:16" ht="15.75">
      <c r="A9" s="2392"/>
      <c r="B9" s="2385" t="e">
        <f t="shared" ca="1" si="1"/>
        <v>#REF!</v>
      </c>
      <c r="C9" s="1983" t="s">
        <v>2073</v>
      </c>
      <c r="D9" s="2540"/>
      <c r="E9" s="2395" t="e">
        <f t="shared" ca="1" si="0"/>
        <v>#REF!</v>
      </c>
      <c r="F9" s="2540"/>
      <c r="G9" s="2540"/>
      <c r="H9" s="2540"/>
      <c r="I9" s="2540"/>
      <c r="J9" s="2540"/>
      <c r="K9" s="2540"/>
      <c r="L9" s="2540"/>
      <c r="M9" s="2540"/>
      <c r="N9" s="2540"/>
      <c r="O9" s="2540"/>
      <c r="P9" s="2540"/>
    </row>
    <row r="10" spans="1:16" ht="15.75">
      <c r="A10" s="2392"/>
      <c r="B10" s="2385" t="e">
        <f t="shared" ca="1" si="1"/>
        <v>#REF!</v>
      </c>
      <c r="C10" s="1983" t="s">
        <v>2073</v>
      </c>
      <c r="D10" s="2540"/>
      <c r="E10" s="2395" t="e">
        <f t="shared" ca="1" si="0"/>
        <v>#REF!</v>
      </c>
      <c r="F10" s="2540"/>
      <c r="G10" s="2540"/>
      <c r="H10" s="2540"/>
      <c r="I10" s="2540"/>
      <c r="J10" s="2540"/>
      <c r="K10" s="2540"/>
      <c r="L10" s="2540"/>
      <c r="M10" s="2540"/>
      <c r="N10" s="2540"/>
      <c r="O10" s="2540"/>
      <c r="P10" s="2540"/>
    </row>
    <row r="11" spans="1:16" ht="15.75">
      <c r="A11" s="2392"/>
      <c r="B11" s="2385" t="e">
        <f t="shared" ca="1" si="1"/>
        <v>#REF!</v>
      </c>
      <c r="C11" s="1983" t="s">
        <v>2073</v>
      </c>
      <c r="D11" s="2540"/>
      <c r="E11" s="2395" t="e">
        <f t="shared" ca="1" si="0"/>
        <v>#REF!</v>
      </c>
      <c r="F11" s="2540"/>
      <c r="G11" s="2540"/>
      <c r="H11" s="2540"/>
      <c r="I11" s="2540"/>
      <c r="J11" s="2540"/>
      <c r="K11" s="2540"/>
      <c r="L11" s="2540"/>
      <c r="M11" s="2540"/>
      <c r="N11" s="2540"/>
      <c r="O11" s="2540"/>
      <c r="P11" s="2540"/>
    </row>
    <row r="12" spans="1:16" ht="15.75">
      <c r="A12" s="2392"/>
      <c r="B12" s="2385" t="e">
        <f t="shared" ca="1" si="1"/>
        <v>#REF!</v>
      </c>
      <c r="C12" s="1983" t="s">
        <v>2073</v>
      </c>
      <c r="D12" s="2540"/>
      <c r="E12" s="2395" t="e">
        <f t="shared" ca="1" si="0"/>
        <v>#REF!</v>
      </c>
      <c r="F12" s="2540"/>
      <c r="G12" s="2540"/>
      <c r="H12" s="2540"/>
      <c r="I12" s="2540"/>
      <c r="J12" s="2540"/>
      <c r="K12" s="2540"/>
      <c r="L12" s="2540"/>
      <c r="M12" s="2540"/>
      <c r="N12" s="2540"/>
      <c r="O12" s="2540"/>
      <c r="P12" s="2540"/>
    </row>
    <row r="13" spans="1:16" ht="15.75">
      <c r="A13" s="2392"/>
      <c r="B13" s="2385" t="e">
        <f t="shared" ca="1" si="1"/>
        <v>#REF!</v>
      </c>
      <c r="C13" s="1983" t="s">
        <v>2073</v>
      </c>
      <c r="D13" s="2540"/>
      <c r="E13" s="2395"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2586</v>
      </c>
      <c r="B1" s="2807" t="s">
        <v>2587</v>
      </c>
      <c r="C1" s="2807" t="s">
        <v>2588</v>
      </c>
      <c r="D1" s="2807" t="s">
        <v>2589</v>
      </c>
      <c r="E1" s="2807" t="s">
        <v>2590</v>
      </c>
      <c r="F1" s="2807" t="s">
        <v>2591</v>
      </c>
      <c r="G1" s="2807" t="s">
        <v>2592</v>
      </c>
      <c r="H1" s="2807" t="s">
        <v>2593</v>
      </c>
      <c r="I1" s="2807" t="s">
        <v>2594</v>
      </c>
      <c r="J1" s="2807" t="s">
        <v>2595</v>
      </c>
      <c r="K1" s="2807" t="s">
        <v>2596</v>
      </c>
      <c r="L1" s="2807" t="s">
        <v>2597</v>
      </c>
      <c r="M1" s="2808" t="s">
        <v>2598</v>
      </c>
    </row>
    <row r="2" spans="1:13" ht="19.5" customHeight="1">
      <c r="A2" s="2810" t="s">
        <v>2599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2615</v>
      </c>
      <c r="B18" s="2832"/>
      <c r="C18" s="2833"/>
      <c r="D18" s="2833"/>
      <c r="E18" s="2832"/>
      <c r="F18" s="2833"/>
      <c r="G18" s="2833"/>
    </row>
    <row r="19" spans="1:13" ht="19.5" customHeight="1" thickBot="1">
      <c r="A19" s="2830" t="s">
        <v>2616</v>
      </c>
      <c r="B19" s="2835" t="s">
        <v>2617</v>
      </c>
      <c r="C19" s="2835" t="s">
        <v>2618</v>
      </c>
      <c r="D19" s="2836"/>
      <c r="E19" s="2830" t="s">
        <v>2619</v>
      </c>
      <c r="F19" s="2837"/>
      <c r="G19" s="2837"/>
    </row>
    <row r="20" spans="1:13" ht="19.5" customHeight="1">
      <c r="A20" s="3495" t="s">
        <v>2599</v>
      </c>
      <c r="B20" s="3490" t="s">
        <v>2620</v>
      </c>
      <c r="C20" s="2838" t="s">
        <v>2431</v>
      </c>
      <c r="D20" s="2839"/>
      <c r="E20" s="2840">
        <v>1</v>
      </c>
      <c r="F20" s="2841" t="s">
        <v>2432</v>
      </c>
      <c r="G20" s="2841"/>
    </row>
    <row r="21" spans="1:13" ht="19.5" customHeight="1">
      <c r="A21" s="3496"/>
      <c r="B21" s="3489"/>
      <c r="C21" s="2842" t="s">
        <v>2433</v>
      </c>
      <c r="D21" s="2843"/>
      <c r="E21" s="2844">
        <v>1</v>
      </c>
      <c r="F21" s="2841" t="s">
        <v>2434</v>
      </c>
      <c r="G21" s="2841"/>
    </row>
    <row r="22" spans="1:13" ht="19.5" customHeight="1">
      <c r="A22" s="3496"/>
      <c r="B22" s="3489"/>
      <c r="C22" s="2842" t="s">
        <v>2435</v>
      </c>
      <c r="D22" s="2843"/>
      <c r="E22" s="2844">
        <v>0.9</v>
      </c>
      <c r="F22" s="2841" t="s">
        <v>2436</v>
      </c>
      <c r="G22" s="2841"/>
    </row>
    <row r="23" spans="1:13" ht="19.5" customHeight="1">
      <c r="A23" s="3496"/>
      <c r="B23" s="3489"/>
      <c r="C23" s="2842" t="s">
        <v>2437</v>
      </c>
      <c r="D23" s="2843"/>
      <c r="E23" s="2844">
        <v>0.9</v>
      </c>
      <c r="F23" s="2841" t="s">
        <v>2438</v>
      </c>
      <c r="G23" s="2841"/>
    </row>
    <row r="24" spans="1:13" ht="19.5" customHeight="1">
      <c r="A24" s="3496"/>
      <c r="B24" s="3489"/>
      <c r="C24" s="2842" t="s">
        <v>2439</v>
      </c>
      <c r="D24" s="2843"/>
      <c r="E24" s="2844">
        <v>0.8</v>
      </c>
      <c r="F24" s="2841" t="s">
        <v>2440</v>
      </c>
      <c r="G24" s="2841"/>
    </row>
    <row r="25" spans="1:13" ht="19.5" customHeight="1" thickBot="1">
      <c r="A25" s="3497"/>
      <c r="B25" s="3491"/>
      <c r="C25" s="2845" t="s">
        <v>2441</v>
      </c>
      <c r="D25" s="2846"/>
      <c r="E25" s="2847">
        <v>0.8</v>
      </c>
      <c r="F25" s="2841" t="s">
        <v>2442</v>
      </c>
      <c r="G25" s="2841"/>
    </row>
    <row r="26" spans="1:13" ht="19.5" customHeight="1" thickBot="1">
      <c r="A26" s="2848" t="s">
        <v>2621</v>
      </c>
      <c r="B26" s="2849" t="s">
        <v>2620</v>
      </c>
      <c r="C26" s="2850" t="s">
        <v>2622</v>
      </c>
      <c r="D26" s="2851"/>
      <c r="E26" s="2852">
        <v>1</v>
      </c>
      <c r="F26" s="2841" t="s">
        <v>2443</v>
      </c>
      <c r="G26" s="2841"/>
    </row>
    <row r="27" spans="1:13" ht="19.5" customHeight="1">
      <c r="A27" s="3492" t="s">
        <v>2623</v>
      </c>
      <c r="B27" s="3490" t="s">
        <v>2604</v>
      </c>
      <c r="C27" s="2838" t="s">
        <v>2444</v>
      </c>
      <c r="D27" s="2839"/>
      <c r="E27" s="2840">
        <v>1</v>
      </c>
      <c r="F27" s="2841" t="s">
        <v>2445</v>
      </c>
      <c r="G27" s="2841"/>
    </row>
    <row r="28" spans="1:13" ht="19.5" customHeight="1">
      <c r="A28" s="3493"/>
      <c r="B28" s="3489"/>
      <c r="C28" s="2842" t="s">
        <v>2446</v>
      </c>
      <c r="D28" s="2843"/>
      <c r="E28" s="2844">
        <v>1</v>
      </c>
      <c r="F28" s="2841" t="s">
        <v>2447</v>
      </c>
      <c r="G28" s="2841"/>
    </row>
    <row r="29" spans="1:13" ht="19.5" customHeight="1">
      <c r="A29" s="3493"/>
      <c r="B29" s="3489"/>
      <c r="C29" s="2842" t="s">
        <v>2448</v>
      </c>
      <c r="D29" s="2843"/>
      <c r="E29" s="2844">
        <v>0.8</v>
      </c>
      <c r="F29" s="2841" t="s">
        <v>2449</v>
      </c>
      <c r="G29" s="2841"/>
    </row>
    <row r="30" spans="1:13" ht="19.5" customHeight="1">
      <c r="A30" s="3493"/>
      <c r="B30" s="3489"/>
      <c r="C30" s="2842" t="s">
        <v>2450</v>
      </c>
      <c r="D30" s="2843"/>
      <c r="E30" s="2844">
        <v>0.8</v>
      </c>
      <c r="F30" s="2841" t="s">
        <v>2451</v>
      </c>
      <c r="G30" s="2841"/>
    </row>
    <row r="31" spans="1:13" ht="19.5" customHeight="1">
      <c r="A31" s="3493"/>
      <c r="B31" s="3489"/>
      <c r="C31" s="2842" t="s">
        <v>2452</v>
      </c>
      <c r="D31" s="2843"/>
      <c r="E31" s="2844">
        <v>0.8</v>
      </c>
      <c r="F31" s="2841" t="s">
        <v>2453</v>
      </c>
      <c r="G31" s="2841"/>
    </row>
    <row r="32" spans="1:13" ht="19.5" customHeight="1">
      <c r="A32" s="3493"/>
      <c r="B32" s="3489"/>
      <c r="C32" s="2842" t="s">
        <v>2454</v>
      </c>
      <c r="D32" s="2843"/>
      <c r="E32" s="2844">
        <v>0.7</v>
      </c>
      <c r="F32" s="2841" t="s">
        <v>2455</v>
      </c>
      <c r="G32" s="2841"/>
    </row>
    <row r="33" spans="1:7" ht="19.5" customHeight="1">
      <c r="A33" s="3493"/>
      <c r="B33" s="3489"/>
      <c r="C33" s="2842" t="s">
        <v>2456</v>
      </c>
      <c r="D33" s="2843"/>
      <c r="E33" s="2844">
        <v>0.8</v>
      </c>
      <c r="F33" s="2841" t="s">
        <v>2457</v>
      </c>
      <c r="G33" s="2841"/>
    </row>
    <row r="34" spans="1:7" ht="19.5" customHeight="1">
      <c r="A34" s="3493"/>
      <c r="B34" s="3489"/>
      <c r="C34" s="2842" t="s">
        <v>2458</v>
      </c>
      <c r="D34" s="2843"/>
      <c r="E34" s="2844">
        <v>0.6</v>
      </c>
      <c r="F34" s="2841" t="s">
        <v>2459</v>
      </c>
      <c r="G34" s="2841"/>
    </row>
    <row r="35" spans="1:7" ht="19.5" customHeight="1">
      <c r="A35" s="3493"/>
      <c r="B35" s="3489"/>
      <c r="C35" s="2842" t="s">
        <v>2460</v>
      </c>
      <c r="D35" s="2843"/>
      <c r="E35" s="2844">
        <v>0.2</v>
      </c>
      <c r="F35" s="2841" t="s">
        <v>2461</v>
      </c>
      <c r="G35" s="2841"/>
    </row>
    <row r="36" spans="1:7" ht="19.5" customHeight="1">
      <c r="A36" s="3493"/>
      <c r="B36" s="3489"/>
      <c r="C36" s="2842" t="s">
        <v>2462</v>
      </c>
      <c r="D36" s="2843"/>
      <c r="E36" s="2844">
        <v>0.2</v>
      </c>
      <c r="F36" s="2841" t="s">
        <v>2463</v>
      </c>
      <c r="G36" s="2841"/>
    </row>
    <row r="37" spans="1:7" ht="19.5" customHeight="1">
      <c r="A37" s="3493"/>
      <c r="B37" s="3487" t="s">
        <v>2624</v>
      </c>
      <c r="C37" s="2842" t="s">
        <v>2464</v>
      </c>
      <c r="D37" s="2843"/>
      <c r="E37" s="2844">
        <v>0.6</v>
      </c>
      <c r="F37" s="2841" t="s">
        <v>2465</v>
      </c>
      <c r="G37" s="2841"/>
    </row>
    <row r="38" spans="1:7" ht="19.5" customHeight="1">
      <c r="A38" s="3493"/>
      <c r="B38" s="3489"/>
      <c r="C38" s="2842" t="s">
        <v>2466</v>
      </c>
      <c r="D38" s="2843"/>
      <c r="E38" s="2844">
        <v>0.6</v>
      </c>
      <c r="F38" s="2841" t="s">
        <v>2467</v>
      </c>
      <c r="G38" s="2841"/>
    </row>
    <row r="39" spans="1:7" ht="19.5" customHeight="1" thickBot="1">
      <c r="A39" s="3494"/>
      <c r="B39" s="3491"/>
      <c r="C39" s="2845" t="s">
        <v>2468</v>
      </c>
      <c r="D39" s="2846"/>
      <c r="E39" s="2847">
        <v>0.6</v>
      </c>
      <c r="F39" s="2841" t="s">
        <v>2469</v>
      </c>
      <c r="G39" s="2841"/>
    </row>
    <row r="40" spans="1:7" ht="19.5" customHeight="1" thickBot="1">
      <c r="A40" s="2848" t="s">
        <v>2601</v>
      </c>
      <c r="B40" s="2849" t="s">
        <v>2601</v>
      </c>
      <c r="C40" s="2850" t="s">
        <v>2625</v>
      </c>
      <c r="D40" s="2851"/>
      <c r="E40" s="2852">
        <v>1</v>
      </c>
      <c r="F40" s="2841" t="s">
        <v>2470</v>
      </c>
      <c r="G40" s="2841"/>
    </row>
    <row r="41" spans="1:7" ht="19.5" customHeight="1">
      <c r="A41" s="3495" t="s">
        <v>2602</v>
      </c>
      <c r="B41" s="3490" t="s">
        <v>2626</v>
      </c>
      <c r="C41" s="2838" t="s">
        <v>2471</v>
      </c>
      <c r="D41" s="2839"/>
      <c r="E41" s="2840">
        <v>1</v>
      </c>
      <c r="F41" s="2841" t="s">
        <v>2472</v>
      </c>
      <c r="G41" s="2841"/>
    </row>
    <row r="42" spans="1:7" ht="19.5" customHeight="1">
      <c r="A42" s="3496"/>
      <c r="B42" s="3489"/>
      <c r="C42" s="2842" t="s">
        <v>2473</v>
      </c>
      <c r="D42" s="2843"/>
      <c r="E42" s="2844">
        <v>1</v>
      </c>
      <c r="F42" s="2841" t="s">
        <v>2474</v>
      </c>
      <c r="G42" s="2841"/>
    </row>
    <row r="43" spans="1:7" ht="19.5" customHeight="1">
      <c r="A43" s="3496"/>
      <c r="B43" s="3488"/>
      <c r="C43" s="2842" t="s">
        <v>2475</v>
      </c>
      <c r="D43" s="2843"/>
      <c r="E43" s="2844">
        <v>1.5</v>
      </c>
      <c r="F43" s="2841" t="s">
        <v>2476</v>
      </c>
      <c r="G43" s="2841"/>
    </row>
    <row r="44" spans="1:7" ht="19.5" customHeight="1">
      <c r="A44" s="3496"/>
      <c r="B44" s="2853" t="s">
        <v>2627</v>
      </c>
      <c r="C44" s="2842" t="s">
        <v>2628</v>
      </c>
      <c r="D44" s="2843"/>
      <c r="E44" s="2844">
        <v>2</v>
      </c>
      <c r="F44" s="2841" t="s">
        <v>2477</v>
      </c>
      <c r="G44" s="2841"/>
    </row>
    <row r="45" spans="1:7" ht="19.5" customHeight="1">
      <c r="A45" s="3496"/>
      <c r="B45" s="3487" t="s">
        <v>2629</v>
      </c>
      <c r="C45" s="2842" t="s">
        <v>2478</v>
      </c>
      <c r="D45" s="2843"/>
      <c r="E45" s="2844">
        <v>1</v>
      </c>
      <c r="F45" s="2841" t="s">
        <v>2479</v>
      </c>
      <c r="G45" s="2841"/>
    </row>
    <row r="46" spans="1:7" ht="19.5" customHeight="1">
      <c r="A46" s="3496"/>
      <c r="B46" s="3489"/>
      <c r="C46" s="2842" t="s">
        <v>2480</v>
      </c>
      <c r="D46" s="2843"/>
      <c r="E46" s="2844">
        <v>1</v>
      </c>
      <c r="F46" s="2841" t="s">
        <v>2481</v>
      </c>
      <c r="G46" s="2841"/>
    </row>
    <row r="47" spans="1:7" ht="19.5" customHeight="1">
      <c r="A47" s="3496"/>
      <c r="B47" s="3489"/>
      <c r="C47" s="2842" t="s">
        <v>2482</v>
      </c>
      <c r="D47" s="2843"/>
      <c r="E47" s="2844">
        <v>1</v>
      </c>
      <c r="F47" s="2841" t="s">
        <v>2483</v>
      </c>
      <c r="G47" s="2841"/>
    </row>
    <row r="48" spans="1:7" ht="19.5" customHeight="1">
      <c r="A48" s="3496"/>
      <c r="B48" s="3489"/>
      <c r="C48" s="2842" t="s">
        <v>2484</v>
      </c>
      <c r="D48" s="2843"/>
      <c r="E48" s="2844">
        <v>1</v>
      </c>
      <c r="F48" s="2841" t="s">
        <v>2485</v>
      </c>
      <c r="G48" s="2841"/>
    </row>
    <row r="49" spans="1:7" ht="19.5" customHeight="1">
      <c r="A49" s="3496"/>
      <c r="B49" s="3489"/>
      <c r="C49" s="2842" t="s">
        <v>2486</v>
      </c>
      <c r="D49" s="2843"/>
      <c r="E49" s="2844">
        <v>1</v>
      </c>
      <c r="F49" s="2841" t="s">
        <v>2487</v>
      </c>
      <c r="G49" s="2841"/>
    </row>
    <row r="50" spans="1:7" ht="19.5" customHeight="1">
      <c r="A50" s="3496"/>
      <c r="B50" s="3489"/>
      <c r="C50" s="2842" t="s">
        <v>2488</v>
      </c>
      <c r="D50" s="2843"/>
      <c r="E50" s="2844">
        <v>1</v>
      </c>
      <c r="F50" s="2841" t="s">
        <v>2489</v>
      </c>
      <c r="G50" s="2841"/>
    </row>
    <row r="51" spans="1:7" ht="19.5" customHeight="1" thickBot="1">
      <c r="A51" s="3497"/>
      <c r="B51" s="3491"/>
      <c r="C51" s="2845" t="s">
        <v>2490</v>
      </c>
      <c r="D51" s="2846"/>
      <c r="E51" s="2847">
        <v>1</v>
      </c>
      <c r="F51" s="2841" t="s">
        <v>2491</v>
      </c>
      <c r="G51" s="2841"/>
    </row>
    <row r="52" spans="1:7" ht="19.5" customHeight="1">
      <c r="A52" s="2854"/>
      <c r="B52" s="2854"/>
      <c r="C52" s="2854"/>
      <c r="D52" s="2854"/>
      <c r="E52" s="2854"/>
      <c r="F52" s="2854"/>
      <c r="G52" s="2854"/>
    </row>
    <row r="54" spans="1:7" ht="19.5" customHeight="1">
      <c r="A54" s="2855"/>
      <c r="B54" s="2827" t="s">
        <v>2630</v>
      </c>
      <c r="C54" s="2827" t="s">
        <v>2630</v>
      </c>
      <c r="D54" s="2827" t="s">
        <v>2630</v>
      </c>
      <c r="E54" s="2830" t="s">
        <v>2630</v>
      </c>
      <c r="F54" s="2830" t="s">
        <v>2631</v>
      </c>
      <c r="G54" s="2830" t="s">
        <v>2632</v>
      </c>
    </row>
    <row r="55" spans="1:7" ht="19.5" customHeight="1">
      <c r="A55" s="2856"/>
      <c r="B55" s="2830" t="s">
        <v>2599</v>
      </c>
      <c r="C55" s="2830" t="s">
        <v>2599</v>
      </c>
      <c r="D55" s="2830" t="s">
        <v>2599</v>
      </c>
      <c r="E55" s="2827" t="s">
        <v>2600</v>
      </c>
      <c r="F55" s="2827" t="s">
        <v>2602</v>
      </c>
      <c r="G55" s="2827" t="s">
        <v>2633</v>
      </c>
    </row>
    <row r="56" spans="1:7" ht="19.5" customHeight="1">
      <c r="A56" s="2857"/>
      <c r="B56" s="2827">
        <v>1</v>
      </c>
      <c r="C56" s="2827">
        <v>2</v>
      </c>
      <c r="D56" s="2827">
        <v>3</v>
      </c>
      <c r="E56" s="2858" t="s">
        <v>2634</v>
      </c>
      <c r="F56" s="2858" t="s">
        <v>2634</v>
      </c>
      <c r="G56" s="2858" t="s">
        <v>2634</v>
      </c>
    </row>
    <row r="57" spans="1:7" ht="19.5" customHeight="1">
      <c r="A57" s="2859" t="s">
        <v>2587</v>
      </c>
      <c r="B57" s="2827">
        <v>0.7</v>
      </c>
      <c r="C57" s="2827">
        <v>0.4</v>
      </c>
      <c r="D57" s="2827">
        <v>0.3</v>
      </c>
      <c r="E57" s="2858">
        <v>0.3</v>
      </c>
      <c r="F57" s="2827">
        <v>0.3</v>
      </c>
      <c r="G57" s="2827">
        <v>0.2</v>
      </c>
    </row>
    <row r="58" spans="1:7" ht="19.5" customHeight="1">
      <c r="A58" s="2859" t="s">
        <v>2588</v>
      </c>
      <c r="B58" s="2827">
        <v>0.7</v>
      </c>
      <c r="C58" s="2827">
        <v>0.4</v>
      </c>
      <c r="D58" s="2827">
        <v>0.3</v>
      </c>
      <c r="E58" s="2827">
        <v>0.3</v>
      </c>
      <c r="F58" s="2827">
        <v>0.3</v>
      </c>
      <c r="G58" s="2827">
        <v>0.2</v>
      </c>
    </row>
    <row r="59" spans="1:7" ht="19.5" customHeight="1">
      <c r="A59" s="2859" t="s">
        <v>2589</v>
      </c>
      <c r="B59" s="2827">
        <v>0.6</v>
      </c>
      <c r="C59" s="2827">
        <v>0.3</v>
      </c>
      <c r="D59" s="2827">
        <v>0.25</v>
      </c>
      <c r="E59" s="2827">
        <v>0.25</v>
      </c>
      <c r="F59" s="2827">
        <v>0.25</v>
      </c>
      <c r="G59" s="2827">
        <v>0.15</v>
      </c>
    </row>
    <row r="60" spans="1:7" ht="19.5" customHeight="1">
      <c r="A60" s="2859" t="s">
        <v>2590</v>
      </c>
      <c r="B60" s="2827">
        <v>0.6</v>
      </c>
      <c r="C60" s="2827">
        <v>0.3</v>
      </c>
      <c r="D60" s="2827">
        <v>0.25</v>
      </c>
      <c r="E60" s="2827">
        <v>0.25</v>
      </c>
      <c r="F60" s="2827">
        <v>0.25</v>
      </c>
      <c r="G60" s="2827">
        <v>0.15</v>
      </c>
    </row>
    <row r="61" spans="1:7" ht="19.5" customHeight="1">
      <c r="A61" s="2859" t="s">
        <v>2591</v>
      </c>
      <c r="B61" s="2827">
        <v>0.6</v>
      </c>
      <c r="C61" s="2827">
        <v>0.3</v>
      </c>
      <c r="D61" s="2827">
        <v>0.25</v>
      </c>
      <c r="E61" s="2827">
        <v>0.25</v>
      </c>
      <c r="F61" s="2827">
        <v>0.25</v>
      </c>
      <c r="G61" s="2827">
        <v>0.15</v>
      </c>
    </row>
    <row r="62" spans="1:7" ht="19.5" customHeight="1">
      <c r="A62" s="2859" t="s">
        <v>2592</v>
      </c>
      <c r="B62" s="2827">
        <v>0.6</v>
      </c>
      <c r="C62" s="2827">
        <v>0.3</v>
      </c>
      <c r="D62" s="2827">
        <v>0.25</v>
      </c>
      <c r="E62" s="2827">
        <v>0.25</v>
      </c>
      <c r="F62" s="2827">
        <v>0.25</v>
      </c>
      <c r="G62" s="2827">
        <v>0.15</v>
      </c>
    </row>
    <row r="63" spans="1:7" ht="19.5" customHeight="1">
      <c r="A63" s="2859" t="s">
        <v>2593</v>
      </c>
      <c r="B63" s="2827">
        <v>0.6</v>
      </c>
      <c r="C63" s="2827">
        <v>0.3</v>
      </c>
      <c r="D63" s="2827">
        <v>0.25</v>
      </c>
      <c r="E63" s="2827">
        <v>0.25</v>
      </c>
      <c r="F63" s="2827">
        <v>0.25</v>
      </c>
      <c r="G63" s="2827">
        <v>0.15</v>
      </c>
    </row>
    <row r="64" spans="1:7" ht="19.5" customHeight="1">
      <c r="A64" s="2859" t="s">
        <v>2594</v>
      </c>
      <c r="B64" s="2827">
        <v>0.5</v>
      </c>
      <c r="C64" s="2827">
        <v>0.2</v>
      </c>
      <c r="D64" s="2827">
        <v>0.2</v>
      </c>
      <c r="E64" s="2827">
        <v>0.2</v>
      </c>
      <c r="F64" s="2827">
        <v>0.2</v>
      </c>
      <c r="G64" s="2827">
        <v>0.1</v>
      </c>
    </row>
    <row r="65" spans="1:7" ht="19.5" customHeight="1">
      <c r="A65" s="2859" t="s">
        <v>2595</v>
      </c>
      <c r="B65" s="2827">
        <v>0.5</v>
      </c>
      <c r="C65" s="2827">
        <v>0.2</v>
      </c>
      <c r="D65" s="2827">
        <v>0.2</v>
      </c>
      <c r="E65" s="2827">
        <v>0.2</v>
      </c>
      <c r="F65" s="2827">
        <v>0.2</v>
      </c>
      <c r="G65" s="2827">
        <v>0.1</v>
      </c>
    </row>
    <row r="66" spans="1:7" ht="19.5" customHeight="1">
      <c r="A66" s="2859" t="s">
        <v>2596</v>
      </c>
      <c r="B66" s="2827">
        <v>0.5</v>
      </c>
      <c r="C66" s="2827">
        <v>0.2</v>
      </c>
      <c r="D66" s="2827">
        <v>0.2</v>
      </c>
      <c r="E66" s="2827">
        <v>0.2</v>
      </c>
      <c r="F66" s="2827">
        <v>0.2</v>
      </c>
      <c r="G66" s="2827">
        <v>0.1</v>
      </c>
    </row>
    <row r="67" spans="1:7" ht="19.5" customHeight="1">
      <c r="A67" s="2859" t="s">
        <v>2597</v>
      </c>
      <c r="B67" s="2827">
        <v>0.5</v>
      </c>
      <c r="C67" s="2827">
        <v>0.2</v>
      </c>
      <c r="D67" s="2827">
        <v>0.2</v>
      </c>
      <c r="E67" s="2827">
        <v>0.2</v>
      </c>
      <c r="F67" s="2827">
        <v>0.2</v>
      </c>
      <c r="G67" s="2827">
        <v>0.1</v>
      </c>
    </row>
    <row r="68" spans="1:7" ht="19.5" customHeight="1">
      <c r="A68" s="2859" t="s">
        <v>2598</v>
      </c>
      <c r="B68" s="2827">
        <v>0.5</v>
      </c>
      <c r="C68" s="2827">
        <v>0.2</v>
      </c>
      <c r="D68" s="2827">
        <v>0.2</v>
      </c>
      <c r="E68" s="2827">
        <v>0.2</v>
      </c>
      <c r="F68" s="2827">
        <v>0.2</v>
      </c>
      <c r="G68" s="2827">
        <v>0.1</v>
      </c>
    </row>
    <row r="70" spans="1:7" ht="19.5" customHeight="1">
      <c r="A70" s="2841"/>
      <c r="B70" s="2860"/>
      <c r="C70" s="2860"/>
      <c r="D70" s="2860" t="s">
        <v>2635</v>
      </c>
      <c r="E70" s="2860"/>
      <c r="F70" s="2860"/>
    </row>
    <row r="71" spans="1:7" ht="19.5" customHeight="1">
      <c r="A71" s="2853" t="s">
        <v>2636</v>
      </c>
      <c r="B71" s="2853" t="s">
        <v>2637</v>
      </c>
      <c r="C71" s="2853" t="s">
        <v>2638</v>
      </c>
      <c r="D71" s="2853" t="s">
        <v>2639</v>
      </c>
      <c r="E71" s="2853" t="s">
        <v>2640</v>
      </c>
      <c r="F71" s="2853" t="s">
        <v>2641</v>
      </c>
    </row>
    <row r="72" spans="1:7" ht="13.5">
      <c r="A72" s="2853"/>
      <c r="B72" s="2853"/>
      <c r="C72" s="2853" t="s">
        <v>2642</v>
      </c>
      <c r="D72" s="2853"/>
      <c r="E72" s="2853" t="s">
        <v>2613</v>
      </c>
      <c r="F72" s="2853" t="s">
        <v>2613</v>
      </c>
    </row>
    <row r="73" spans="1:7" ht="13.5">
      <c r="A73" s="2853">
        <v>1</v>
      </c>
      <c r="B73" s="3487" t="s">
        <v>2643</v>
      </c>
      <c r="C73" s="2827" t="s">
        <v>2644</v>
      </c>
      <c r="D73" s="2827" t="s">
        <v>2645</v>
      </c>
      <c r="E73" s="2853">
        <v>0.2</v>
      </c>
      <c r="F73" s="2853">
        <v>25</v>
      </c>
    </row>
    <row r="74" spans="1:7" ht="24">
      <c r="A74" s="2853">
        <v>2</v>
      </c>
      <c r="B74" s="3489"/>
      <c r="C74" s="2827" t="s">
        <v>2646</v>
      </c>
      <c r="D74" s="2827" t="s">
        <v>2647</v>
      </c>
      <c r="E74" s="2853">
        <v>0.2</v>
      </c>
      <c r="F74" s="2853">
        <v>25</v>
      </c>
    </row>
    <row r="75" spans="1:7" ht="24">
      <c r="A75" s="2853">
        <v>3</v>
      </c>
      <c r="B75" s="3489"/>
      <c r="C75" s="2827" t="s">
        <v>2648</v>
      </c>
      <c r="D75" s="2827" t="s">
        <v>2649</v>
      </c>
      <c r="E75" s="2853">
        <v>0.2</v>
      </c>
      <c r="F75" s="2853">
        <v>25</v>
      </c>
    </row>
    <row r="76" spans="1:7" ht="13.5">
      <c r="A76" s="2853">
        <v>4</v>
      </c>
      <c r="B76" s="3489"/>
      <c r="C76" s="2827" t="s">
        <v>2650</v>
      </c>
      <c r="D76" s="2827" t="s">
        <v>2651</v>
      </c>
      <c r="E76" s="2853">
        <v>0.15</v>
      </c>
      <c r="F76" s="2853">
        <v>20</v>
      </c>
    </row>
    <row r="77" spans="1:7" ht="24">
      <c r="A77" s="2853">
        <v>5</v>
      </c>
      <c r="B77" s="3489"/>
      <c r="C77" s="2827" t="s">
        <v>2652</v>
      </c>
      <c r="D77" s="2827" t="s">
        <v>2653</v>
      </c>
      <c r="E77" s="2853">
        <v>0.15</v>
      </c>
      <c r="F77" s="2853">
        <v>20</v>
      </c>
    </row>
    <row r="78" spans="1:7" ht="24">
      <c r="A78" s="2853">
        <v>6</v>
      </c>
      <c r="B78" s="3489"/>
      <c r="C78" s="2827" t="s">
        <v>2654</v>
      </c>
      <c r="D78" s="2827" t="s">
        <v>2655</v>
      </c>
      <c r="E78" s="2853">
        <v>0.15</v>
      </c>
      <c r="F78" s="2853">
        <v>20</v>
      </c>
    </row>
    <row r="79" spans="1:7" ht="24">
      <c r="A79" s="2853">
        <v>7</v>
      </c>
      <c r="B79" s="3489"/>
      <c r="C79" s="2827" t="s">
        <v>2656</v>
      </c>
      <c r="D79" s="2827" t="s">
        <v>2657</v>
      </c>
      <c r="E79" s="2853">
        <v>0.15</v>
      </c>
      <c r="F79" s="2853">
        <v>20</v>
      </c>
    </row>
    <row r="80" spans="1:7" ht="24">
      <c r="A80" s="2853">
        <v>8</v>
      </c>
      <c r="B80" s="3489"/>
      <c r="C80" s="2827" t="s">
        <v>2658</v>
      </c>
      <c r="D80" s="2827" t="s">
        <v>2659</v>
      </c>
      <c r="E80" s="2853">
        <v>0.1</v>
      </c>
      <c r="F80" s="2853">
        <v>15</v>
      </c>
    </row>
    <row r="81" spans="1:6" ht="24">
      <c r="A81" s="2853">
        <v>9</v>
      </c>
      <c r="B81" s="3489"/>
      <c r="C81" s="2827" t="s">
        <v>2660</v>
      </c>
      <c r="D81" s="2827" t="s">
        <v>2661</v>
      </c>
      <c r="E81" s="2853">
        <v>0.1</v>
      </c>
      <c r="F81" s="2853">
        <v>15</v>
      </c>
    </row>
    <row r="82" spans="1:6" ht="24">
      <c r="A82" s="2853">
        <v>10</v>
      </c>
      <c r="B82" s="3489"/>
      <c r="C82" s="2827" t="s">
        <v>2662</v>
      </c>
      <c r="D82" s="2827" t="s">
        <v>2663</v>
      </c>
      <c r="E82" s="2853">
        <v>0.1</v>
      </c>
      <c r="F82" s="2853">
        <v>15</v>
      </c>
    </row>
    <row r="83" spans="1:6" ht="24">
      <c r="A83" s="2853">
        <v>11</v>
      </c>
      <c r="B83" s="3489"/>
      <c r="C83" s="2827" t="s">
        <v>2664</v>
      </c>
      <c r="D83" s="2827" t="s">
        <v>2665</v>
      </c>
      <c r="E83" s="2853">
        <v>0.1</v>
      </c>
      <c r="F83" s="2853">
        <v>15</v>
      </c>
    </row>
    <row r="84" spans="1:6" ht="24">
      <c r="A84" s="2853">
        <v>12</v>
      </c>
      <c r="B84" s="3489"/>
      <c r="C84" s="2827" t="s">
        <v>2666</v>
      </c>
      <c r="D84" s="2827" t="s">
        <v>2667</v>
      </c>
      <c r="E84" s="2853">
        <v>0.1</v>
      </c>
      <c r="F84" s="2853">
        <v>15</v>
      </c>
    </row>
    <row r="85" spans="1:6" ht="13.5">
      <c r="A85" s="2853">
        <v>13</v>
      </c>
      <c r="B85" s="3489"/>
      <c r="C85" s="2827" t="s">
        <v>2668</v>
      </c>
      <c r="D85" s="2827" t="s">
        <v>2669</v>
      </c>
      <c r="E85" s="2853">
        <v>0.1</v>
      </c>
      <c r="F85" s="2853">
        <v>15</v>
      </c>
    </row>
    <row r="86" spans="1:6" ht="13.5">
      <c r="A86" s="2853">
        <v>14</v>
      </c>
      <c r="B86" s="3489"/>
      <c r="C86" s="2827" t="s">
        <v>2670</v>
      </c>
      <c r="D86" s="2827" t="s">
        <v>2671</v>
      </c>
      <c r="E86" s="2853">
        <v>0.1</v>
      </c>
      <c r="F86" s="2853">
        <v>15</v>
      </c>
    </row>
    <row r="87" spans="1:6" ht="13.5">
      <c r="A87" s="2853">
        <v>15</v>
      </c>
      <c r="B87" s="3489"/>
      <c r="C87" s="2827" t="s">
        <v>2672</v>
      </c>
      <c r="D87" s="2827" t="s">
        <v>2673</v>
      </c>
      <c r="E87" s="2853">
        <v>0.1</v>
      </c>
      <c r="F87" s="2853">
        <v>15</v>
      </c>
    </row>
    <row r="88" spans="1:6" ht="24">
      <c r="A88" s="2853">
        <v>16</v>
      </c>
      <c r="B88" s="3489"/>
      <c r="C88" s="2827" t="s">
        <v>2674</v>
      </c>
      <c r="D88" s="2827" t="s">
        <v>2675</v>
      </c>
      <c r="E88" s="2853">
        <v>0.1</v>
      </c>
      <c r="F88" s="2853">
        <v>15</v>
      </c>
    </row>
    <row r="89" spans="1:6" ht="24">
      <c r="A89" s="2853">
        <v>17</v>
      </c>
      <c r="B89" s="3488"/>
      <c r="C89" s="2827" t="s">
        <v>2676</v>
      </c>
      <c r="D89" s="2827" t="s">
        <v>2677</v>
      </c>
      <c r="E89" s="2853">
        <v>0.1</v>
      </c>
      <c r="F89" s="2853">
        <v>15</v>
      </c>
    </row>
    <row r="90" spans="1:6" ht="13.5">
      <c r="A90" s="2853">
        <v>18</v>
      </c>
      <c r="B90" s="3487" t="s">
        <v>2678</v>
      </c>
      <c r="C90" s="2827" t="s">
        <v>2679</v>
      </c>
      <c r="D90" s="2827" t="s">
        <v>2680</v>
      </c>
      <c r="E90" s="2853">
        <v>0.2</v>
      </c>
      <c r="F90" s="2853">
        <v>25</v>
      </c>
    </row>
    <row r="91" spans="1:6" ht="24">
      <c r="A91" s="2853">
        <v>19</v>
      </c>
      <c r="B91" s="3489"/>
      <c r="C91" s="2827" t="s">
        <v>2681</v>
      </c>
      <c r="D91" s="2827" t="s">
        <v>2682</v>
      </c>
      <c r="E91" s="2853">
        <v>0.2</v>
      </c>
      <c r="F91" s="2853">
        <v>25</v>
      </c>
    </row>
    <row r="92" spans="1:6" ht="13.5">
      <c r="A92" s="2853">
        <v>20</v>
      </c>
      <c r="B92" s="3489"/>
      <c r="C92" s="2827" t="s">
        <v>2683</v>
      </c>
      <c r="D92" s="2827" t="s">
        <v>2684</v>
      </c>
      <c r="E92" s="2853">
        <v>0.15</v>
      </c>
      <c r="F92" s="2853">
        <v>20</v>
      </c>
    </row>
    <row r="93" spans="1:6" ht="13.5">
      <c r="A93" s="2853">
        <v>21</v>
      </c>
      <c r="B93" s="3489"/>
      <c r="C93" s="2827" t="s">
        <v>2685</v>
      </c>
      <c r="D93" s="2827" t="s">
        <v>2686</v>
      </c>
      <c r="E93" s="2853">
        <v>0.15</v>
      </c>
      <c r="F93" s="2853">
        <v>20</v>
      </c>
    </row>
    <row r="94" spans="1:6" ht="13.5">
      <c r="A94" s="2853">
        <v>22</v>
      </c>
      <c r="B94" s="3489"/>
      <c r="C94" s="2827" t="s">
        <v>2687</v>
      </c>
      <c r="D94" s="2827" t="s">
        <v>2688</v>
      </c>
      <c r="E94" s="2853">
        <v>0.15</v>
      </c>
      <c r="F94" s="2853">
        <v>20</v>
      </c>
    </row>
    <row r="95" spans="1:6" ht="36">
      <c r="A95" s="2853">
        <v>23</v>
      </c>
      <c r="B95" s="3489"/>
      <c r="C95" s="2827" t="s">
        <v>2689</v>
      </c>
      <c r="D95" s="2827" t="s">
        <v>2690</v>
      </c>
      <c r="E95" s="2853">
        <v>0.15</v>
      </c>
      <c r="F95" s="2853">
        <v>20</v>
      </c>
    </row>
    <row r="96" spans="1:6" ht="13.5">
      <c r="A96" s="2853">
        <v>24</v>
      </c>
      <c r="B96" s="3489"/>
      <c r="C96" s="2827" t="s">
        <v>2691</v>
      </c>
      <c r="D96" s="2827" t="s">
        <v>2692</v>
      </c>
      <c r="E96" s="2853">
        <v>0.1</v>
      </c>
      <c r="F96" s="2853">
        <v>15</v>
      </c>
    </row>
    <row r="97" spans="1:6" ht="13.5">
      <c r="A97" s="2853">
        <v>25</v>
      </c>
      <c r="B97" s="3489"/>
      <c r="C97" s="2827" t="s">
        <v>2693</v>
      </c>
      <c r="D97" s="2827" t="s">
        <v>2694</v>
      </c>
      <c r="E97" s="2853">
        <v>0.1</v>
      </c>
      <c r="F97" s="2853">
        <v>15</v>
      </c>
    </row>
    <row r="98" spans="1:6" ht="24">
      <c r="A98" s="2853">
        <v>26</v>
      </c>
      <c r="B98" s="3489"/>
      <c r="C98" s="2827" t="s">
        <v>2695</v>
      </c>
      <c r="D98" s="2827" t="s">
        <v>2696</v>
      </c>
      <c r="E98" s="2853">
        <v>0.1</v>
      </c>
      <c r="F98" s="2853">
        <v>15</v>
      </c>
    </row>
    <row r="99" spans="1:6" ht="24">
      <c r="A99" s="2853">
        <v>27</v>
      </c>
      <c r="B99" s="3489"/>
      <c r="C99" s="2827" t="s">
        <v>2697</v>
      </c>
      <c r="D99" s="2827" t="s">
        <v>2698</v>
      </c>
      <c r="E99" s="2853">
        <v>0.1</v>
      </c>
      <c r="F99" s="2853">
        <v>15</v>
      </c>
    </row>
    <row r="100" spans="1:6" ht="13.5">
      <c r="A100" s="2853">
        <v>28</v>
      </c>
      <c r="B100" s="3489"/>
      <c r="C100" s="2827" t="s">
        <v>2699</v>
      </c>
      <c r="D100" s="2827" t="s">
        <v>2700</v>
      </c>
      <c r="E100" s="2853">
        <v>0.1</v>
      </c>
      <c r="F100" s="2853">
        <v>15</v>
      </c>
    </row>
    <row r="101" spans="1:6" ht="13.5">
      <c r="A101" s="2853">
        <v>29</v>
      </c>
      <c r="B101" s="3489"/>
      <c r="C101" s="2827" t="s">
        <v>2701</v>
      </c>
      <c r="D101" s="2827" t="s">
        <v>2702</v>
      </c>
      <c r="E101" s="2853">
        <v>0.1</v>
      </c>
      <c r="F101" s="2853">
        <v>15</v>
      </c>
    </row>
    <row r="102" spans="1:6" ht="13.5">
      <c r="A102" s="2853">
        <v>30</v>
      </c>
      <c r="B102" s="3489"/>
      <c r="C102" s="2827" t="s">
        <v>2703</v>
      </c>
      <c r="D102" s="2827" t="s">
        <v>2704</v>
      </c>
      <c r="E102" s="2853">
        <v>0.1</v>
      </c>
      <c r="F102" s="2853">
        <v>15</v>
      </c>
    </row>
    <row r="103" spans="1:6" ht="24">
      <c r="A103" s="2853">
        <v>31</v>
      </c>
      <c r="B103" s="3489"/>
      <c r="C103" s="2827" t="s">
        <v>2705</v>
      </c>
      <c r="D103" s="2827" t="s">
        <v>2706</v>
      </c>
      <c r="E103" s="2853">
        <v>0.1</v>
      </c>
      <c r="F103" s="2853">
        <v>15</v>
      </c>
    </row>
    <row r="104" spans="1:6" ht="24">
      <c r="A104" s="2853">
        <v>32</v>
      </c>
      <c r="B104" s="3489"/>
      <c r="C104" s="2827" t="s">
        <v>2707</v>
      </c>
      <c r="D104" s="2827" t="s">
        <v>2708</v>
      </c>
      <c r="E104" s="2853">
        <v>0.1</v>
      </c>
      <c r="F104" s="2853">
        <v>15</v>
      </c>
    </row>
    <row r="105" spans="1:6" ht="24">
      <c r="A105" s="2853">
        <v>33</v>
      </c>
      <c r="B105" s="3489"/>
      <c r="C105" s="2827" t="s">
        <v>2709</v>
      </c>
      <c r="D105" s="2827" t="s">
        <v>2710</v>
      </c>
      <c r="E105" s="2853">
        <v>0.1</v>
      </c>
      <c r="F105" s="2853">
        <v>15</v>
      </c>
    </row>
    <row r="106" spans="1:6" ht="24">
      <c r="A106" s="2853">
        <v>34</v>
      </c>
      <c r="B106" s="3488"/>
      <c r="C106" s="2827" t="s">
        <v>2711</v>
      </c>
      <c r="D106" s="2827" t="s">
        <v>2712</v>
      </c>
      <c r="E106" s="2853">
        <v>0.1</v>
      </c>
      <c r="F106" s="2853">
        <v>15</v>
      </c>
    </row>
    <row r="107" spans="1:6" ht="24">
      <c r="A107" s="2853">
        <v>35</v>
      </c>
      <c r="B107" s="3487" t="s">
        <v>2713</v>
      </c>
      <c r="C107" s="2853" t="s">
        <v>2714</v>
      </c>
      <c r="D107" s="2827" t="s">
        <v>2715</v>
      </c>
      <c r="E107" s="2853">
        <v>0.15</v>
      </c>
      <c r="F107" s="2853">
        <v>20</v>
      </c>
    </row>
    <row r="108" spans="1:6" ht="13.5">
      <c r="A108" s="2853">
        <v>36</v>
      </c>
      <c r="B108" s="3489"/>
      <c r="C108" s="2853" t="s">
        <v>2716</v>
      </c>
      <c r="D108" s="2827" t="s">
        <v>2717</v>
      </c>
      <c r="E108" s="2853">
        <v>0.15</v>
      </c>
      <c r="F108" s="2853">
        <v>20</v>
      </c>
    </row>
    <row r="109" spans="1:6" ht="13.5">
      <c r="A109" s="2853">
        <v>37</v>
      </c>
      <c r="B109" s="3489"/>
      <c r="C109" s="2853" t="s">
        <v>2718</v>
      </c>
      <c r="D109" s="2827" t="s">
        <v>2719</v>
      </c>
      <c r="E109" s="2853">
        <v>0.15</v>
      </c>
      <c r="F109" s="2853">
        <v>20</v>
      </c>
    </row>
    <row r="110" spans="1:6" ht="13.5">
      <c r="A110" s="2853">
        <v>38</v>
      </c>
      <c r="B110" s="3489"/>
      <c r="C110" s="2853" t="s">
        <v>2720</v>
      </c>
      <c r="D110" s="2827" t="s">
        <v>2721</v>
      </c>
      <c r="E110" s="2853">
        <v>0.1</v>
      </c>
      <c r="F110" s="2853">
        <v>15</v>
      </c>
    </row>
    <row r="111" spans="1:6" ht="24">
      <c r="A111" s="2853">
        <v>39</v>
      </c>
      <c r="B111" s="3489"/>
      <c r="C111" s="2853" t="s">
        <v>2722</v>
      </c>
      <c r="D111" s="2827" t="s">
        <v>2723</v>
      </c>
      <c r="E111" s="2853">
        <v>0.1</v>
      </c>
      <c r="F111" s="2853">
        <v>15</v>
      </c>
    </row>
    <row r="112" spans="1:6" ht="24">
      <c r="A112" s="2853">
        <v>40</v>
      </c>
      <c r="B112" s="3488"/>
      <c r="C112" s="2853" t="s">
        <v>2724</v>
      </c>
      <c r="D112" s="2827" t="s">
        <v>2725</v>
      </c>
      <c r="E112" s="2853">
        <v>0.1</v>
      </c>
      <c r="F112" s="2853">
        <v>15</v>
      </c>
    </row>
    <row r="113" spans="1:6" ht="13.5">
      <c r="A113" s="2853">
        <v>41</v>
      </c>
      <c r="B113" s="3486" t="s">
        <v>2726</v>
      </c>
      <c r="C113" s="2853" t="s">
        <v>2727</v>
      </c>
      <c r="D113" s="2827" t="s">
        <v>2728</v>
      </c>
      <c r="E113" s="2853">
        <v>0.1</v>
      </c>
      <c r="F113" s="2853">
        <v>15</v>
      </c>
    </row>
    <row r="114" spans="1:6" ht="13.5">
      <c r="A114" s="2853">
        <v>42</v>
      </c>
      <c r="B114" s="3486"/>
      <c r="C114" s="2853" t="s">
        <v>2729</v>
      </c>
      <c r="D114" s="2827" t="s">
        <v>2730</v>
      </c>
      <c r="E114" s="2853">
        <v>0.1</v>
      </c>
      <c r="F114" s="2853">
        <v>15</v>
      </c>
    </row>
    <row r="115" spans="1:6" ht="24">
      <c r="A115" s="2853">
        <v>43</v>
      </c>
      <c r="B115" s="3486"/>
      <c r="C115" s="2853" t="s">
        <v>2731</v>
      </c>
      <c r="D115" s="2827" t="s">
        <v>2732</v>
      </c>
      <c r="E115" s="2853">
        <v>0.1</v>
      </c>
      <c r="F115" s="2853">
        <v>15</v>
      </c>
    </row>
    <row r="116" spans="1:6" ht="13.5">
      <c r="A116" s="2853">
        <v>44</v>
      </c>
      <c r="B116" s="3487" t="s">
        <v>2733</v>
      </c>
      <c r="C116" s="2853" t="s">
        <v>2734</v>
      </c>
      <c r="D116" s="2827" t="s">
        <v>2735</v>
      </c>
      <c r="E116" s="2853">
        <v>0.1</v>
      </c>
      <c r="F116" s="2853">
        <v>15</v>
      </c>
    </row>
    <row r="117" spans="1:6" ht="24">
      <c r="A117" s="2853">
        <v>45</v>
      </c>
      <c r="B117" s="3488"/>
      <c r="C117" s="2827" t="s">
        <v>2736</v>
      </c>
      <c r="D117" s="2827" t="s">
        <v>2737</v>
      </c>
      <c r="E117" s="2853">
        <v>0.1</v>
      </c>
      <c r="F117" s="2853">
        <v>15</v>
      </c>
    </row>
    <row r="118" spans="1:6" ht="24">
      <c r="A118" s="2853">
        <v>46</v>
      </c>
      <c r="B118" s="3487" t="s">
        <v>2738</v>
      </c>
      <c r="C118" s="2853" t="s">
        <v>2739</v>
      </c>
      <c r="D118" s="2827" t="s">
        <v>2740</v>
      </c>
      <c r="E118" s="2853">
        <v>0.1</v>
      </c>
      <c r="F118" s="2853">
        <v>15</v>
      </c>
    </row>
    <row r="119" spans="1:6" ht="24">
      <c r="A119" s="2853">
        <v>47</v>
      </c>
      <c r="B119" s="3488"/>
      <c r="C119" s="2853" t="s">
        <v>2741</v>
      </c>
      <c r="D119" s="2827" t="s">
        <v>2742</v>
      </c>
      <c r="E119" s="2853">
        <v>0.1</v>
      </c>
      <c r="F119" s="2853">
        <v>15</v>
      </c>
    </row>
    <row r="120" spans="1:6" ht="13.5">
      <c r="A120" s="2853">
        <v>48</v>
      </c>
      <c r="B120" s="3487" t="s">
        <v>2743</v>
      </c>
      <c r="C120" s="2853" t="s">
        <v>2744</v>
      </c>
      <c r="D120" s="2827" t="s">
        <v>2745</v>
      </c>
      <c r="E120" s="2853">
        <v>0.1</v>
      </c>
      <c r="F120" s="2853">
        <v>15</v>
      </c>
    </row>
    <row r="121" spans="1:6" ht="13.5">
      <c r="A121" s="2853">
        <v>49</v>
      </c>
      <c r="B121" s="3488"/>
      <c r="C121" s="2853" t="s">
        <v>2746</v>
      </c>
      <c r="D121" s="2827" t="s">
        <v>2747</v>
      </c>
      <c r="E121" s="2853">
        <v>0.1</v>
      </c>
      <c r="F121" s="2853">
        <v>15</v>
      </c>
    </row>
    <row r="122" spans="1:6" ht="24">
      <c r="A122" s="2853">
        <v>50</v>
      </c>
      <c r="B122" s="3486" t="s">
        <v>2748</v>
      </c>
      <c r="C122" s="2853" t="s">
        <v>2749</v>
      </c>
      <c r="D122" s="2827" t="s">
        <v>2750</v>
      </c>
      <c r="E122" s="2853">
        <v>0.1</v>
      </c>
      <c r="F122" s="2853">
        <v>15</v>
      </c>
    </row>
    <row r="123" spans="1:6" ht="24">
      <c r="A123" s="2853">
        <v>51</v>
      </c>
      <c r="B123" s="3486"/>
      <c r="C123" s="2853" t="s">
        <v>2751</v>
      </c>
      <c r="D123" s="2827" t="s">
        <v>2752</v>
      </c>
      <c r="E123" s="2853">
        <v>0.1</v>
      </c>
      <c r="F123" s="2853">
        <v>15</v>
      </c>
    </row>
    <row r="124" spans="1:6" ht="24">
      <c r="A124" s="2853">
        <v>52</v>
      </c>
      <c r="B124" s="3486" t="s">
        <v>2753</v>
      </c>
      <c r="C124" s="2853" t="s">
        <v>2754</v>
      </c>
      <c r="D124" s="2827" t="s">
        <v>2755</v>
      </c>
      <c r="E124" s="2853">
        <v>0.1</v>
      </c>
      <c r="F124" s="2853">
        <v>15</v>
      </c>
    </row>
    <row r="125" spans="1:6" ht="24">
      <c r="A125" s="2853">
        <v>53</v>
      </c>
      <c r="B125" s="3486"/>
      <c r="C125" s="2853" t="s">
        <v>2756</v>
      </c>
      <c r="D125" s="2827" t="s">
        <v>2757</v>
      </c>
      <c r="E125" s="2853">
        <v>0.1</v>
      </c>
      <c r="F125" s="2853">
        <v>15</v>
      </c>
    </row>
    <row r="126" spans="1:6" ht="13.5">
      <c r="A126" s="2853">
        <v>54</v>
      </c>
      <c r="B126" s="2853" t="s">
        <v>2758</v>
      </c>
      <c r="C126" s="2853" t="s">
        <v>2759</v>
      </c>
      <c r="D126" s="2827" t="s">
        <v>2760</v>
      </c>
      <c r="E126" s="2853">
        <v>0.1</v>
      </c>
      <c r="F126" s="2853">
        <v>15</v>
      </c>
    </row>
    <row r="127" spans="1:6" ht="13.5">
      <c r="A127" s="2853">
        <v>55</v>
      </c>
      <c r="B127" s="3486" t="s">
        <v>2761</v>
      </c>
      <c r="C127" s="2853" t="s">
        <v>2762</v>
      </c>
      <c r="D127" s="2827" t="s">
        <v>2763</v>
      </c>
      <c r="E127" s="2853">
        <v>0.1</v>
      </c>
      <c r="F127" s="2853">
        <v>15</v>
      </c>
    </row>
    <row r="128" spans="1:6" ht="13.5">
      <c r="A128" s="2853">
        <v>56</v>
      </c>
      <c r="B128" s="3486"/>
      <c r="C128" s="2853" t="s">
        <v>2764</v>
      </c>
      <c r="D128" s="2827" t="s">
        <v>2765</v>
      </c>
      <c r="E128" s="2853">
        <v>0.1</v>
      </c>
      <c r="F128" s="2853">
        <v>15</v>
      </c>
    </row>
    <row r="129" spans="1:6" ht="24">
      <c r="A129" s="2853">
        <v>57</v>
      </c>
      <c r="B129" s="3486"/>
      <c r="C129" s="2853" t="s">
        <v>2766</v>
      </c>
      <c r="D129" s="2827" t="s">
        <v>2767</v>
      </c>
      <c r="E129" s="2853">
        <v>0.1</v>
      </c>
      <c r="F129" s="2853">
        <v>15</v>
      </c>
    </row>
    <row r="130" spans="1:6" ht="24">
      <c r="A130" s="2853">
        <v>58</v>
      </c>
      <c r="B130" s="3486" t="s">
        <v>2768</v>
      </c>
      <c r="C130" s="2853" t="s">
        <v>2769</v>
      </c>
      <c r="D130" s="2827" t="s">
        <v>2770</v>
      </c>
      <c r="E130" s="2853">
        <v>0.1</v>
      </c>
      <c r="F130" s="2853">
        <v>15</v>
      </c>
    </row>
    <row r="131" spans="1:6" ht="13.5">
      <c r="A131" s="2853">
        <v>59</v>
      </c>
      <c r="B131" s="3486"/>
      <c r="C131" s="2853" t="s">
        <v>2771</v>
      </c>
      <c r="D131" s="2827" t="s">
        <v>2772</v>
      </c>
      <c r="E131" s="2853">
        <v>0.1</v>
      </c>
      <c r="F131" s="2853">
        <v>15</v>
      </c>
    </row>
    <row r="132" spans="1:6" ht="13.5">
      <c r="A132" s="2853">
        <v>60</v>
      </c>
      <c r="B132" s="3487" t="s">
        <v>2773</v>
      </c>
      <c r="C132" s="2853" t="s">
        <v>2774</v>
      </c>
      <c r="D132" s="2827" t="s">
        <v>2775</v>
      </c>
      <c r="E132" s="2853">
        <v>0.1</v>
      </c>
      <c r="F132" s="2853">
        <v>15</v>
      </c>
    </row>
    <row r="133" spans="1:6" ht="13.5">
      <c r="A133" s="2853">
        <v>61</v>
      </c>
      <c r="B133" s="3488"/>
      <c r="C133" s="2853" t="s">
        <v>2776</v>
      </c>
      <c r="D133" s="2827" t="s">
        <v>2777</v>
      </c>
      <c r="E133" s="2853">
        <v>0.1</v>
      </c>
      <c r="F133" s="2853">
        <v>15</v>
      </c>
    </row>
    <row r="134" spans="1:6" ht="24">
      <c r="A134" s="2853">
        <v>62</v>
      </c>
      <c r="B134" s="2853" t="s">
        <v>2778</v>
      </c>
      <c r="C134" s="2853" t="s">
        <v>2779</v>
      </c>
      <c r="D134" s="2827" t="s">
        <v>2780</v>
      </c>
      <c r="E134" s="2853">
        <v>0.1</v>
      </c>
      <c r="F134" s="2853">
        <v>15</v>
      </c>
    </row>
    <row r="135" spans="1:6" ht="13.5">
      <c r="A135" s="2853">
        <v>63</v>
      </c>
      <c r="B135" s="3486" t="s">
        <v>2781</v>
      </c>
      <c r="C135" s="2853" t="s">
        <v>2782</v>
      </c>
      <c r="D135" s="2827" t="s">
        <v>2783</v>
      </c>
      <c r="E135" s="2853">
        <v>0.1</v>
      </c>
      <c r="F135" s="2853">
        <v>15</v>
      </c>
    </row>
    <row r="136" spans="1:6" ht="13.5">
      <c r="A136" s="2853">
        <v>64</v>
      </c>
      <c r="B136" s="3486"/>
      <c r="C136" s="2853" t="s">
        <v>2784</v>
      </c>
      <c r="D136" s="2827" t="s">
        <v>2785</v>
      </c>
      <c r="E136" s="2853">
        <v>0.1</v>
      </c>
      <c r="F136" s="2853">
        <v>15</v>
      </c>
    </row>
    <row r="137" spans="1:6" ht="13.5">
      <c r="A137" s="2853">
        <v>65</v>
      </c>
      <c r="B137" s="2853" t="s">
        <v>2786</v>
      </c>
      <c r="C137" s="2853" t="s">
        <v>2787</v>
      </c>
      <c r="D137" s="2827" t="s">
        <v>2788</v>
      </c>
      <c r="E137" s="2853">
        <v>0.1</v>
      </c>
      <c r="F137" s="2853">
        <v>15</v>
      </c>
    </row>
    <row r="138" spans="1:6" ht="13.5">
      <c r="A138" s="2853"/>
      <c r="B138" s="2853"/>
      <c r="C138" s="2853"/>
      <c r="D138" s="2853"/>
      <c r="E138" s="2853" t="s">
        <v>2789</v>
      </c>
      <c r="F138" s="2853"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9.5" thickBot="1">
      <c r="A4" s="1390"/>
      <c r="B4" s="3185" t="s">
        <v>917</v>
      </c>
      <c r="C4" s="3185"/>
      <c r="D4" s="3185"/>
      <c r="E4" s="1390"/>
    </row>
    <row r="5" spans="1:5" ht="16.5" thickTop="1">
      <c r="B5" s="3183" t="s">
        <v>909</v>
      </c>
      <c r="C5" s="1391" t="s">
        <v>910</v>
      </c>
      <c r="D5" s="796">
        <f ca="1">结果表!H101</f>
        <v>2386</v>
      </c>
    </row>
    <row r="6" spans="1:5" ht="15.75">
      <c r="B6" s="3183"/>
      <c r="C6" s="1391" t="s">
        <v>911</v>
      </c>
      <c r="D6" s="796" t="str">
        <f ca="1">NUMBERSTRING(INT(D5*10000),2)&amp;"元整"</f>
        <v>贰仟叁佰捌拾陆万元整</v>
      </c>
    </row>
    <row r="7" spans="1:5" ht="15.75">
      <c r="B7" s="3188"/>
      <c r="C7" s="1392" t="s">
        <v>912</v>
      </c>
      <c r="D7" s="797">
        <f ca="1">结果表!H102</f>
        <v>10016</v>
      </c>
    </row>
    <row r="8" spans="1:5" ht="15.75">
      <c r="B8" s="3189" t="str">
        <f>结果表!E103</f>
        <v>2.估价师知悉的法定优先受偿款</v>
      </c>
      <c r="C8" s="1393" t="s">
        <v>913</v>
      </c>
      <c r="D8" s="797">
        <f>结果表!H103</f>
        <v>0</v>
      </c>
    </row>
    <row r="9" spans="1:5" ht="15.75">
      <c r="B9" s="3191"/>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2" t="str">
        <f>结果表!E107</f>
        <v>3.房地产抵押价值</v>
      </c>
      <c r="C13" s="1396" t="s">
        <v>910</v>
      </c>
      <c r="D13" s="799">
        <f ca="1">结果表!H107</f>
        <v>2386</v>
      </c>
    </row>
    <row r="14" spans="1:5" ht="15.75">
      <c r="B14" s="3183"/>
      <c r="C14" s="1391" t="s">
        <v>911</v>
      </c>
      <c r="D14" s="796" t="str">
        <f ca="1">NUMBERSTRING(INT(D13*10000),2)&amp;"元整"</f>
        <v>贰仟叁佰捌拾陆万元整</v>
      </c>
    </row>
    <row r="15" spans="1:5" ht="15">
      <c r="B15" s="3188"/>
      <c r="C15" s="1392" t="s">
        <v>921</v>
      </c>
      <c r="D15" s="805">
        <f ca="1">结果表!H108</f>
        <v>10016</v>
      </c>
    </row>
    <row r="16" spans="1:5" ht="15">
      <c r="B16" s="3189" t="str">
        <f>结果表!E109</f>
        <v>——</v>
      </c>
      <c r="C16" s="1396" t="s">
        <v>922</v>
      </c>
      <c r="D16" s="1397" t="str">
        <f>结果表!H109</f>
        <v>——</v>
      </c>
    </row>
    <row r="17" spans="1:5" ht="15.75">
      <c r="B17" s="3190"/>
      <c r="C17" s="1391" t="s">
        <v>923</v>
      </c>
      <c r="D17" s="796" t="e">
        <f>NUMBERSTRING(INT(D16*10000),2)&amp;"元整"</f>
        <v>#VALUE!</v>
      </c>
    </row>
    <row r="18" spans="1:5" ht="15">
      <c r="B18" s="3191"/>
      <c r="C18" s="1392" t="s">
        <v>912</v>
      </c>
      <c r="D18" s="805" t="str">
        <f>结果表!H110</f>
        <v>——</v>
      </c>
    </row>
    <row r="19" spans="1:5" ht="15.75">
      <c r="B19" s="3182" t="str">
        <f>结果表!E111</f>
        <v>——</v>
      </c>
      <c r="C19" s="1396" t="s">
        <v>910</v>
      </c>
      <c r="D19" s="797" t="str">
        <f>结果表!H111</f>
        <v>——</v>
      </c>
    </row>
    <row r="20" spans="1:5" ht="15.75">
      <c r="B20" s="3183"/>
      <c r="C20" s="1391" t="s">
        <v>923</v>
      </c>
      <c r="D20" s="796" t="e">
        <f>NUMBERSTRING(INT(D19*10000),2)&amp;"元整"</f>
        <v>#VALUE!</v>
      </c>
    </row>
    <row r="21" spans="1:5" ht="15.75" thickBot="1">
      <c r="B21" s="3184"/>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topLeftCell="A259" zoomScaleNormal="100" workbookViewId="0">
      <selection activeCell="H284" sqref="H284"/>
    </sheetView>
  </sheetViews>
  <sheetFormatPr defaultColWidth="9" defaultRowHeight="13.5"/>
  <cols>
    <col min="1" max="9" width="9" style="2875"/>
    <col min="10" max="10" width="9" style="3171"/>
    <col min="11" max="13" width="9" style="2875"/>
  </cols>
  <sheetData>
    <row r="1" spans="1:20" ht="15" thickBot="1">
      <c r="A1" s="2861" t="s">
        <v>2790</v>
      </c>
      <c r="B1" s="2861"/>
      <c r="C1" s="2861"/>
      <c r="D1" s="2861"/>
      <c r="E1" s="2861"/>
      <c r="F1" s="2861"/>
      <c r="G1" s="2861"/>
      <c r="H1" s="2861"/>
      <c r="I1" s="2861"/>
      <c r="J1" s="3167"/>
      <c r="K1" s="2861"/>
      <c r="L1" s="2861"/>
      <c r="M1" s="2861"/>
      <c r="N1" s="706"/>
    </row>
    <row r="2" spans="1:20">
      <c r="A2" s="2862" t="s">
        <v>2791</v>
      </c>
      <c r="B2" s="2863" t="s">
        <v>2587</v>
      </c>
      <c r="C2" s="2863" t="s">
        <v>2588</v>
      </c>
      <c r="D2" s="2863" t="s">
        <v>2589</v>
      </c>
      <c r="E2" s="2863" t="s">
        <v>2590</v>
      </c>
      <c r="F2" s="2863" t="s">
        <v>2591</v>
      </c>
      <c r="G2" s="2863" t="s">
        <v>2592</v>
      </c>
      <c r="H2" s="2864" t="s">
        <v>2593</v>
      </c>
      <c r="I2" s="2864" t="s">
        <v>2594</v>
      </c>
      <c r="J2" s="3168" t="s">
        <v>2595</v>
      </c>
      <c r="K2" s="2865" t="s">
        <v>2596</v>
      </c>
      <c r="L2" s="2865" t="s">
        <v>2597</v>
      </c>
      <c r="M2" s="2866" t="s">
        <v>2598</v>
      </c>
      <c r="Q2" s="2876" t="s">
        <v>2796</v>
      </c>
      <c r="R2" s="2876" t="s">
        <v>2797</v>
      </c>
      <c r="S2" s="2876" t="s">
        <v>2798</v>
      </c>
      <c r="T2" s="2876" t="s">
        <v>2799</v>
      </c>
    </row>
    <row r="3" spans="1:20">
      <c r="A3" s="2867">
        <v>1</v>
      </c>
      <c r="B3" s="2868">
        <v>1.2574000000000001</v>
      </c>
      <c r="C3" s="2868">
        <v>1.2574000000000001</v>
      </c>
      <c r="D3" s="2868">
        <v>1.2299</v>
      </c>
      <c r="E3" s="2868">
        <v>1.2299</v>
      </c>
      <c r="F3" s="2868">
        <v>1.2299</v>
      </c>
      <c r="G3" s="2868">
        <v>1.2299</v>
      </c>
      <c r="H3" s="2868">
        <v>1.2299</v>
      </c>
      <c r="I3" s="2868">
        <v>1.2333000000000001</v>
      </c>
      <c r="J3" s="3166">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3166">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3166">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3166">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3166">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3166">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3166">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3166">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3166">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3166">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3166">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3166">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3166">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3166">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3166">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3166">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3166">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3166">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3166">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3166">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3166">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3166">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3166">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3166">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3166">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3166">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3166">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3166">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3166">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3166">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3166">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3166">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3166">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3166">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3166">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3166">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3166">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3166">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3166">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3166">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3166">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3166">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3166">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3166">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3166">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3166">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3166">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3166">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3166">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3166">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3166">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3166">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3166">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3166">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3166">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3166">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3166">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3166">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3166">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3166">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3166">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3166">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3166">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3166">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3166">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3166">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3166">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3166">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3166">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3166">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3166">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3166">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3166">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3166">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3166">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3166">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3166">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3166">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3166">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3166">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3166">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3166">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3166">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3166">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3166">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3166">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3166">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3166">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3166">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3169">
        <v>0.67049999999999998</v>
      </c>
      <c r="K92" s="2872">
        <v>0.67049999999999998</v>
      </c>
      <c r="L92" s="2872">
        <v>0.67049999999999998</v>
      </c>
      <c r="M92" s="2873">
        <v>0.67049999999999998</v>
      </c>
    </row>
    <row r="93" spans="1:20" ht="15" thickBot="1">
      <c r="A93" s="2861" t="s">
        <v>2792</v>
      </c>
      <c r="B93" s="2861"/>
      <c r="C93" s="2861"/>
      <c r="D93" s="2861"/>
      <c r="E93" s="2861"/>
      <c r="F93" s="2861"/>
      <c r="G93" s="2861"/>
      <c r="H93" s="2861"/>
      <c r="I93" s="2861"/>
      <c r="J93" s="3167"/>
      <c r="K93" s="2861"/>
      <c r="L93" s="2861"/>
      <c r="M93" s="2861"/>
    </row>
    <row r="94" spans="1:20">
      <c r="A94" s="2862" t="s">
        <v>2791</v>
      </c>
      <c r="B94" s="2863" t="s">
        <v>2587</v>
      </c>
      <c r="C94" s="2863" t="s">
        <v>2588</v>
      </c>
      <c r="D94" s="2863" t="s">
        <v>2589</v>
      </c>
      <c r="E94" s="2863" t="s">
        <v>2590</v>
      </c>
      <c r="F94" s="2863" t="s">
        <v>2591</v>
      </c>
      <c r="G94" s="2863" t="s">
        <v>2592</v>
      </c>
      <c r="H94" s="2864" t="s">
        <v>2593</v>
      </c>
      <c r="I94" s="2864" t="s">
        <v>2594</v>
      </c>
      <c r="J94" s="3168" t="s">
        <v>2595</v>
      </c>
      <c r="K94" s="2865" t="s">
        <v>2596</v>
      </c>
      <c r="L94" s="2865" t="s">
        <v>2597</v>
      </c>
      <c r="M94" s="2866" t="s">
        <v>2598</v>
      </c>
      <c r="N94">
        <f>SUMPRODUCT((A95:A184=ROUNDDOWN(基准地价修正!G3,1))*(B94:M94=基准地价修正!G2)*(B95:M184))</f>
        <v>1.2302</v>
      </c>
      <c r="Q94" s="2876" t="s">
        <v>2796</v>
      </c>
      <c r="R94" s="2876" t="s">
        <v>2797</v>
      </c>
      <c r="S94" s="2876" t="s">
        <v>2798</v>
      </c>
      <c r="T94" s="2876" t="s">
        <v>2799</v>
      </c>
    </row>
    <row r="95" spans="1:20">
      <c r="A95" s="2867">
        <v>1</v>
      </c>
      <c r="B95" s="2868">
        <v>1.2501</v>
      </c>
      <c r="C95" s="2868">
        <v>1.2501</v>
      </c>
      <c r="D95" s="2868">
        <v>1.2158</v>
      </c>
      <c r="E95" s="2868">
        <v>1.2158</v>
      </c>
      <c r="F95" s="2868">
        <v>1.2158</v>
      </c>
      <c r="G95" s="2868">
        <v>1.2158</v>
      </c>
      <c r="H95" s="2868">
        <v>1.2158</v>
      </c>
      <c r="I95" s="2868">
        <v>1.2302</v>
      </c>
      <c r="J95" s="3166">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3166">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3166">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3166">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3166">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3166">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3166">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3166">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3166">
        <v>1.0359</v>
      </c>
      <c r="K103" s="2868">
        <v>1.0359</v>
      </c>
      <c r="L103" s="2868">
        <v>1.0359</v>
      </c>
      <c r="M103" s="2869">
        <v>1.0359</v>
      </c>
      <c r="N103" s="706"/>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3166">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3166">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3166">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3166">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3166">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3166">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3166">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3166">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3166">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3166">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3166">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3166">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3166">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3166">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3166">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3166">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3166">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3166">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3166">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3166">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3166">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3166">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3166">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3166">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3166">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3166">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3166">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3166">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3166">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3166">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3166">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3166">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3166">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3166">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3166">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3166">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3166">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3166">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3166">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3166">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3166">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3166">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3166">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3166">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3166">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3166">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3166">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3166">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3166">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3166">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3166">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3166">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3166">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3166">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3166">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3166">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3166">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3166">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3166">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3166">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3166">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3166">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3166">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3166">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3166">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3166">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3166">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3166">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3166">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3166">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3166">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3166">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3166">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3166">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3166">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3166">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3166">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3166">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3166">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3166">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3169">
        <v>0.65790000000000004</v>
      </c>
      <c r="K184" s="2872">
        <v>0.65790000000000004</v>
      </c>
      <c r="L184" s="2872">
        <v>0.65790000000000004</v>
      </c>
      <c r="M184" s="2873">
        <v>0.65790000000000004</v>
      </c>
    </row>
    <row r="185" spans="1:20" ht="15" thickBot="1">
      <c r="A185" s="2861" t="s">
        <v>2793</v>
      </c>
      <c r="B185" s="2861"/>
      <c r="C185" s="2861"/>
      <c r="D185" s="2861"/>
      <c r="E185" s="2861"/>
      <c r="F185" s="2861"/>
      <c r="G185" s="2861"/>
      <c r="H185" s="2861"/>
      <c r="I185" s="2861"/>
      <c r="J185" s="3167"/>
      <c r="K185" s="2861"/>
      <c r="L185" s="2861"/>
      <c r="M185" s="2861"/>
    </row>
    <row r="186" spans="1:20">
      <c r="A186" s="2862" t="s">
        <v>2791</v>
      </c>
      <c r="B186" s="2863" t="s">
        <v>2587</v>
      </c>
      <c r="C186" s="2863" t="s">
        <v>2588</v>
      </c>
      <c r="D186" s="2863" t="s">
        <v>2589</v>
      </c>
      <c r="E186" s="2863" t="s">
        <v>2590</v>
      </c>
      <c r="F186" s="2863" t="s">
        <v>2591</v>
      </c>
      <c r="G186" s="2863" t="s">
        <v>2592</v>
      </c>
      <c r="H186" s="2864" t="s">
        <v>2593</v>
      </c>
      <c r="I186" s="2864" t="s">
        <v>2594</v>
      </c>
      <c r="J186" s="3168" t="s">
        <v>2595</v>
      </c>
      <c r="K186" s="2865" t="s">
        <v>2596</v>
      </c>
      <c r="L186" s="2865" t="s">
        <v>2597</v>
      </c>
      <c r="M186" s="2866" t="s">
        <v>2598</v>
      </c>
      <c r="Q186" s="2876" t="s">
        <v>2796</v>
      </c>
      <c r="R186" s="2876" t="s">
        <v>2797</v>
      </c>
      <c r="S186" s="2876" t="s">
        <v>2798</v>
      </c>
      <c r="T186" s="2876" t="s">
        <v>2799</v>
      </c>
    </row>
    <row r="187" spans="1:20">
      <c r="A187" s="2867">
        <v>1</v>
      </c>
      <c r="B187" s="2868">
        <v>1.1901999999999999</v>
      </c>
      <c r="C187" s="2868">
        <v>1.1901999999999999</v>
      </c>
      <c r="D187" s="2868">
        <v>1.222</v>
      </c>
      <c r="E187" s="2868">
        <v>1.222</v>
      </c>
      <c r="F187" s="2868">
        <v>1.222</v>
      </c>
      <c r="G187" s="2868">
        <v>1.222</v>
      </c>
      <c r="H187" s="2868">
        <v>1.222</v>
      </c>
      <c r="I187" s="2868">
        <v>1.1054999999999999</v>
      </c>
      <c r="J187" s="3166">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3166">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3166">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3166">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3166">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3166">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3166">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3166">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3166">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3166">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3166">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3166">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3166">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3166">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3166">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3166">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3166">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3166">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3166">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3166">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3166">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3166">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3166">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3166">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3166">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3166">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3166">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3166">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3166">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3166">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3166">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3166">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3166">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3166">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3166">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3166">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3166">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3166">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3166">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3166">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3166">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3166">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3166">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3166">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3166">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3166">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3166">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3166">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3166">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3166">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3166">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3166">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3166">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3166">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3166">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3166">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3166">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3166">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3166">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3166">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3166">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3166">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3166">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3166">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3166">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3166">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3166">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3166">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3166">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3166">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3166">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3166">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3166">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3166">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3166">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3166">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3166">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3166">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3166">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3166">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3166">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3166">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3166">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3166">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3166">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3166">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3166">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3166">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3166">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3169">
        <v>0.61339999999999995</v>
      </c>
      <c r="K276" s="2872">
        <v>0.61339999999999995</v>
      </c>
      <c r="L276" s="2872">
        <v>0.61339999999999995</v>
      </c>
      <c r="M276" s="2873">
        <v>0.61339999999999995</v>
      </c>
    </row>
    <row r="277" spans="1:21" ht="15" thickBot="1">
      <c r="A277" s="2861" t="s">
        <v>2794</v>
      </c>
      <c r="B277" s="2861"/>
      <c r="C277" s="2861"/>
      <c r="D277" s="2861"/>
      <c r="E277" s="2861"/>
      <c r="F277" s="2861"/>
      <c r="G277" s="2861"/>
      <c r="H277" s="2861"/>
      <c r="I277" s="2861"/>
      <c r="J277" s="3167"/>
      <c r="K277" s="2861"/>
      <c r="L277" s="2861"/>
      <c r="M277" s="2861"/>
    </row>
    <row r="278" spans="1:21">
      <c r="A278" s="2862" t="s">
        <v>2791</v>
      </c>
      <c r="B278" s="2863" t="s">
        <v>2587</v>
      </c>
      <c r="C278" s="2863" t="s">
        <v>2588</v>
      </c>
      <c r="D278" s="2863" t="s">
        <v>2589</v>
      </c>
      <c r="E278" s="2863" t="s">
        <v>2590</v>
      </c>
      <c r="F278" s="2863" t="s">
        <v>2591</v>
      </c>
      <c r="G278" s="2863" t="s">
        <v>2592</v>
      </c>
      <c r="H278" s="2864" t="s">
        <v>2593</v>
      </c>
      <c r="I278" s="2864" t="s">
        <v>2594</v>
      </c>
      <c r="J278" s="3168" t="s">
        <v>2595</v>
      </c>
      <c r="K278" s="2865" t="s">
        <v>2596</v>
      </c>
      <c r="L278" s="2865" t="s">
        <v>2597</v>
      </c>
      <c r="M278" s="2866" t="s">
        <v>2598</v>
      </c>
      <c r="Q278" s="2876" t="s">
        <v>2796</v>
      </c>
      <c r="R278" s="2876" t="s">
        <v>2797</v>
      </c>
      <c r="S278" s="2876" t="s">
        <v>2800</v>
      </c>
      <c r="T278" s="2876" t="s">
        <v>2801</v>
      </c>
      <c r="U278" s="2876" t="s">
        <v>2799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3166">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3166">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3166">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3166">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3166">
        <v>0.8841</v>
      </c>
      <c r="K283" s="2868">
        <v>0.8841</v>
      </c>
      <c r="L283" s="2868">
        <v>0.8841</v>
      </c>
      <c r="M283" s="2869">
        <v>0.8841</v>
      </c>
    </row>
    <row r="284" spans="1:21">
      <c r="A284" s="2867">
        <v>1.5</v>
      </c>
      <c r="B284" s="2868">
        <v>1</v>
      </c>
      <c r="C284" s="2868">
        <v>1</v>
      </c>
      <c r="D284" s="2868">
        <v>1</v>
      </c>
      <c r="E284" s="2868">
        <v>1</v>
      </c>
      <c r="F284" s="2868">
        <v>1</v>
      </c>
      <c r="G284" s="2868">
        <v>0.92379999999999995</v>
      </c>
      <c r="H284" s="3166">
        <v>0.92379999999999995</v>
      </c>
      <c r="I284" s="2868">
        <v>0.8589</v>
      </c>
      <c r="J284" s="3166">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3166">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3166">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3166">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3166">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3166">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3166">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3166">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3166">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3166">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3166">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3166">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3166">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3166">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3166">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3166">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3166">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3166">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3166">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3166">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3166">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3166">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3166">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3166">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3166">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3166">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3166">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3166">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3166">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3166">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3166">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3166">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3166">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3166">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3166">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3166">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3166">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3166">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3166">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3166">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3166">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3166">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3166">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3166">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3166">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3166">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3166">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3166">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3166">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3166">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3166">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3166">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3166">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3166">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3166">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3166">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3166">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3166">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3166">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3166">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3166">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3166">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3166">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3166">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3166">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3166">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3166">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3166">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3166">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3166">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3166">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3166">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3166">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3166">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3166">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3166">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3166">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3166">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3166">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3166">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3166">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3166">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3166">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3166">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3169">
        <v>0.40239999999999998</v>
      </c>
      <c r="K368" s="2872">
        <v>0.40239999999999998</v>
      </c>
      <c r="L368" s="2872">
        <v>0.40239999999999998</v>
      </c>
      <c r="M368" s="2873">
        <v>0.40239999999999998</v>
      </c>
    </row>
    <row r="369" spans="1:20" ht="15" thickBot="1">
      <c r="A369" s="2861" t="s">
        <v>2795</v>
      </c>
      <c r="B369" s="2874"/>
      <c r="C369" s="2874"/>
      <c r="D369" s="2874"/>
      <c r="E369" s="2874"/>
      <c r="F369" s="2874"/>
      <c r="G369" s="2874"/>
      <c r="H369" s="2874"/>
      <c r="I369" s="2874"/>
      <c r="J369" s="3170"/>
      <c r="K369" s="2874"/>
      <c r="L369" s="2874"/>
      <c r="M369" s="2874"/>
    </row>
    <row r="370" spans="1:20">
      <c r="A370" s="2862" t="s">
        <v>2791</v>
      </c>
      <c r="B370" s="2863" t="s">
        <v>2587</v>
      </c>
      <c r="C370" s="2863" t="s">
        <v>2588</v>
      </c>
      <c r="D370" s="2863" t="s">
        <v>2589</v>
      </c>
      <c r="E370" s="2863" t="s">
        <v>2590</v>
      </c>
      <c r="F370" s="2863" t="s">
        <v>2591</v>
      </c>
      <c r="G370" s="2863" t="s">
        <v>2592</v>
      </c>
      <c r="H370" s="2864" t="s">
        <v>2593</v>
      </c>
      <c r="I370" s="2864" t="s">
        <v>2594</v>
      </c>
      <c r="J370" s="3168" t="s">
        <v>2595</v>
      </c>
      <c r="K370" s="2865" t="s">
        <v>2596</v>
      </c>
      <c r="L370" s="2865" t="s">
        <v>2597</v>
      </c>
      <c r="M370" s="2866" t="s">
        <v>2598</v>
      </c>
      <c r="N370">
        <f>SUMPRODUCT((A371:A460=ROUNDDOWN(基准地价修正!G3,1))*(B370:M370=基准地价修正!G2)*(B371:M460))</f>
        <v>1.1198999999999999</v>
      </c>
      <c r="Q370" s="2876" t="s">
        <v>2796</v>
      </c>
      <c r="R370" s="2876" t="s">
        <v>2797</v>
      </c>
      <c r="S370" s="2876" t="s">
        <v>2798</v>
      </c>
      <c r="T370" s="2876" t="s">
        <v>2799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3166">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3166">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3166">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3166">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3166">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3166">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3166">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3166">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3166">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3166">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3166">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3166">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3166">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3166">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3166">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3166">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3166">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3166">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3166">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3166">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3166">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3166">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3166">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3166">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3166">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3166">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3166">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3166">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3166">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3166">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3166">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3166">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3166">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3166">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3166">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3166">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3166">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3166">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3166">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3166">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3166">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3166">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3166">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3166">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3166">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3166">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3166">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3166">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3166">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3166">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3166">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3166">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3166">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3166">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3166">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3166">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3166">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3166">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3166">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3166">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3166">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3166">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3166">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3166">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3166">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3166">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3166">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3166">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3166">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3166">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3166">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3166">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3166">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3166">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3166">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3166">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3166">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3166">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3166">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3166">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3166">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3166">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3166">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3166">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3166">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3166">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3166">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3166">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3166">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3169">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25194</v>
      </c>
      <c r="C2" s="2" t="s">
        <v>106</v>
      </c>
      <c r="D2" s="191"/>
      <c r="E2" s="191"/>
      <c r="F2" s="191"/>
      <c r="G2" s="191"/>
    </row>
    <row r="3" spans="1:7" s="192" customFormat="1" ht="18" customHeight="1" thickBot="1">
      <c r="A3" s="195" t="s">
        <v>58</v>
      </c>
      <c r="B3" s="196">
        <f ca="1">ROUND(B2*10000/'数据-汇总表'!E3,0)</f>
        <v>105764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29</v>
      </c>
      <c r="D10" s="794">
        <f>'数据-汇总表'!E6</f>
        <v>2382.1000000000004</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43</v>
      </c>
      <c r="D19" s="204">
        <f>'数据-汇总表'!E3</f>
        <v>2382.1000000000004</v>
      </c>
      <c r="E19" s="203">
        <f>'数据-取费表'!B31</f>
        <v>180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646</v>
      </c>
      <c r="D22" s="227">
        <f ca="1">C26</f>
        <v>2.9999999999999997E-4</v>
      </c>
      <c r="E22" s="228" t="s">
        <v>99</v>
      </c>
      <c r="F22" s="229">
        <f ca="1">'数据-取费表'!B40</f>
        <v>3.1E-2</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639</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6</v>
      </c>
      <c r="D25" s="230"/>
      <c r="E25" s="233"/>
      <c r="F25" s="231"/>
      <c r="G25" s="234" t="s">
        <v>83</v>
      </c>
    </row>
    <row r="26" spans="1:7" s="206" customFormat="1">
      <c r="A26" s="733" t="s">
        <v>350</v>
      </c>
      <c r="B26" s="207" t="s">
        <v>422</v>
      </c>
      <c r="C26" s="230">
        <f ca="1">ROUND(IF('数据-取费表'!B22&lt;=1,F21*F22*'数据-取费表'!B23/2,F21*(POWER((1+F22),'数据-取费表'!B23/2)-1)),4)</f>
        <v>2.9999999999999997E-4</v>
      </c>
      <c r="D26" s="230"/>
      <c r="E26" s="233"/>
      <c r="F26" s="231"/>
      <c r="G26" s="235"/>
    </row>
    <row r="27" spans="1:7" s="206" customFormat="1" ht="24.75">
      <c r="A27" s="730" t="s">
        <v>342</v>
      </c>
      <c r="B27" s="236" t="s">
        <v>85</v>
      </c>
      <c r="C27" s="237">
        <f>C28</f>
        <v>1053</v>
      </c>
      <c r="D27" s="227">
        <f>C29</f>
        <v>1E-3</v>
      </c>
      <c r="E27" s="228" t="s">
        <v>99</v>
      </c>
      <c r="F27" s="238">
        <f>'数据-取费表'!Q16</f>
        <v>0.05</v>
      </c>
      <c r="G27" s="239" t="s">
        <v>431</v>
      </c>
    </row>
    <row r="28" spans="1:7" s="206" customFormat="1" ht="13.5" customHeight="1">
      <c r="A28" s="733" t="s">
        <v>349</v>
      </c>
      <c r="B28" s="240" t="s">
        <v>424</v>
      </c>
      <c r="C28" s="241">
        <f>ROUND((C5+C19+C20)*F27*'数据-取费表'!B21/'数据-取费表'!B20,0)</f>
        <v>1053</v>
      </c>
      <c r="D28" s="227"/>
      <c r="E28" s="228"/>
      <c r="F28" s="238"/>
      <c r="G28" s="239"/>
    </row>
    <row r="29" spans="1:7" s="206" customFormat="1" ht="13.5" customHeight="1">
      <c r="A29" s="733" t="s">
        <v>347</v>
      </c>
      <c r="B29" s="240" t="s">
        <v>425</v>
      </c>
      <c r="C29" s="230">
        <f>ROUND(C21*F27*'数据-取费表'!B21/'数据-取费表'!B20,4)</f>
        <v>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24576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643</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48</v>
      </c>
      <c r="D37" s="209">
        <f>'数据-汇总表'!E3</f>
        <v>2382.1000000000004</v>
      </c>
      <c r="E37" s="241">
        <f>'数据-取费表'!B35</f>
        <v>200</v>
      </c>
      <c r="F37" s="251"/>
      <c r="G37" s="253" t="s">
        <v>92</v>
      </c>
    </row>
    <row r="38" spans="1:7" ht="13.5" customHeight="1">
      <c r="A38" s="733" t="s">
        <v>354</v>
      </c>
      <c r="B38" s="207" t="s">
        <v>36</v>
      </c>
      <c r="C38" s="212">
        <f>ROUND(C34*F38,0)</f>
        <v>13</v>
      </c>
      <c r="D38" s="212"/>
      <c r="E38" s="212"/>
      <c r="F38" s="251">
        <f>'数据-取费表'!B36</f>
        <v>0.02</v>
      </c>
      <c r="G38" s="211" t="s">
        <v>90</v>
      </c>
    </row>
    <row r="39" spans="1:7" s="206" customFormat="1" ht="13.5" customHeight="1">
      <c r="A39" s="730" t="s">
        <v>338</v>
      </c>
      <c r="B39" s="202" t="s">
        <v>77</v>
      </c>
      <c r="C39" s="224">
        <f>ROUND(C33*F20,0)</f>
        <v>14</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11</v>
      </c>
      <c r="D41" s="227">
        <f ca="1">C44</f>
        <v>2.9999999999999997E-4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11</v>
      </c>
      <c r="D42" s="230"/>
      <c r="E42" s="230"/>
      <c r="F42" s="231"/>
      <c r="G42" s="3424" t="s">
        <v>94</v>
      </c>
    </row>
    <row r="43" spans="1:7" ht="13.5" customHeight="1">
      <c r="A43" s="733" t="s">
        <v>347</v>
      </c>
      <c r="B43" s="207" t="s">
        <v>426</v>
      </c>
      <c r="C43" s="230">
        <f ca="1">ROUND(IF('数据-取费表'!B22&lt;=1,C39*F22*'数据-取费表'!B21/2,C39*(POWER((1+F22),'数据-取费表'!B21/2)-1)),0)</f>
        <v>0</v>
      </c>
      <c r="D43" s="230"/>
      <c r="E43" s="230"/>
      <c r="F43" s="231"/>
      <c r="G43" s="3425"/>
    </row>
    <row r="44" spans="1:7" ht="13.5" customHeight="1">
      <c r="A44" s="733" t="s">
        <v>348</v>
      </c>
      <c r="B44" s="207" t="s">
        <v>428</v>
      </c>
      <c r="C44" s="230">
        <f ca="1">ROUND(IF('数据-取费表'!B22&lt;=1,C40*F22*'数据-取费表'!B21/2,C40*(POWER((1+F22),'数据-取费表'!B21/2)-1)),4)</f>
        <v>2.9999999999999997E-4</v>
      </c>
      <c r="D44" s="230"/>
      <c r="E44" s="230"/>
      <c r="F44" s="231"/>
      <c r="G44" s="3426"/>
    </row>
    <row r="45" spans="1:7" s="206" customFormat="1" ht="13.5" customHeight="1">
      <c r="A45" s="730" t="s">
        <v>341</v>
      </c>
      <c r="B45" s="236" t="s">
        <v>85</v>
      </c>
      <c r="C45" s="237">
        <f>C46</f>
        <v>37</v>
      </c>
      <c r="D45" s="227">
        <f>C47</f>
        <v>1E-3</v>
      </c>
      <c r="E45" s="228" t="s">
        <v>102</v>
      </c>
      <c r="F45" s="238"/>
      <c r="G45" s="239" t="s">
        <v>434</v>
      </c>
    </row>
    <row r="46" spans="1:7" s="206" customFormat="1" ht="13.5" customHeight="1">
      <c r="A46" s="733" t="s">
        <v>349</v>
      </c>
      <c r="B46" s="240" t="s">
        <v>427</v>
      </c>
      <c r="C46" s="241">
        <f>ROUND((C33+C39)*F27,0)</f>
        <v>37</v>
      </c>
      <c r="D46" s="255"/>
      <c r="E46" s="228"/>
      <c r="F46" s="238"/>
      <c r="G46" s="239"/>
    </row>
    <row r="47" spans="1:7" s="206" customFormat="1" ht="13.5" customHeight="1">
      <c r="A47" s="733" t="s">
        <v>347</v>
      </c>
      <c r="B47" s="240" t="s">
        <v>429</v>
      </c>
      <c r="C47" s="230">
        <f>ROUND(C40*F27,4)</f>
        <v>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847</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618</v>
      </c>
      <c r="D51" s="224"/>
      <c r="E51" s="224"/>
      <c r="F51" s="256"/>
      <c r="G51" s="226" t="s">
        <v>37</v>
      </c>
    </row>
    <row r="52" spans="1:7" s="200" customFormat="1" ht="16.5" thickBot="1">
      <c r="A52" s="257" t="s">
        <v>38</v>
      </c>
      <c r="B52" s="258"/>
      <c r="C52" s="259">
        <f ca="1">C31+C51</f>
        <v>25194</v>
      </c>
      <c r="D52" s="258"/>
      <c r="E52" s="258"/>
      <c r="F52" s="258"/>
      <c r="G52" s="260"/>
    </row>
    <row r="55" spans="1:7" ht="15">
      <c r="B55" s="262" t="s">
        <v>39</v>
      </c>
      <c r="C55" s="263"/>
    </row>
    <row r="56" spans="1:7">
      <c r="B56" s="265" t="s">
        <v>40</v>
      </c>
      <c r="C56" s="266">
        <f ca="1">ROUND(C51/C52,3)</f>
        <v>2.5000000000000001E-2</v>
      </c>
    </row>
    <row r="57" spans="1:7">
      <c r="B57" s="265" t="s">
        <v>41</v>
      </c>
      <c r="C57" s="267">
        <f ca="1">1-C56</f>
        <v>0.97499999999999998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00" t="s">
        <v>2831</v>
      </c>
      <c r="B1" s="3500"/>
      <c r="C1" s="3500"/>
      <c r="D1" s="3500"/>
      <c r="E1" s="3500"/>
      <c r="F1" s="3500"/>
      <c r="G1" s="3501"/>
      <c r="I1" s="2934" t="s">
        <v>2832</v>
      </c>
      <c r="J1" s="2935" t="s">
        <v>2833</v>
      </c>
      <c r="K1" s="2935" t="s">
        <v>2834</v>
      </c>
      <c r="L1" s="2935" t="s">
        <v>2835</v>
      </c>
      <c r="M1" s="2935" t="s">
        <v>2836</v>
      </c>
      <c r="N1" s="2935" t="s">
        <v>2837</v>
      </c>
      <c r="O1" s="2935" t="s">
        <v>2838</v>
      </c>
      <c r="P1" s="2935" t="s">
        <v>2839</v>
      </c>
      <c r="Q1" s="2935" t="s">
        <v>2840</v>
      </c>
      <c r="R1" s="2935" t="s">
        <v>2841</v>
      </c>
      <c r="S1" s="2935" t="s">
        <v>2842</v>
      </c>
      <c r="T1" s="2936" t="s">
        <v>2843</v>
      </c>
    </row>
    <row r="2" spans="1:20" ht="12" thickBot="1">
      <c r="A2" s="2937" t="s">
        <v>2844</v>
      </c>
      <c r="B2" s="2937"/>
      <c r="C2" s="2937"/>
      <c r="D2" s="2937"/>
      <c r="E2" s="2937"/>
      <c r="F2" s="2937"/>
      <c r="G2" s="2938" t="s">
        <v>2845</v>
      </c>
      <c r="I2" s="2939" t="s">
        <v>2846</v>
      </c>
      <c r="J2" s="2939" t="s">
        <v>2847</v>
      </c>
      <c r="K2" s="2939" t="s">
        <v>2848</v>
      </c>
      <c r="L2" s="2939" t="s">
        <v>2849</v>
      </c>
      <c r="M2" s="2939" t="s">
        <v>2850</v>
      </c>
      <c r="N2" s="2939" t="s">
        <v>2851</v>
      </c>
      <c r="O2" s="2939" t="s">
        <v>2852</v>
      </c>
      <c r="P2" s="2939" t="s">
        <v>2853</v>
      </c>
      <c r="Q2" s="2939" t="s">
        <v>2854</v>
      </c>
      <c r="R2" s="2939" t="s">
        <v>2855</v>
      </c>
      <c r="S2" s="2939" t="s">
        <v>2856</v>
      </c>
      <c r="T2" s="2939" t="s">
        <v>2857</v>
      </c>
    </row>
    <row r="3" spans="1:20" s="2945" customFormat="1">
      <c r="A3" s="3498" t="s">
        <v>2858</v>
      </c>
      <c r="B3" s="2940"/>
      <c r="C3" s="2941" t="s">
        <v>2803</v>
      </c>
      <c r="D3" s="2941" t="s">
        <v>2859</v>
      </c>
      <c r="E3" s="2941" t="s">
        <v>2805</v>
      </c>
      <c r="F3" s="2941" t="s">
        <v>2860</v>
      </c>
      <c r="G3" s="2941" t="s">
        <v>2623</v>
      </c>
      <c r="H3" s="2942"/>
      <c r="I3" s="2943" t="s">
        <v>2861</v>
      </c>
      <c r="J3" s="2944" t="s">
        <v>128</v>
      </c>
      <c r="K3" s="2944" t="s">
        <v>129</v>
      </c>
      <c r="L3" s="2943" t="s">
        <v>130</v>
      </c>
      <c r="M3" s="2943" t="s">
        <v>131</v>
      </c>
      <c r="N3" s="2943" t="s">
        <v>132</v>
      </c>
      <c r="O3" s="2943" t="s">
        <v>133</v>
      </c>
      <c r="P3" s="2943" t="s">
        <v>134</v>
      </c>
      <c r="Q3" s="2943" t="s">
        <v>135</v>
      </c>
      <c r="R3" s="2943" t="s">
        <v>136</v>
      </c>
      <c r="S3" s="2943" t="s">
        <v>2862</v>
      </c>
      <c r="T3" s="2943" t="s">
        <v>2863</v>
      </c>
    </row>
    <row r="4" spans="1:20" s="2945" customFormat="1" ht="12" thickBot="1">
      <c r="A4" s="3499"/>
      <c r="B4" s="2946" t="s">
        <v>2864</v>
      </c>
      <c r="C4" s="2946" t="s">
        <v>2865</v>
      </c>
      <c r="D4" s="2946" t="s">
        <v>2865</v>
      </c>
      <c r="E4" s="2946" t="s">
        <v>2865</v>
      </c>
      <c r="F4" s="2947" t="s">
        <v>2865</v>
      </c>
      <c r="G4" s="2947" t="s">
        <v>2865</v>
      </c>
      <c r="H4" s="2942"/>
      <c r="I4" s="2944" t="s">
        <v>137</v>
      </c>
      <c r="J4" s="2944" t="s">
        <v>111</v>
      </c>
      <c r="K4" s="2944" t="s">
        <v>138</v>
      </c>
      <c r="L4" s="2943" t="s">
        <v>139</v>
      </c>
      <c r="M4" s="2943" t="s">
        <v>140</v>
      </c>
      <c r="N4" s="2943" t="s">
        <v>141</v>
      </c>
      <c r="O4" s="2943" t="s">
        <v>142</v>
      </c>
      <c r="P4" s="2943" t="s">
        <v>143</v>
      </c>
      <c r="Q4" s="2943" t="s">
        <v>2866</v>
      </c>
      <c r="R4" s="2943" t="s">
        <v>2867</v>
      </c>
      <c r="S4" s="2943" t="s">
        <v>2868</v>
      </c>
      <c r="T4" s="2943" t="s">
        <v>2869</v>
      </c>
    </row>
    <row r="5" spans="1:20">
      <c r="A5" s="2948" t="s">
        <v>2832</v>
      </c>
      <c r="B5" s="2939" t="s">
        <v>2846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2870</v>
      </c>
      <c r="R5" s="2943" t="s">
        <v>2871</v>
      </c>
      <c r="S5" s="2943" t="s">
        <v>153</v>
      </c>
      <c r="T5" s="2943" t="s">
        <v>2872</v>
      </c>
    </row>
    <row r="6" spans="1:20" ht="12" thickBot="1">
      <c r="A6" s="2943" t="s">
        <v>144</v>
      </c>
      <c r="B6" s="2943" t="s">
        <v>2861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2873</v>
      </c>
      <c r="Q6" s="2943" t="s">
        <v>2874</v>
      </c>
      <c r="R6" s="2943" t="s">
        <v>161</v>
      </c>
      <c r="S6" s="2943" t="s">
        <v>2875</v>
      </c>
      <c r="T6" s="2943" t="s">
        <v>2876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2877</v>
      </c>
      <c r="Q7" s="2943" t="s">
        <v>2878</v>
      </c>
      <c r="R7" s="2943" t="s">
        <v>2879</v>
      </c>
      <c r="S7" s="2943" t="s">
        <v>2880</v>
      </c>
      <c r="T7" s="2943" t="s">
        <v>2881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2882</v>
      </c>
      <c r="Q8" s="2943" t="s">
        <v>174</v>
      </c>
      <c r="R8" s="2943" t="s">
        <v>2883</v>
      </c>
      <c r="S8" s="2943" t="s">
        <v>2884</v>
      </c>
      <c r="T8" s="2950" t="s">
        <v>2885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2886</v>
      </c>
      <c r="Q9" s="2943" t="s">
        <v>182</v>
      </c>
      <c r="R9" s="2943" t="s">
        <v>183</v>
      </c>
      <c r="S9" s="2943" t="s">
        <v>200</v>
      </c>
    </row>
    <row r="10" spans="1:20">
      <c r="A10" s="2948" t="s">
        <v>184</v>
      </c>
      <c r="B10" s="2939" t="s">
        <v>2847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2888</v>
      </c>
      <c r="P11" s="2943" t="s">
        <v>191</v>
      </c>
      <c r="Q11" s="2943" t="s">
        <v>199</v>
      </c>
      <c r="R11" s="2943" t="s">
        <v>2889</v>
      </c>
      <c r="S11" s="2943" t="s">
        <v>2890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2891</v>
      </c>
      <c r="P12" s="2943" t="s">
        <v>2892</v>
      </c>
      <c r="Q12" s="2943" t="s">
        <v>2893</v>
      </c>
      <c r="R12" s="2943" t="s">
        <v>2894</v>
      </c>
      <c r="S12" s="2943" t="s">
        <v>2895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2897</v>
      </c>
      <c r="K14" s="2944" t="s">
        <v>215</v>
      </c>
      <c r="L14" s="2943" t="s">
        <v>216</v>
      </c>
      <c r="M14" s="2943" t="s">
        <v>217</v>
      </c>
      <c r="N14" s="2943" t="s">
        <v>218</v>
      </c>
      <c r="O14" s="2943" t="s">
        <v>240</v>
      </c>
      <c r="P14" s="2943" t="s">
        <v>213</v>
      </c>
      <c r="Q14" s="2943" t="s">
        <v>2898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2899</v>
      </c>
      <c r="P15" s="2943" t="s">
        <v>2900</v>
      </c>
      <c r="Q15" s="2943" t="s">
        <v>242</v>
      </c>
      <c r="R15" s="2943" t="s">
        <v>2901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2902</v>
      </c>
      <c r="P16" s="2943" t="s">
        <v>227</v>
      </c>
      <c r="Q16" s="2943" t="s">
        <v>250</v>
      </c>
      <c r="R16" s="2943" t="s">
        <v>207</v>
      </c>
      <c r="S16" s="2943" t="s">
        <v>2903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2904</v>
      </c>
      <c r="P17" s="2943" t="s">
        <v>2905</v>
      </c>
      <c r="Q17" s="2943" t="s">
        <v>256</v>
      </c>
      <c r="R17" s="2943" t="s">
        <v>2906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2907</v>
      </c>
      <c r="P18" s="2943" t="s">
        <v>241</v>
      </c>
      <c r="Q18" s="2943" t="s">
        <v>2908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2909</v>
      </c>
      <c r="P19" s="2943" t="s">
        <v>249</v>
      </c>
      <c r="Q19" s="2943" t="s">
        <v>2910</v>
      </c>
      <c r="R19" s="2943" t="s">
        <v>265</v>
      </c>
      <c r="S19" s="2943" t="s">
        <v>2911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2912</v>
      </c>
      <c r="P20" s="2943" t="s">
        <v>2913</v>
      </c>
      <c r="Q20" s="2943" t="s">
        <v>290</v>
      </c>
      <c r="R20" s="2943" t="s">
        <v>2914</v>
      </c>
      <c r="S20" s="2943" t="s">
        <v>277</v>
      </c>
    </row>
    <row r="21" spans="1:19" ht="14.25" customHeight="1" thickBot="1">
      <c r="A21" s="2943" t="s">
        <v>184</v>
      </c>
      <c r="B21" s="2944" t="s">
        <v>208</v>
      </c>
      <c r="C21" s="2943">
        <v>32370</v>
      </c>
      <c r="D21" s="2943">
        <v>26730</v>
      </c>
      <c r="E21" s="2943">
        <v>26640</v>
      </c>
      <c r="F21" s="2943"/>
      <c r="G21" s="2943">
        <v>19440</v>
      </c>
      <c r="J21" s="2950" t="s">
        <v>2915</v>
      </c>
      <c r="K21" s="2944" t="s">
        <v>267</v>
      </c>
      <c r="L21" s="2943" t="s">
        <v>268</v>
      </c>
      <c r="M21" s="2943" t="s">
        <v>269</v>
      </c>
      <c r="N21" s="2943" t="s">
        <v>270</v>
      </c>
      <c r="O21" s="2943" t="s">
        <v>264</v>
      </c>
      <c r="P21" s="2943" t="s">
        <v>283</v>
      </c>
      <c r="Q21" s="2943" t="s">
        <v>293</v>
      </c>
      <c r="R21" s="2943" t="s">
        <v>2916</v>
      </c>
      <c r="S21" s="2950" t="s">
        <v>2917</v>
      </c>
    </row>
    <row r="22" spans="1:19" ht="14.25" customHeight="1">
      <c r="A22" s="2943" t="s">
        <v>184</v>
      </c>
      <c r="B22" s="2944" t="s">
        <v>2897</v>
      </c>
      <c r="C22" s="2943">
        <v>29830</v>
      </c>
      <c r="D22" s="2943">
        <v>27600</v>
      </c>
      <c r="E22" s="2943">
        <v>28150</v>
      </c>
      <c r="F22" s="2943"/>
      <c r="G22" s="2943">
        <v>20080</v>
      </c>
      <c r="K22" s="2944" t="s">
        <v>2918</v>
      </c>
      <c r="L22" s="2943" t="s">
        <v>272</v>
      </c>
      <c r="M22" s="2943" t="s">
        <v>273</v>
      </c>
      <c r="N22" s="2943" t="s">
        <v>274</v>
      </c>
      <c r="O22" s="2943" t="s">
        <v>2919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2920</v>
      </c>
      <c r="L23" s="2943" t="s">
        <v>278</v>
      </c>
      <c r="M23" s="2943" t="s">
        <v>279</v>
      </c>
      <c r="N23" s="2943" t="s">
        <v>2921</v>
      </c>
      <c r="O23" s="2943" t="s">
        <v>2922</v>
      </c>
      <c r="P23" s="2943" t="s">
        <v>289</v>
      </c>
      <c r="Q23" s="2943" t="s">
        <v>298</v>
      </c>
      <c r="R23" s="2943" t="s">
        <v>2923</v>
      </c>
    </row>
    <row r="24" spans="1:19" ht="14.25" customHeight="1">
      <c r="A24" s="2943" t="s">
        <v>184</v>
      </c>
      <c r="B24" s="2944" t="s">
        <v>230</v>
      </c>
      <c r="C24" s="2943">
        <v>27930</v>
      </c>
      <c r="D24" s="2943">
        <v>32260</v>
      </c>
      <c r="E24" s="2943">
        <v>32120</v>
      </c>
      <c r="F24" s="2943"/>
      <c r="G24" s="2943">
        <v>23470</v>
      </c>
      <c r="K24" s="2944" t="s">
        <v>2924</v>
      </c>
      <c r="L24" s="2943" t="s">
        <v>281</v>
      </c>
      <c r="M24" s="2943" t="s">
        <v>282</v>
      </c>
      <c r="N24" s="2943" t="s">
        <v>2925</v>
      </c>
      <c r="O24" s="2943" t="s">
        <v>285</v>
      </c>
      <c r="P24" s="2943" t="s">
        <v>2926</v>
      </c>
      <c r="Q24" s="2952" t="s">
        <v>2927</v>
      </c>
      <c r="R24" s="2943" t="s">
        <v>2928</v>
      </c>
    </row>
    <row r="25" spans="1:19" ht="14.25" customHeight="1">
      <c r="A25" s="2943" t="s">
        <v>184</v>
      </c>
      <c r="B25" s="2944" t="s">
        <v>235</v>
      </c>
      <c r="C25" s="2943">
        <v>32230</v>
      </c>
      <c r="D25" s="2943">
        <v>29640</v>
      </c>
      <c r="E25" s="2943">
        <v>29510</v>
      </c>
      <c r="F25" s="2943"/>
      <c r="G25" s="2943">
        <v>21560</v>
      </c>
      <c r="K25" s="2944" t="s">
        <v>2929</v>
      </c>
      <c r="L25" s="2943" t="s">
        <v>2930</v>
      </c>
      <c r="M25" s="2943" t="s">
        <v>284</v>
      </c>
      <c r="N25" s="2943" t="s">
        <v>292</v>
      </c>
      <c r="O25" s="2943" t="s">
        <v>288</v>
      </c>
      <c r="P25" s="2943" t="s">
        <v>275</v>
      </c>
      <c r="Q25" s="2952" t="s">
        <v>271</v>
      </c>
      <c r="R25" s="2943" t="s">
        <v>2931</v>
      </c>
    </row>
    <row r="26" spans="1:19" ht="14.25" customHeight="1" thickBot="1">
      <c r="A26" s="2943" t="s">
        <v>184</v>
      </c>
      <c r="B26" s="2944" t="s">
        <v>244</v>
      </c>
      <c r="C26" s="2943">
        <v>31690</v>
      </c>
      <c r="D26" s="2943">
        <v>27650</v>
      </c>
      <c r="E26" s="2943">
        <v>28200</v>
      </c>
      <c r="F26" s="2943"/>
      <c r="G26" s="2943">
        <v>20110</v>
      </c>
      <c r="K26" s="2949" t="s">
        <v>2932</v>
      </c>
      <c r="L26" s="2943" t="s">
        <v>2933</v>
      </c>
      <c r="M26" s="2943" t="s">
        <v>287</v>
      </c>
      <c r="N26" s="2943" t="s">
        <v>294</v>
      </c>
      <c r="O26" s="2943" t="s">
        <v>2934</v>
      </c>
      <c r="P26" s="2943" t="s">
        <v>2935</v>
      </c>
      <c r="Q26" s="2952" t="s">
        <v>276</v>
      </c>
      <c r="R26" s="2943" t="s">
        <v>2936</v>
      </c>
    </row>
    <row r="27" spans="1:19" ht="14.25" customHeight="1">
      <c r="A27" s="2943" t="s">
        <v>184</v>
      </c>
      <c r="B27" s="2944" t="s">
        <v>251</v>
      </c>
      <c r="C27" s="2943">
        <v>29610</v>
      </c>
      <c r="D27" s="2943">
        <v>27770</v>
      </c>
      <c r="E27" s="2943">
        <v>28300</v>
      </c>
      <c r="F27" s="2943"/>
      <c r="G27" s="2943">
        <v>20210</v>
      </c>
      <c r="L27" s="2943" t="s">
        <v>2937</v>
      </c>
      <c r="M27" s="2943" t="s">
        <v>291</v>
      </c>
      <c r="N27" s="2943" t="s">
        <v>297</v>
      </c>
      <c r="O27" s="2943" t="s">
        <v>2938</v>
      </c>
      <c r="P27" s="2943" t="s">
        <v>2939</v>
      </c>
      <c r="Q27" s="2943" t="s">
        <v>2940</v>
      </c>
      <c r="R27" s="2943" t="s">
        <v>2941</v>
      </c>
    </row>
    <row r="28" spans="1:19" ht="14.25" customHeight="1">
      <c r="A28" s="2943" t="s">
        <v>184</v>
      </c>
      <c r="B28" s="2944" t="s">
        <v>259</v>
      </c>
      <c r="C28" s="2943"/>
      <c r="D28" s="2943">
        <v>31520</v>
      </c>
      <c r="E28" s="2943">
        <v>31410</v>
      </c>
      <c r="F28" s="2943"/>
      <c r="G28" s="2943">
        <v>22940</v>
      </c>
      <c r="L28" s="2943" t="s">
        <v>2942</v>
      </c>
      <c r="M28" s="2943" t="s">
        <v>2943</v>
      </c>
      <c r="N28" s="2943" t="s">
        <v>2944</v>
      </c>
      <c r="O28" s="2943" t="s">
        <v>2945</v>
      </c>
      <c r="P28" s="2943" t="s">
        <v>2946</v>
      </c>
      <c r="Q28" s="2943" t="s">
        <v>2947</v>
      </c>
      <c r="R28" s="2943" t="s">
        <v>2948</v>
      </c>
    </row>
    <row r="29" spans="1:19" ht="14.25" customHeight="1" thickBot="1">
      <c r="A29" s="2951" t="s">
        <v>184</v>
      </c>
      <c r="B29" s="2953" t="s">
        <v>2915</v>
      </c>
      <c r="C29" s="2954"/>
      <c r="D29" s="2954">
        <v>29460</v>
      </c>
      <c r="E29" s="2954">
        <v>28640</v>
      </c>
      <c r="F29" s="2954"/>
      <c r="G29" s="2954">
        <v>21430</v>
      </c>
      <c r="L29" s="2943" t="s">
        <v>2949</v>
      </c>
      <c r="M29" s="2943" t="s">
        <v>2950</v>
      </c>
      <c r="N29" s="2943" t="s">
        <v>2951</v>
      </c>
      <c r="O29" s="2943" t="s">
        <v>2952</v>
      </c>
      <c r="P29" s="2943" t="s">
        <v>2953</v>
      </c>
      <c r="Q29" s="2943" t="s">
        <v>2954</v>
      </c>
      <c r="R29" s="2943" t="s">
        <v>280</v>
      </c>
    </row>
    <row r="30" spans="1:19" ht="14.25" customHeight="1">
      <c r="A30" s="2948" t="s">
        <v>296</v>
      </c>
      <c r="B30" s="2939" t="s">
        <v>2848</v>
      </c>
      <c r="C30" s="2939">
        <v>26890</v>
      </c>
      <c r="D30" s="2939">
        <v>26770</v>
      </c>
      <c r="E30" s="2939">
        <v>25700</v>
      </c>
      <c r="F30" s="2939">
        <v>8180</v>
      </c>
      <c r="G30" s="2955">
        <v>18740</v>
      </c>
      <c r="L30" s="2943" t="s">
        <v>2955</v>
      </c>
      <c r="M30" s="2943" t="s">
        <v>2956</v>
      </c>
      <c r="N30" s="2943" t="s">
        <v>2957</v>
      </c>
      <c r="O30" s="2943" t="s">
        <v>2958</v>
      </c>
      <c r="P30" s="2943" t="s">
        <v>2959</v>
      </c>
      <c r="Q30" s="2943" t="s">
        <v>2960</v>
      </c>
      <c r="R30" s="2943" t="s">
        <v>2961</v>
      </c>
    </row>
    <row r="31" spans="1:19" ht="14.25" customHeight="1">
      <c r="A31" s="2943" t="s">
        <v>296</v>
      </c>
      <c r="B31" s="2944" t="s">
        <v>129</v>
      </c>
      <c r="C31" s="2943">
        <v>24550</v>
      </c>
      <c r="D31" s="2943">
        <v>23990</v>
      </c>
      <c r="E31" s="2943">
        <v>22930</v>
      </c>
      <c r="F31" s="2943">
        <v>7470</v>
      </c>
      <c r="G31" s="2956">
        <v>16790</v>
      </c>
      <c r="L31" s="2943" t="s">
        <v>2962</v>
      </c>
      <c r="M31" s="2943" t="s">
        <v>2963</v>
      </c>
      <c r="N31" s="2943" t="s">
        <v>2964</v>
      </c>
      <c r="O31" s="2943" t="s">
        <v>2965</v>
      </c>
      <c r="P31" s="2943" t="s">
        <v>2966</v>
      </c>
      <c r="Q31" s="2943" t="s">
        <v>2967</v>
      </c>
      <c r="R31" s="2943" t="s">
        <v>2968</v>
      </c>
    </row>
    <row r="32" spans="1:19" ht="14.25" customHeight="1" thickBot="1">
      <c r="A32" s="2943" t="s">
        <v>296</v>
      </c>
      <c r="B32" s="2944" t="s">
        <v>138</v>
      </c>
      <c r="C32" s="2943">
        <v>27210</v>
      </c>
      <c r="D32" s="2943">
        <v>23240</v>
      </c>
      <c r="E32" s="2943">
        <v>23260</v>
      </c>
      <c r="F32" s="2943">
        <v>7130</v>
      </c>
      <c r="G32" s="2956">
        <v>16270</v>
      </c>
      <c r="L32" s="2943" t="s">
        <v>2969</v>
      </c>
      <c r="M32" s="2943" t="s">
        <v>2970</v>
      </c>
      <c r="N32" s="2943" t="s">
        <v>300</v>
      </c>
      <c r="O32" s="2943" t="s">
        <v>2971</v>
      </c>
      <c r="P32" s="2943" t="s">
        <v>299</v>
      </c>
      <c r="Q32" s="2943" t="s">
        <v>2972</v>
      </c>
      <c r="R32" s="2950" t="s">
        <v>2973</v>
      </c>
    </row>
    <row r="33" spans="1:17" ht="14.25" customHeight="1" thickBot="1">
      <c r="A33" s="2943" t="s">
        <v>296</v>
      </c>
      <c r="B33" s="2944" t="s">
        <v>147</v>
      </c>
      <c r="C33" s="2943">
        <v>27300</v>
      </c>
      <c r="D33" s="2943">
        <v>22980</v>
      </c>
      <c r="E33" s="2943">
        <v>24260</v>
      </c>
      <c r="F33" s="2943">
        <v>5860</v>
      </c>
      <c r="G33" s="2956">
        <v>16090</v>
      </c>
      <c r="L33" s="2950" t="s">
        <v>2974</v>
      </c>
      <c r="M33" s="2943" t="s">
        <v>2975</v>
      </c>
      <c r="N33" s="2943" t="s">
        <v>301</v>
      </c>
      <c r="O33" s="2943" t="s">
        <v>2976</v>
      </c>
      <c r="P33" s="2943" t="s">
        <v>2977</v>
      </c>
      <c r="Q33" s="2943" t="s">
        <v>2978</v>
      </c>
    </row>
    <row r="34" spans="1:17" ht="14.25" customHeight="1">
      <c r="A34" s="2943" t="s">
        <v>296</v>
      </c>
      <c r="B34" s="2944" t="s">
        <v>156</v>
      </c>
      <c r="C34" s="2943">
        <v>23090</v>
      </c>
      <c r="D34" s="2943">
        <v>23390</v>
      </c>
      <c r="E34" s="2943">
        <v>23510</v>
      </c>
      <c r="F34" s="2943">
        <v>6700</v>
      </c>
      <c r="G34" s="2956">
        <v>16370</v>
      </c>
      <c r="M34" s="2943" t="s">
        <v>2979</v>
      </c>
      <c r="N34" s="2943" t="s">
        <v>302</v>
      </c>
      <c r="O34" s="2943" t="s">
        <v>2980</v>
      </c>
      <c r="P34" s="2943" t="s">
        <v>2981</v>
      </c>
      <c r="Q34" s="2943" t="s">
        <v>2982</v>
      </c>
    </row>
    <row r="35" spans="1:17" ht="14.25" customHeight="1">
      <c r="A35" s="2943" t="s">
        <v>296</v>
      </c>
      <c r="B35" s="2944" t="s">
        <v>163</v>
      </c>
      <c r="C35" s="2943">
        <v>27270</v>
      </c>
      <c r="D35" s="2943">
        <v>24270</v>
      </c>
      <c r="E35" s="2943">
        <v>24950</v>
      </c>
      <c r="F35" s="2943">
        <v>6600</v>
      </c>
      <c r="G35" s="2956">
        <v>16990</v>
      </c>
      <c r="M35" s="2943" t="s">
        <v>2983</v>
      </c>
      <c r="N35" s="2943" t="s">
        <v>2984</v>
      </c>
      <c r="O35" s="2943" t="s">
        <v>2985</v>
      </c>
      <c r="P35" s="2943" t="s">
        <v>2986</v>
      </c>
      <c r="Q35" s="2943" t="s">
        <v>2987</v>
      </c>
    </row>
    <row r="36" spans="1:17" ht="14.25" customHeight="1">
      <c r="A36" s="2943" t="s">
        <v>296</v>
      </c>
      <c r="B36" s="2944" t="s">
        <v>169</v>
      </c>
      <c r="C36" s="2943">
        <v>23490</v>
      </c>
      <c r="D36" s="2943">
        <v>23020</v>
      </c>
      <c r="E36" s="2943">
        <v>25230</v>
      </c>
      <c r="F36" s="2943">
        <v>6780</v>
      </c>
      <c r="G36" s="2956">
        <v>16120</v>
      </c>
      <c r="M36" s="2943" t="s">
        <v>2988</v>
      </c>
      <c r="N36" s="2943" t="s">
        <v>2989</v>
      </c>
      <c r="O36" s="2943" t="s">
        <v>2990</v>
      </c>
      <c r="P36" s="2943" t="s">
        <v>2991</v>
      </c>
      <c r="Q36" s="2943" t="s">
        <v>2992</v>
      </c>
    </row>
    <row r="37" spans="1:17" ht="14.25" customHeight="1">
      <c r="A37" s="2943" t="s">
        <v>296</v>
      </c>
      <c r="B37" s="2944" t="s">
        <v>176</v>
      </c>
      <c r="C37" s="2943">
        <v>24380</v>
      </c>
      <c r="D37" s="2943">
        <v>22240</v>
      </c>
      <c r="E37" s="2943">
        <v>25980</v>
      </c>
      <c r="F37" s="2943">
        <v>8160</v>
      </c>
      <c r="G37" s="2956">
        <v>15570</v>
      </c>
      <c r="M37" s="2943" t="s">
        <v>2993</v>
      </c>
      <c r="N37" s="2943" t="s">
        <v>2994</v>
      </c>
      <c r="O37" s="2943" t="s">
        <v>2995</v>
      </c>
      <c r="P37" s="2943" t="s">
        <v>2996</v>
      </c>
      <c r="Q37" s="2943" t="s">
        <v>2997</v>
      </c>
    </row>
    <row r="38" spans="1:17" ht="14.25" customHeight="1">
      <c r="A38" s="2943" t="s">
        <v>296</v>
      </c>
      <c r="B38" s="2944" t="s">
        <v>186</v>
      </c>
      <c r="C38" s="2943">
        <v>23120</v>
      </c>
      <c r="D38" s="2943">
        <v>24630</v>
      </c>
      <c r="E38" s="2943">
        <v>25030</v>
      </c>
      <c r="F38" s="2943">
        <v>7710</v>
      </c>
      <c r="G38" s="2956">
        <v>17240</v>
      </c>
      <c r="M38" s="2943" t="s">
        <v>2998</v>
      </c>
      <c r="N38" s="2943" t="s">
        <v>2999</v>
      </c>
      <c r="O38" s="2943" t="s">
        <v>3000</v>
      </c>
      <c r="P38" s="2943" t="s">
        <v>3001</v>
      </c>
      <c r="Q38" s="2943" t="s">
        <v>3002</v>
      </c>
    </row>
    <row r="39" spans="1:17" ht="14.25" customHeight="1">
      <c r="A39" s="2943" t="s">
        <v>296</v>
      </c>
      <c r="B39" s="2944" t="s">
        <v>195</v>
      </c>
      <c r="C39" s="2943">
        <v>22330</v>
      </c>
      <c r="D39" s="2943">
        <v>21140</v>
      </c>
      <c r="E39" s="2943">
        <v>23970</v>
      </c>
      <c r="F39" s="2943">
        <v>7940</v>
      </c>
      <c r="G39" s="2956">
        <v>14790</v>
      </c>
      <c r="M39" s="2943" t="s">
        <v>3003</v>
      </c>
      <c r="N39" s="2943" t="s">
        <v>3004</v>
      </c>
      <c r="O39" s="2943" t="s">
        <v>3005</v>
      </c>
      <c r="P39" s="2943" t="s">
        <v>3006</v>
      </c>
      <c r="Q39" s="2943" t="s">
        <v>3007</v>
      </c>
    </row>
    <row r="40" spans="1:17" ht="14.25" customHeight="1">
      <c r="A40" s="2943" t="s">
        <v>296</v>
      </c>
      <c r="B40" s="2944" t="s">
        <v>202</v>
      </c>
      <c r="C40" s="2943">
        <v>24740</v>
      </c>
      <c r="D40" s="2943">
        <v>24690</v>
      </c>
      <c r="E40" s="2943">
        <v>22610</v>
      </c>
      <c r="F40" s="2943"/>
      <c r="G40" s="2956">
        <v>17280</v>
      </c>
      <c r="M40" s="2943" t="s">
        <v>3008</v>
      </c>
      <c r="N40" s="2943" t="s">
        <v>3009</v>
      </c>
      <c r="O40" s="2943" t="s">
        <v>3010</v>
      </c>
      <c r="P40" s="2943" t="s">
        <v>3011</v>
      </c>
      <c r="Q40" s="2943" t="s">
        <v>3012</v>
      </c>
    </row>
    <row r="41" spans="1:17" ht="14.25" customHeight="1" thickBot="1">
      <c r="A41" s="2943" t="s">
        <v>296</v>
      </c>
      <c r="B41" s="2944" t="s">
        <v>209</v>
      </c>
      <c r="C41" s="2943">
        <v>21220</v>
      </c>
      <c r="D41" s="2943">
        <v>21120</v>
      </c>
      <c r="E41" s="2943">
        <v>22590</v>
      </c>
      <c r="F41" s="2943"/>
      <c r="G41" s="2956">
        <v>14780</v>
      </c>
      <c r="M41" s="2950" t="s">
        <v>3013</v>
      </c>
      <c r="N41" s="2943" t="s">
        <v>3014</v>
      </c>
      <c r="O41" s="2943" t="s">
        <v>3015</v>
      </c>
      <c r="P41" s="2943" t="s">
        <v>3016</v>
      </c>
      <c r="Q41" s="2943" t="s">
        <v>3017</v>
      </c>
    </row>
    <row r="42" spans="1:17" ht="14.25" customHeight="1">
      <c r="A42" s="2943" t="s">
        <v>296</v>
      </c>
      <c r="B42" s="2944" t="s">
        <v>215</v>
      </c>
      <c r="C42" s="2943">
        <v>24800</v>
      </c>
      <c r="D42" s="2943">
        <v>22280</v>
      </c>
      <c r="E42" s="2943">
        <v>24350</v>
      </c>
      <c r="F42" s="2943"/>
      <c r="G42" s="2956">
        <v>15590</v>
      </c>
      <c r="N42" s="2943" t="s">
        <v>3018</v>
      </c>
      <c r="O42" s="2943" t="s">
        <v>3019</v>
      </c>
      <c r="P42" s="2943" t="s">
        <v>3020</v>
      </c>
      <c r="Q42" s="2943" t="s">
        <v>3021</v>
      </c>
    </row>
    <row r="43" spans="1:17" ht="14.25" customHeight="1">
      <c r="A43" s="2943" t="s">
        <v>3022</v>
      </c>
      <c r="B43" s="2944" t="s">
        <v>223</v>
      </c>
      <c r="C43" s="2943">
        <v>21210</v>
      </c>
      <c r="D43" s="2943">
        <v>21160</v>
      </c>
      <c r="E43" s="2943">
        <v>22650</v>
      </c>
      <c r="F43" s="2943"/>
      <c r="G43" s="2956">
        <v>14800</v>
      </c>
      <c r="N43" s="2943" t="s">
        <v>3023</v>
      </c>
      <c r="O43" s="2943" t="s">
        <v>3024</v>
      </c>
      <c r="P43" s="2943" t="s">
        <v>3025</v>
      </c>
      <c r="Q43" s="2943" t="s">
        <v>3026</v>
      </c>
    </row>
    <row r="44" spans="1:17" ht="14.25" customHeight="1" thickBot="1">
      <c r="A44" s="2943" t="s">
        <v>296</v>
      </c>
      <c r="B44" s="2944" t="s">
        <v>231</v>
      </c>
      <c r="C44" s="2943">
        <v>22370</v>
      </c>
      <c r="D44" s="2943">
        <v>23140</v>
      </c>
      <c r="E44" s="2943">
        <v>25090</v>
      </c>
      <c r="F44" s="2943"/>
      <c r="G44" s="2956">
        <v>16190</v>
      </c>
      <c r="N44" s="2943" t="s">
        <v>3027</v>
      </c>
      <c r="O44" s="2943" t="s">
        <v>3028</v>
      </c>
      <c r="P44" s="2950" t="s">
        <v>3029</v>
      </c>
      <c r="Q44" s="2943" t="s">
        <v>3030</v>
      </c>
    </row>
    <row r="45" spans="1:17" ht="14.25" customHeight="1" thickBot="1">
      <c r="A45" s="2943" t="s">
        <v>296</v>
      </c>
      <c r="B45" s="2944" t="s">
        <v>236</v>
      </c>
      <c r="C45" s="2943">
        <v>21240</v>
      </c>
      <c r="D45" s="2943">
        <v>27050</v>
      </c>
      <c r="E45" s="2943">
        <v>28000</v>
      </c>
      <c r="F45" s="2943"/>
      <c r="G45" s="2956">
        <v>18940</v>
      </c>
      <c r="N45" s="2943" t="s">
        <v>3031</v>
      </c>
      <c r="O45" s="2950" t="s">
        <v>3032</v>
      </c>
      <c r="Q45" s="2943" t="s">
        <v>3033</v>
      </c>
    </row>
    <row r="46" spans="1:17" ht="14.25" customHeight="1">
      <c r="A46" s="2943" t="s">
        <v>296</v>
      </c>
      <c r="B46" s="2944" t="s">
        <v>245</v>
      </c>
      <c r="C46" s="2943">
        <v>23240</v>
      </c>
      <c r="D46" s="2943">
        <v>23000</v>
      </c>
      <c r="E46" s="2943">
        <v>24980</v>
      </c>
      <c r="F46" s="2943"/>
      <c r="G46" s="2956">
        <v>16100</v>
      </c>
      <c r="N46" s="2943" t="s">
        <v>3034</v>
      </c>
      <c r="Q46" s="2943" t="s">
        <v>3035</v>
      </c>
    </row>
    <row r="47" spans="1:17" ht="14.25" customHeight="1">
      <c r="A47" s="2943" t="s">
        <v>296</v>
      </c>
      <c r="B47" s="2944" t="s">
        <v>252</v>
      </c>
      <c r="C47" s="2943">
        <v>27150</v>
      </c>
      <c r="D47" s="2943">
        <v>23310</v>
      </c>
      <c r="E47" s="2943">
        <v>25150</v>
      </c>
      <c r="F47" s="2943"/>
      <c r="G47" s="2956">
        <v>16310</v>
      </c>
      <c r="N47" s="2943" t="s">
        <v>3036</v>
      </c>
      <c r="Q47" s="2943" t="s">
        <v>3037</v>
      </c>
    </row>
    <row r="48" spans="1:17" ht="14.25" customHeight="1">
      <c r="A48" s="2943" t="s">
        <v>296</v>
      </c>
      <c r="B48" s="2944" t="s">
        <v>260</v>
      </c>
      <c r="C48" s="2943">
        <v>23100</v>
      </c>
      <c r="D48" s="2943">
        <v>21110</v>
      </c>
      <c r="E48" s="2943">
        <v>23080</v>
      </c>
      <c r="F48" s="2943"/>
      <c r="G48" s="2956">
        <v>14780</v>
      </c>
      <c r="N48" s="2943" t="s">
        <v>3038</v>
      </c>
      <c r="Q48" s="2943" t="s">
        <v>3039</v>
      </c>
    </row>
    <row r="49" spans="1:17" ht="14.25" customHeight="1">
      <c r="A49" s="2943" t="s">
        <v>296</v>
      </c>
      <c r="B49" s="2944" t="s">
        <v>267</v>
      </c>
      <c r="C49" s="2943">
        <v>23400</v>
      </c>
      <c r="D49" s="2943">
        <v>22920</v>
      </c>
      <c r="E49" s="2943">
        <v>24900</v>
      </c>
      <c r="F49" s="2943"/>
      <c r="G49" s="2956">
        <v>16040</v>
      </c>
      <c r="N49" s="2943" t="s">
        <v>3040</v>
      </c>
      <c r="Q49" s="2943" t="s">
        <v>3041</v>
      </c>
    </row>
    <row r="50" spans="1:17" ht="14.25" customHeight="1">
      <c r="A50" s="2943" t="s">
        <v>296</v>
      </c>
      <c r="B50" s="2944" t="s">
        <v>2918</v>
      </c>
      <c r="C50" s="2943">
        <v>21200</v>
      </c>
      <c r="D50" s="2943">
        <v>26540</v>
      </c>
      <c r="E50" s="2943">
        <v>23200</v>
      </c>
      <c r="F50" s="2943"/>
      <c r="G50" s="2956">
        <v>18580</v>
      </c>
      <c r="N50" s="2943" t="s">
        <v>3042</v>
      </c>
      <c r="Q50" s="2944" t="s">
        <v>3043</v>
      </c>
    </row>
    <row r="51" spans="1:17" ht="14.25" customHeight="1" thickBot="1">
      <c r="A51" s="2943" t="s">
        <v>296</v>
      </c>
      <c r="B51" s="2944" t="s">
        <v>2920</v>
      </c>
      <c r="C51" s="2943">
        <v>23000</v>
      </c>
      <c r="D51" s="2943">
        <v>23460</v>
      </c>
      <c r="E51" s="2943">
        <v>25290</v>
      </c>
      <c r="F51" s="2943"/>
      <c r="G51" s="2956">
        <v>16420</v>
      </c>
      <c r="N51" s="2943" t="s">
        <v>3044</v>
      </c>
      <c r="Q51" s="2950" t="s">
        <v>3045</v>
      </c>
    </row>
    <row r="52" spans="1:17" ht="14.25" customHeight="1">
      <c r="A52" s="2943" t="s">
        <v>296</v>
      </c>
      <c r="B52" s="2944" t="s">
        <v>2924</v>
      </c>
      <c r="C52" s="2943">
        <v>26660</v>
      </c>
      <c r="D52" s="2943">
        <v>22350</v>
      </c>
      <c r="E52" s="2943">
        <v>22920</v>
      </c>
      <c r="F52" s="2943"/>
      <c r="G52" s="2956">
        <v>15640</v>
      </c>
      <c r="N52" s="2943" t="s">
        <v>3046</v>
      </c>
    </row>
    <row r="53" spans="1:17" ht="14.25" customHeight="1">
      <c r="A53" s="2943" t="s">
        <v>296</v>
      </c>
      <c r="B53" s="2944" t="s">
        <v>2929</v>
      </c>
      <c r="C53" s="2943">
        <v>23580</v>
      </c>
      <c r="D53" s="2943"/>
      <c r="E53" s="2943">
        <v>24280</v>
      </c>
      <c r="F53" s="2943"/>
      <c r="G53" s="2956"/>
      <c r="N53" s="2943" t="s">
        <v>3047</v>
      </c>
    </row>
    <row r="54" spans="1:17" ht="14.25" customHeight="1" thickBot="1">
      <c r="A54" s="2957" t="s">
        <v>296</v>
      </c>
      <c r="B54" s="2949" t="s">
        <v>2932</v>
      </c>
      <c r="C54" s="2950">
        <v>22460</v>
      </c>
      <c r="D54" s="2950"/>
      <c r="E54" s="2950"/>
      <c r="F54" s="2950"/>
      <c r="G54" s="2958"/>
      <c r="N54" s="2943" t="s">
        <v>3048</v>
      </c>
    </row>
    <row r="55" spans="1:17" ht="14.25" customHeight="1">
      <c r="A55" s="2948" t="s">
        <v>110</v>
      </c>
      <c r="B55" s="2939" t="s">
        <v>3049</v>
      </c>
      <c r="C55" s="2943">
        <v>21970</v>
      </c>
      <c r="D55" s="2943">
        <v>20370</v>
      </c>
      <c r="E55" s="2943">
        <v>20180</v>
      </c>
      <c r="F55" s="2943">
        <v>5730</v>
      </c>
      <c r="G55" s="2943">
        <v>13820</v>
      </c>
      <c r="N55" s="2943" t="s">
        <v>3050</v>
      </c>
    </row>
    <row r="56" spans="1:17" ht="14.25" customHeight="1">
      <c r="A56" s="2943" t="s">
        <v>110</v>
      </c>
      <c r="B56" s="2943" t="s">
        <v>130</v>
      </c>
      <c r="C56" s="2943">
        <v>20470</v>
      </c>
      <c r="D56" s="2943">
        <v>20700</v>
      </c>
      <c r="E56" s="2943">
        <v>20380</v>
      </c>
      <c r="F56" s="2943">
        <v>4760</v>
      </c>
      <c r="G56" s="2943">
        <v>14050</v>
      </c>
      <c r="N56" s="2943" t="s">
        <v>3051</v>
      </c>
    </row>
    <row r="57" spans="1:17" ht="14.25" customHeight="1">
      <c r="A57" s="2943" t="s">
        <v>110</v>
      </c>
      <c r="B57" s="2943" t="s">
        <v>139</v>
      </c>
      <c r="C57" s="2943">
        <v>20790</v>
      </c>
      <c r="D57" s="2943">
        <v>21370</v>
      </c>
      <c r="E57" s="2943">
        <v>20890</v>
      </c>
      <c r="F57" s="2943">
        <v>4910</v>
      </c>
      <c r="G57" s="2943">
        <v>14510</v>
      </c>
      <c r="N57" s="2943" t="s">
        <v>3052</v>
      </c>
    </row>
    <row r="58" spans="1:17" ht="14.25" customHeight="1">
      <c r="A58" s="2943" t="s">
        <v>110</v>
      </c>
      <c r="B58" s="2943" t="s">
        <v>148</v>
      </c>
      <c r="C58" s="2943">
        <v>21460</v>
      </c>
      <c r="D58" s="2943">
        <v>20920</v>
      </c>
      <c r="E58" s="2943">
        <v>23410</v>
      </c>
      <c r="F58" s="2943">
        <v>5100</v>
      </c>
      <c r="G58" s="2943">
        <v>14200</v>
      </c>
      <c r="N58" s="2943" t="s">
        <v>3053</v>
      </c>
    </row>
    <row r="59" spans="1:17" ht="14.25" customHeight="1">
      <c r="A59" s="2943" t="s">
        <v>110</v>
      </c>
      <c r="B59" s="2943" t="s">
        <v>157</v>
      </c>
      <c r="C59" s="2943">
        <v>21000</v>
      </c>
      <c r="D59" s="2943">
        <v>21550</v>
      </c>
      <c r="E59" s="2943">
        <v>21150</v>
      </c>
      <c r="F59" s="2943">
        <v>5250</v>
      </c>
      <c r="G59" s="2943">
        <v>14630</v>
      </c>
      <c r="N59" s="2943" t="s">
        <v>3054</v>
      </c>
    </row>
    <row r="60" spans="1:17" ht="14.25" customHeight="1">
      <c r="A60" s="2943" t="s">
        <v>110</v>
      </c>
      <c r="B60" s="2943" t="s">
        <v>164</v>
      </c>
      <c r="C60" s="2943">
        <v>21640</v>
      </c>
      <c r="D60" s="2943">
        <v>21260</v>
      </c>
      <c r="E60" s="2943">
        <v>24040</v>
      </c>
      <c r="F60" s="2943">
        <v>4470</v>
      </c>
      <c r="G60" s="2943">
        <v>14430</v>
      </c>
      <c r="N60" s="2943" t="s">
        <v>3055</v>
      </c>
    </row>
    <row r="61" spans="1:17" ht="14.25" customHeight="1">
      <c r="A61" s="2943" t="s">
        <v>110</v>
      </c>
      <c r="B61" s="2943" t="s">
        <v>170</v>
      </c>
      <c r="C61" s="2943">
        <v>21330</v>
      </c>
      <c r="D61" s="2943">
        <v>18640</v>
      </c>
      <c r="E61" s="2943">
        <v>21190</v>
      </c>
      <c r="F61" s="2943">
        <v>4180</v>
      </c>
      <c r="G61" s="2943">
        <v>12650</v>
      </c>
      <c r="N61" s="2943" t="s">
        <v>3056</v>
      </c>
    </row>
    <row r="62" spans="1:17" ht="14.25" customHeight="1">
      <c r="A62" s="2943" t="s">
        <v>110</v>
      </c>
      <c r="B62" s="2943" t="s">
        <v>177</v>
      </c>
      <c r="C62" s="2943">
        <v>18710</v>
      </c>
      <c r="D62" s="2943">
        <v>19400</v>
      </c>
      <c r="E62" s="2943">
        <v>23750</v>
      </c>
      <c r="F62" s="2943">
        <v>4860</v>
      </c>
      <c r="G62" s="2943">
        <v>13170</v>
      </c>
      <c r="N62" s="2943" t="s">
        <v>3057</v>
      </c>
    </row>
    <row r="63" spans="1:17" ht="14.25" customHeight="1">
      <c r="A63" s="2943" t="s">
        <v>110</v>
      </c>
      <c r="B63" s="2943" t="s">
        <v>187</v>
      </c>
      <c r="C63" s="2943">
        <v>19480</v>
      </c>
      <c r="D63" s="2943">
        <v>16830</v>
      </c>
      <c r="E63" s="2943">
        <v>21590</v>
      </c>
      <c r="F63" s="2943">
        <v>4560</v>
      </c>
      <c r="G63" s="2943">
        <v>11420</v>
      </c>
      <c r="N63" s="2943" t="s">
        <v>3058</v>
      </c>
    </row>
    <row r="64" spans="1:17" ht="14.25" customHeight="1" thickBot="1">
      <c r="A64" s="2943" t="s">
        <v>110</v>
      </c>
      <c r="B64" s="2943" t="s">
        <v>196</v>
      </c>
      <c r="C64" s="2943">
        <v>16920</v>
      </c>
      <c r="D64" s="2943">
        <v>19190</v>
      </c>
      <c r="E64" s="2943">
        <v>22200</v>
      </c>
      <c r="F64" s="2943">
        <v>4390</v>
      </c>
      <c r="G64" s="2943">
        <v>13030</v>
      </c>
      <c r="N64" s="2950" t="s">
        <v>3059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2930</v>
      </c>
      <c r="C78" s="2943">
        <v>19820</v>
      </c>
      <c r="D78" s="2943">
        <v>19780</v>
      </c>
      <c r="E78" s="2943">
        <v>18560</v>
      </c>
      <c r="F78" s="2943"/>
      <c r="G78" s="2943">
        <v>13430</v>
      </c>
    </row>
    <row r="79" spans="1:7" s="2777" customFormat="1" ht="14.25" customHeight="1">
      <c r="A79" s="2943" t="s">
        <v>110</v>
      </c>
      <c r="B79" s="2943" t="s">
        <v>2933</v>
      </c>
      <c r="C79" s="2943">
        <v>21660</v>
      </c>
      <c r="D79" s="2943">
        <v>18000</v>
      </c>
      <c r="E79" s="2943">
        <v>22570</v>
      </c>
      <c r="F79" s="2943"/>
      <c r="G79" s="2943">
        <v>12220</v>
      </c>
    </row>
    <row r="80" spans="1:7" s="2777" customFormat="1" ht="14.25" customHeight="1">
      <c r="A80" s="2943" t="s">
        <v>110</v>
      </c>
      <c r="B80" s="2943" t="s">
        <v>2937</v>
      </c>
      <c r="C80" s="2943">
        <v>19850</v>
      </c>
      <c r="D80" s="2943"/>
      <c r="E80" s="2943">
        <v>21700</v>
      </c>
      <c r="F80" s="2943"/>
      <c r="G80" s="2943"/>
    </row>
    <row r="81" spans="1:7" s="2777" customFormat="1" ht="14.25" customHeight="1">
      <c r="A81" s="2943" t="s">
        <v>110</v>
      </c>
      <c r="B81" s="2943" t="s">
        <v>2942</v>
      </c>
      <c r="C81" s="2943">
        <v>18080</v>
      </c>
      <c r="D81" s="2943"/>
      <c r="E81" s="2943">
        <v>20900</v>
      </c>
      <c r="F81" s="2943"/>
      <c r="G81" s="2943"/>
    </row>
    <row r="82" spans="1:7" s="2777" customFormat="1" ht="14.25" customHeight="1">
      <c r="A82" s="2943" t="s">
        <v>110</v>
      </c>
      <c r="B82" s="2943" t="s">
        <v>2949</v>
      </c>
      <c r="C82" s="2943"/>
      <c r="D82" s="2943"/>
      <c r="E82" s="2943">
        <v>20840</v>
      </c>
      <c r="F82" s="2943"/>
      <c r="G82" s="2943"/>
    </row>
    <row r="83" spans="1:7" s="2777" customFormat="1" ht="14.25" customHeight="1">
      <c r="A83" s="2943" t="s">
        <v>110</v>
      </c>
      <c r="B83" s="2943" t="s">
        <v>3060</v>
      </c>
      <c r="C83" s="2943"/>
      <c r="D83" s="2943"/>
      <c r="E83" s="2943"/>
      <c r="F83" s="2943">
        <v>4770</v>
      </c>
      <c r="G83" s="2943"/>
    </row>
    <row r="84" spans="1:7" s="2777" customFormat="1" ht="14.25" customHeight="1">
      <c r="A84" s="2943" t="s">
        <v>110</v>
      </c>
      <c r="B84" s="2943" t="s">
        <v>3061</v>
      </c>
      <c r="C84" s="2943"/>
      <c r="D84" s="2943"/>
      <c r="E84" s="2943"/>
      <c r="F84" s="2943">
        <v>4600</v>
      </c>
      <c r="G84" s="2943"/>
    </row>
    <row r="85" spans="1:7" s="2777" customFormat="1" ht="14.25" customHeight="1">
      <c r="A85" s="2943" t="s">
        <v>110</v>
      </c>
      <c r="B85" s="2943" t="s">
        <v>3062</v>
      </c>
      <c r="C85" s="2943"/>
      <c r="D85" s="2943"/>
      <c r="E85" s="2943"/>
      <c r="F85" s="2943">
        <v>4680</v>
      </c>
      <c r="G85" s="2943"/>
    </row>
    <row r="86" spans="1:7" s="2777" customFormat="1" ht="14.25" customHeight="1" thickBot="1">
      <c r="A86" s="2951" t="s">
        <v>110</v>
      </c>
      <c r="B86" s="2953" t="s">
        <v>3063</v>
      </c>
      <c r="C86" s="2954">
        <v>16610</v>
      </c>
      <c r="D86" s="2954">
        <v>16540</v>
      </c>
      <c r="E86" s="2954">
        <v>18850</v>
      </c>
      <c r="F86" s="2954"/>
      <c r="G86" s="2954">
        <v>11220</v>
      </c>
    </row>
    <row r="87" spans="1:7" s="2777" customFormat="1" ht="14.25" customHeight="1">
      <c r="A87" s="2948" t="s">
        <v>303</v>
      </c>
      <c r="B87" s="2939" t="s">
        <v>3064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2943</v>
      </c>
      <c r="C113" s="2943">
        <v>15520</v>
      </c>
      <c r="D113" s="2943">
        <v>15450</v>
      </c>
      <c r="E113" s="2943"/>
      <c r="F113" s="2943"/>
      <c r="G113" s="2956">
        <v>10210</v>
      </c>
    </row>
    <row r="114" spans="1:7" s="2777" customFormat="1" ht="14.25" customHeight="1">
      <c r="A114" s="2943" t="s">
        <v>303</v>
      </c>
      <c r="B114" s="2943" t="s">
        <v>2950</v>
      </c>
      <c r="C114" s="2943">
        <v>13110</v>
      </c>
      <c r="D114" s="2943">
        <v>13050</v>
      </c>
      <c r="E114" s="2943"/>
      <c r="F114" s="2943"/>
      <c r="G114" s="2956">
        <v>8620</v>
      </c>
    </row>
    <row r="115" spans="1:7" s="2777" customFormat="1" ht="14.25" customHeight="1">
      <c r="A115" s="2943" t="s">
        <v>303</v>
      </c>
      <c r="B115" s="2943" t="s">
        <v>2956</v>
      </c>
      <c r="C115" s="2943">
        <v>12460</v>
      </c>
      <c r="D115" s="2943">
        <v>12390</v>
      </c>
      <c r="E115" s="2943"/>
      <c r="F115" s="2943"/>
      <c r="G115" s="2956">
        <v>8190</v>
      </c>
    </row>
    <row r="116" spans="1:7" s="2777" customFormat="1" ht="14.25" customHeight="1">
      <c r="A116" s="2943" t="s">
        <v>303</v>
      </c>
      <c r="B116" s="2943" t="s">
        <v>2963</v>
      </c>
      <c r="C116" s="2943">
        <v>13580</v>
      </c>
      <c r="D116" s="2943">
        <v>13520</v>
      </c>
      <c r="E116" s="2943"/>
      <c r="F116" s="2943"/>
      <c r="G116" s="2956">
        <v>8930</v>
      </c>
    </row>
    <row r="117" spans="1:7" s="2777" customFormat="1" ht="14.25" customHeight="1">
      <c r="A117" s="2943" t="s">
        <v>303</v>
      </c>
      <c r="B117" s="2943" t="s">
        <v>2970</v>
      </c>
      <c r="C117" s="2943">
        <v>17120</v>
      </c>
      <c r="D117" s="2943">
        <v>17040</v>
      </c>
      <c r="E117" s="2943"/>
      <c r="F117" s="2943"/>
      <c r="G117" s="2956">
        <v>11260</v>
      </c>
    </row>
    <row r="118" spans="1:7" s="2777" customFormat="1" ht="14.25" customHeight="1">
      <c r="A118" s="2943" t="s">
        <v>303</v>
      </c>
      <c r="B118" s="2943" t="s">
        <v>2975</v>
      </c>
      <c r="C118" s="2943">
        <v>14860</v>
      </c>
      <c r="D118" s="2943">
        <v>14790</v>
      </c>
      <c r="E118" s="2943"/>
      <c r="F118" s="2943"/>
      <c r="G118" s="2956">
        <v>9780</v>
      </c>
    </row>
    <row r="119" spans="1:7" s="2777" customFormat="1" ht="14.25" customHeight="1">
      <c r="A119" s="2943" t="s">
        <v>303</v>
      </c>
      <c r="B119" s="2943" t="s">
        <v>2979</v>
      </c>
      <c r="C119" s="2943">
        <v>16470</v>
      </c>
      <c r="D119" s="2943">
        <v>16400</v>
      </c>
      <c r="E119" s="2943"/>
      <c r="F119" s="2943"/>
      <c r="G119" s="2956">
        <v>10840</v>
      </c>
    </row>
    <row r="120" spans="1:7" s="2777" customFormat="1" ht="14.25" customHeight="1">
      <c r="A120" s="2943" t="s">
        <v>303</v>
      </c>
      <c r="B120" s="2943" t="s">
        <v>3065</v>
      </c>
      <c r="C120" s="2943"/>
      <c r="D120" s="2943"/>
      <c r="E120" s="2943"/>
      <c r="F120" s="2943">
        <v>4160</v>
      </c>
      <c r="G120" s="2956"/>
    </row>
    <row r="121" spans="1:7" s="2777" customFormat="1" ht="14.25" customHeight="1">
      <c r="A121" s="2943" t="s">
        <v>303</v>
      </c>
      <c r="B121" s="2943" t="s">
        <v>3066</v>
      </c>
      <c r="C121" s="2943"/>
      <c r="D121" s="2943"/>
      <c r="E121" s="2943"/>
      <c r="F121" s="2943">
        <v>3880</v>
      </c>
      <c r="G121" s="2956"/>
    </row>
    <row r="122" spans="1:7" s="2777" customFormat="1" ht="14.25" customHeight="1">
      <c r="A122" s="2943" t="s">
        <v>303</v>
      </c>
      <c r="B122" s="2943" t="s">
        <v>3067</v>
      </c>
      <c r="C122" s="2943">
        <v>13750</v>
      </c>
      <c r="D122" s="2943">
        <v>13680</v>
      </c>
      <c r="E122" s="2943">
        <v>16460</v>
      </c>
      <c r="F122" s="2943">
        <v>2880</v>
      </c>
      <c r="G122" s="2956">
        <v>9040</v>
      </c>
    </row>
    <row r="123" spans="1:7" s="2777" customFormat="1" ht="14.25" customHeight="1">
      <c r="A123" s="2943" t="s">
        <v>303</v>
      </c>
      <c r="B123" s="2943" t="s">
        <v>2998</v>
      </c>
      <c r="C123" s="2943">
        <v>13590</v>
      </c>
      <c r="D123" s="2943">
        <v>13520</v>
      </c>
      <c r="E123" s="2943">
        <v>16290</v>
      </c>
      <c r="F123" s="2943">
        <v>2790</v>
      </c>
      <c r="G123" s="2956">
        <v>8930</v>
      </c>
    </row>
    <row r="124" spans="1:7" s="2777" customFormat="1" ht="14.25" customHeight="1">
      <c r="A124" s="2943" t="s">
        <v>303</v>
      </c>
      <c r="B124" s="2943" t="s">
        <v>3003</v>
      </c>
      <c r="C124" s="2943">
        <v>13400</v>
      </c>
      <c r="D124" s="2943">
        <v>13320</v>
      </c>
      <c r="E124" s="2943">
        <v>16100</v>
      </c>
      <c r="F124" s="2943">
        <v>2320</v>
      </c>
      <c r="G124" s="2956">
        <v>8800</v>
      </c>
    </row>
    <row r="125" spans="1:7" s="2777" customFormat="1" ht="14.25" customHeight="1">
      <c r="A125" s="2943" t="s">
        <v>303</v>
      </c>
      <c r="B125" s="2943" t="s">
        <v>3008</v>
      </c>
      <c r="C125" s="2943">
        <v>12860</v>
      </c>
      <c r="D125" s="2943">
        <v>12790</v>
      </c>
      <c r="E125" s="2943">
        <v>15370</v>
      </c>
      <c r="F125" s="2943">
        <v>2280</v>
      </c>
      <c r="G125" s="2956">
        <v>8450</v>
      </c>
    </row>
    <row r="126" spans="1:7" s="2777" customFormat="1" ht="14.25" customHeight="1" thickBot="1">
      <c r="A126" s="2957" t="s">
        <v>303</v>
      </c>
      <c r="B126" s="2950" t="s">
        <v>3013</v>
      </c>
      <c r="C126" s="2950">
        <v>12960</v>
      </c>
      <c r="D126" s="2950">
        <v>12890</v>
      </c>
      <c r="E126" s="2950">
        <v>15530</v>
      </c>
      <c r="F126" s="2950">
        <v>2910</v>
      </c>
      <c r="G126" s="2958">
        <v>8520</v>
      </c>
    </row>
    <row r="127" spans="1:7" s="2777" customFormat="1" ht="14.25" customHeight="1">
      <c r="A127" s="2948" t="s">
        <v>29</v>
      </c>
      <c r="B127" s="2939" t="s">
        <v>3068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3069</v>
      </c>
      <c r="C148" s="2943">
        <v>10370</v>
      </c>
      <c r="D148" s="2943">
        <v>10310</v>
      </c>
      <c r="E148" s="2943">
        <v>12970</v>
      </c>
      <c r="F148" s="2943"/>
      <c r="G148" s="2943">
        <v>6630</v>
      </c>
    </row>
    <row r="149" spans="1:7" s="2777" customFormat="1" ht="14.25" customHeight="1">
      <c r="A149" s="2943" t="s">
        <v>29</v>
      </c>
      <c r="B149" s="2943" t="s">
        <v>3070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2944</v>
      </c>
      <c r="C153" s="2943">
        <v>10880</v>
      </c>
      <c r="D153" s="2943">
        <v>10820</v>
      </c>
      <c r="E153" s="2943">
        <v>13660</v>
      </c>
      <c r="F153" s="2943">
        <v>2260</v>
      </c>
      <c r="G153" s="2943">
        <v>6970</v>
      </c>
    </row>
    <row r="154" spans="1:7" s="2777" customFormat="1" ht="14.25" customHeight="1">
      <c r="A154" s="2943" t="s">
        <v>29</v>
      </c>
      <c r="B154" s="2943" t="s">
        <v>3071</v>
      </c>
      <c r="C154" s="2943">
        <v>11220</v>
      </c>
      <c r="D154" s="2943">
        <v>11160</v>
      </c>
      <c r="E154" s="2943">
        <v>14130</v>
      </c>
      <c r="F154" s="2943">
        <v>2230</v>
      </c>
      <c r="G154" s="2943">
        <v>7180</v>
      </c>
    </row>
    <row r="155" spans="1:7" s="2777" customFormat="1" ht="14.25" customHeight="1">
      <c r="A155" s="2943" t="s">
        <v>29</v>
      </c>
      <c r="B155" s="2943" t="s">
        <v>2957</v>
      </c>
      <c r="C155" s="2943">
        <v>10430</v>
      </c>
      <c r="D155" s="2943">
        <v>10380</v>
      </c>
      <c r="E155" s="2943">
        <v>13140</v>
      </c>
      <c r="F155" s="2943">
        <v>2080</v>
      </c>
      <c r="G155" s="2943">
        <v>6650</v>
      </c>
    </row>
    <row r="156" spans="1:7" s="2777" customFormat="1" ht="14.25" customHeight="1">
      <c r="A156" s="2943" t="s">
        <v>29</v>
      </c>
      <c r="B156" s="2943" t="s">
        <v>3072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3073</v>
      </c>
      <c r="C160" s="2943">
        <v>11180</v>
      </c>
      <c r="D160" s="2943">
        <v>11140</v>
      </c>
      <c r="E160" s="2943">
        <v>14050</v>
      </c>
      <c r="F160" s="2943">
        <v>2270</v>
      </c>
      <c r="G160" s="2943">
        <v>7170</v>
      </c>
    </row>
    <row r="161" spans="1:7" s="2777" customFormat="1" ht="14.25" customHeight="1">
      <c r="A161" s="2943" t="s">
        <v>29</v>
      </c>
      <c r="B161" s="2943" t="s">
        <v>2989</v>
      </c>
      <c r="C161" s="2943">
        <v>11160</v>
      </c>
      <c r="D161" s="2943">
        <v>11120</v>
      </c>
      <c r="E161" s="2943">
        <v>14020</v>
      </c>
      <c r="F161" s="2943">
        <v>2150</v>
      </c>
      <c r="G161" s="2943">
        <v>7160</v>
      </c>
    </row>
    <row r="162" spans="1:7" s="2777" customFormat="1" ht="14.25" customHeight="1">
      <c r="A162" s="2943" t="s">
        <v>29</v>
      </c>
      <c r="B162" s="2943" t="s">
        <v>2994</v>
      </c>
      <c r="C162" s="2943">
        <v>9620</v>
      </c>
      <c r="D162" s="2943">
        <v>9570</v>
      </c>
      <c r="E162" s="2943">
        <v>12320</v>
      </c>
      <c r="F162" s="2943">
        <v>2010</v>
      </c>
      <c r="G162" s="2943">
        <v>6160</v>
      </c>
    </row>
    <row r="163" spans="1:7" s="2777" customFormat="1" ht="14.25" customHeight="1">
      <c r="A163" s="2943" t="s">
        <v>29</v>
      </c>
      <c r="B163" s="2943" t="s">
        <v>2999</v>
      </c>
      <c r="C163" s="2943">
        <v>9320</v>
      </c>
      <c r="D163" s="2943">
        <v>9270</v>
      </c>
      <c r="E163" s="2943">
        <v>11790</v>
      </c>
      <c r="F163" s="2943">
        <v>1920</v>
      </c>
      <c r="G163" s="2943">
        <v>5960</v>
      </c>
    </row>
    <row r="164" spans="1:7" s="2777" customFormat="1" ht="14.25" customHeight="1">
      <c r="A164" s="2943" t="s">
        <v>29</v>
      </c>
      <c r="B164" s="2943" t="s">
        <v>3004</v>
      </c>
      <c r="C164" s="2943"/>
      <c r="D164" s="2943"/>
      <c r="E164" s="2943"/>
      <c r="F164" s="2943">
        <v>1980</v>
      </c>
      <c r="G164" s="2943"/>
    </row>
    <row r="165" spans="1:7" s="2777" customFormat="1" ht="14.25" customHeight="1">
      <c r="A165" s="2943" t="s">
        <v>29</v>
      </c>
      <c r="B165" s="2943" t="s">
        <v>3074</v>
      </c>
      <c r="C165" s="2943">
        <v>11060</v>
      </c>
      <c r="D165" s="2943">
        <v>11030</v>
      </c>
      <c r="E165" s="2943">
        <v>13850</v>
      </c>
      <c r="F165" s="2943">
        <v>2170</v>
      </c>
      <c r="G165" s="2943">
        <v>7090</v>
      </c>
    </row>
    <row r="166" spans="1:7" s="2777" customFormat="1" ht="14.25" customHeight="1">
      <c r="A166" s="2943" t="s">
        <v>29</v>
      </c>
      <c r="B166" s="2943" t="s">
        <v>3014</v>
      </c>
      <c r="C166" s="2943">
        <v>11050</v>
      </c>
      <c r="D166" s="2943">
        <v>11010</v>
      </c>
      <c r="E166" s="2943">
        <v>13920</v>
      </c>
      <c r="F166" s="2943">
        <v>2140</v>
      </c>
      <c r="G166" s="2943">
        <v>7080</v>
      </c>
    </row>
    <row r="167" spans="1:7" s="2777" customFormat="1" ht="14.25" customHeight="1">
      <c r="A167" s="2943" t="s">
        <v>29</v>
      </c>
      <c r="B167" s="2943" t="s">
        <v>3018</v>
      </c>
      <c r="C167" s="2943">
        <v>10930</v>
      </c>
      <c r="D167" s="2943">
        <v>10890</v>
      </c>
      <c r="E167" s="2943">
        <v>13790</v>
      </c>
      <c r="F167" s="2943">
        <v>2010</v>
      </c>
      <c r="G167" s="2943">
        <v>7000</v>
      </c>
    </row>
    <row r="168" spans="1:7" s="2777" customFormat="1" ht="14.25" customHeight="1">
      <c r="A168" s="2943" t="s">
        <v>29</v>
      </c>
      <c r="B168" s="2943" t="s">
        <v>3023</v>
      </c>
      <c r="C168" s="2943">
        <v>9420</v>
      </c>
      <c r="D168" s="2943">
        <v>9380</v>
      </c>
      <c r="E168" s="2943">
        <v>11970</v>
      </c>
      <c r="F168" s="2943"/>
      <c r="G168" s="2943">
        <v>6040</v>
      </c>
    </row>
    <row r="169" spans="1:7" s="2777" customFormat="1" ht="14.25" customHeight="1">
      <c r="A169" s="2943" t="s">
        <v>29</v>
      </c>
      <c r="B169" s="2943" t="s">
        <v>3075</v>
      </c>
      <c r="C169" s="2943"/>
      <c r="D169" s="2943"/>
      <c r="E169" s="2943"/>
      <c r="F169" s="2943">
        <v>2880</v>
      </c>
      <c r="G169" s="2943"/>
    </row>
    <row r="170" spans="1:7" s="2777" customFormat="1" ht="14.25" customHeight="1">
      <c r="A170" s="2943" t="s">
        <v>29</v>
      </c>
      <c r="B170" s="2943" t="s">
        <v>3031</v>
      </c>
      <c r="C170" s="2943"/>
      <c r="D170" s="2943"/>
      <c r="E170" s="2943"/>
      <c r="F170" s="2943">
        <v>2880</v>
      </c>
      <c r="G170" s="2943"/>
    </row>
    <row r="171" spans="1:7" s="2777" customFormat="1" ht="14.25" customHeight="1">
      <c r="A171" s="2943" t="s">
        <v>29</v>
      </c>
      <c r="B171" s="2943" t="s">
        <v>3034</v>
      </c>
      <c r="C171" s="2943"/>
      <c r="D171" s="2943"/>
      <c r="E171" s="2943"/>
      <c r="F171" s="2943">
        <v>2880</v>
      </c>
      <c r="G171" s="2943"/>
    </row>
    <row r="172" spans="1:7" s="2777" customFormat="1" ht="14.25" customHeight="1">
      <c r="A172" s="2943" t="s">
        <v>29</v>
      </c>
      <c r="B172" s="2943" t="s">
        <v>3036</v>
      </c>
      <c r="C172" s="2943"/>
      <c r="D172" s="2943"/>
      <c r="E172" s="2943"/>
      <c r="F172" s="2943">
        <v>2880</v>
      </c>
      <c r="G172" s="2943"/>
    </row>
    <row r="173" spans="1:7" s="2777" customFormat="1" ht="14.25" customHeight="1">
      <c r="A173" s="2943" t="s">
        <v>29</v>
      </c>
      <c r="B173" s="2943" t="s">
        <v>3038</v>
      </c>
      <c r="C173" s="2943"/>
      <c r="D173" s="2943"/>
      <c r="E173" s="2943"/>
      <c r="F173" s="2943">
        <v>2150</v>
      </c>
      <c r="G173" s="2943"/>
    </row>
    <row r="174" spans="1:7" s="2777" customFormat="1" ht="14.25" customHeight="1">
      <c r="A174" s="2943" t="s">
        <v>29</v>
      </c>
      <c r="B174" s="2943" t="s">
        <v>3040</v>
      </c>
      <c r="C174" s="2943"/>
      <c r="D174" s="2943"/>
      <c r="E174" s="2943"/>
      <c r="F174" s="2943">
        <v>2030</v>
      </c>
      <c r="G174" s="2943"/>
    </row>
    <row r="175" spans="1:7" s="2777" customFormat="1" ht="14.25" customHeight="1">
      <c r="A175" s="2943" t="s">
        <v>29</v>
      </c>
      <c r="B175" s="2943" t="s">
        <v>3042</v>
      </c>
      <c r="C175" s="2943"/>
      <c r="D175" s="2943"/>
      <c r="E175" s="2943"/>
      <c r="F175" s="2943">
        <v>2780</v>
      </c>
      <c r="G175" s="2943"/>
    </row>
    <row r="176" spans="1:7" s="2777" customFormat="1" ht="14.25" customHeight="1">
      <c r="A176" s="2943" t="s">
        <v>29</v>
      </c>
      <c r="B176" s="2943" t="s">
        <v>3044</v>
      </c>
      <c r="C176" s="2943"/>
      <c r="D176" s="2943"/>
      <c r="E176" s="2943"/>
      <c r="F176" s="2943">
        <v>2780</v>
      </c>
      <c r="G176" s="2943"/>
    </row>
    <row r="177" spans="1:7" s="2777" customFormat="1" ht="14.25" customHeight="1">
      <c r="A177" s="2943" t="s">
        <v>29</v>
      </c>
      <c r="B177" s="2943" t="s">
        <v>3076</v>
      </c>
      <c r="C177" s="2943"/>
      <c r="D177" s="2943"/>
      <c r="E177" s="2943"/>
      <c r="F177" s="2943">
        <v>2780</v>
      </c>
      <c r="G177" s="2943"/>
    </row>
    <row r="178" spans="1:7" s="2777" customFormat="1" ht="14.25" customHeight="1">
      <c r="A178" s="2943" t="s">
        <v>29</v>
      </c>
      <c r="B178" s="2943" t="s">
        <v>3077</v>
      </c>
      <c r="C178" s="2943"/>
      <c r="D178" s="2943"/>
      <c r="E178" s="2943"/>
      <c r="F178" s="2943">
        <v>2060</v>
      </c>
      <c r="G178" s="2943"/>
    </row>
    <row r="179" spans="1:7" s="2777" customFormat="1" ht="14.25" customHeight="1">
      <c r="A179" s="2943" t="s">
        <v>29</v>
      </c>
      <c r="B179" s="2943" t="s">
        <v>3078</v>
      </c>
      <c r="C179" s="2943"/>
      <c r="D179" s="2943"/>
      <c r="E179" s="2943"/>
      <c r="F179" s="2943">
        <v>2120</v>
      </c>
      <c r="G179" s="2943"/>
    </row>
    <row r="180" spans="1:7" s="2777" customFormat="1" ht="14.25" customHeight="1">
      <c r="A180" s="2943" t="s">
        <v>29</v>
      </c>
      <c r="B180" s="2943" t="s">
        <v>3050</v>
      </c>
      <c r="C180" s="2943"/>
      <c r="D180" s="2943"/>
      <c r="E180" s="2943"/>
      <c r="F180" s="2943">
        <v>2340</v>
      </c>
      <c r="G180" s="2943"/>
    </row>
    <row r="181" spans="1:7" s="2777" customFormat="1" ht="14.25" customHeight="1">
      <c r="A181" s="2943" t="s">
        <v>29</v>
      </c>
      <c r="B181" s="2943" t="s">
        <v>3051</v>
      </c>
      <c r="C181" s="2943"/>
      <c r="D181" s="2943"/>
      <c r="E181" s="2943"/>
      <c r="F181" s="2943">
        <v>2340</v>
      </c>
      <c r="G181" s="2943"/>
    </row>
    <row r="182" spans="1:7" s="2777" customFormat="1" ht="14.25" customHeight="1">
      <c r="A182" s="2943" t="s">
        <v>29</v>
      </c>
      <c r="B182" s="2943" t="s">
        <v>3052</v>
      </c>
      <c r="C182" s="2943"/>
      <c r="D182" s="2943"/>
      <c r="E182" s="2943"/>
      <c r="F182" s="2943">
        <v>2340</v>
      </c>
      <c r="G182" s="2943"/>
    </row>
    <row r="183" spans="1:7" s="2777" customFormat="1" ht="14.25" customHeight="1">
      <c r="A183" s="2943" t="s">
        <v>29</v>
      </c>
      <c r="B183" s="2943" t="s">
        <v>3053</v>
      </c>
      <c r="C183" s="2943"/>
      <c r="D183" s="2943"/>
      <c r="E183" s="2943"/>
      <c r="F183" s="2943">
        <v>2340</v>
      </c>
      <c r="G183" s="2943"/>
    </row>
    <row r="184" spans="1:7" s="2777" customFormat="1" ht="14.25" customHeight="1">
      <c r="A184" s="2943" t="s">
        <v>29</v>
      </c>
      <c r="B184" s="2943" t="s">
        <v>3054</v>
      </c>
      <c r="C184" s="2943"/>
      <c r="D184" s="2943"/>
      <c r="E184" s="2943"/>
      <c r="F184" s="2943">
        <v>2340</v>
      </c>
      <c r="G184" s="2943"/>
    </row>
    <row r="185" spans="1:7" s="2777" customFormat="1" ht="14.25" customHeight="1">
      <c r="A185" s="2943" t="s">
        <v>29</v>
      </c>
      <c r="B185" s="2943" t="s">
        <v>3055</v>
      </c>
      <c r="C185" s="2943"/>
      <c r="D185" s="2943"/>
      <c r="E185" s="2943"/>
      <c r="F185" s="2943">
        <v>2530</v>
      </c>
      <c r="G185" s="2943"/>
    </row>
    <row r="186" spans="1:7" s="2777" customFormat="1" ht="14.25" customHeight="1">
      <c r="A186" s="2943" t="s">
        <v>29</v>
      </c>
      <c r="B186" s="2943" t="s">
        <v>3056</v>
      </c>
      <c r="C186" s="2943"/>
      <c r="D186" s="2943"/>
      <c r="E186" s="2943"/>
      <c r="F186" s="2943">
        <v>2550</v>
      </c>
      <c r="G186" s="2943"/>
    </row>
    <row r="187" spans="1:7" s="2777" customFormat="1" ht="14.25" customHeight="1">
      <c r="A187" s="2943" t="s">
        <v>29</v>
      </c>
      <c r="B187" s="2943" t="s">
        <v>3057</v>
      </c>
      <c r="C187" s="2943"/>
      <c r="D187" s="2943"/>
      <c r="E187" s="2943"/>
      <c r="F187" s="2943">
        <v>2070</v>
      </c>
      <c r="G187" s="2943"/>
    </row>
    <row r="188" spans="1:7" s="2777" customFormat="1" ht="14.25" customHeight="1">
      <c r="A188" s="2943" t="s">
        <v>29</v>
      </c>
      <c r="B188" s="2943" t="s">
        <v>3058</v>
      </c>
      <c r="C188" s="2943"/>
      <c r="D188" s="2943"/>
      <c r="E188" s="2943"/>
      <c r="F188" s="2943">
        <v>2340</v>
      </c>
      <c r="G188" s="2943"/>
    </row>
    <row r="189" spans="1:7" s="2777" customFormat="1" ht="14.25" customHeight="1" thickBot="1">
      <c r="A189" s="2951" t="s">
        <v>29</v>
      </c>
      <c r="B189" s="2954" t="s">
        <v>3059</v>
      </c>
      <c r="C189" s="2954"/>
      <c r="D189" s="2954"/>
      <c r="E189" s="2954"/>
      <c r="F189" s="2954">
        <v>2050</v>
      </c>
      <c r="G189" s="2954"/>
    </row>
    <row r="190" spans="1:7" s="2777" customFormat="1" ht="14.25" customHeight="1">
      <c r="A190" s="2948" t="s">
        <v>304</v>
      </c>
      <c r="B190" s="2939" t="s">
        <v>3079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3080</v>
      </c>
      <c r="C199" s="2943">
        <v>8690</v>
      </c>
      <c r="D199" s="2943">
        <v>8630</v>
      </c>
      <c r="E199" s="2943">
        <v>11350</v>
      </c>
      <c r="F199" s="2943">
        <v>1600</v>
      </c>
      <c r="G199" s="2956">
        <v>5450</v>
      </c>
    </row>
    <row r="200" spans="1:7" s="2777" customFormat="1" ht="14.25" customHeight="1">
      <c r="A200" s="2943" t="s">
        <v>304</v>
      </c>
      <c r="B200" s="2943" t="s">
        <v>2891</v>
      </c>
      <c r="C200" s="2943"/>
      <c r="D200" s="2943"/>
      <c r="E200" s="2943"/>
      <c r="F200" s="2943">
        <v>1510</v>
      </c>
      <c r="G200" s="2956"/>
    </row>
    <row r="201" spans="1:7" s="2777" customFormat="1" ht="14.25" customHeight="1">
      <c r="A201" s="2943" t="s">
        <v>304</v>
      </c>
      <c r="B201" s="2943" t="s">
        <v>3081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3082</v>
      </c>
      <c r="C203" s="2943">
        <v>8130</v>
      </c>
      <c r="D203" s="2943">
        <v>8070</v>
      </c>
      <c r="E203" s="2943">
        <v>10820</v>
      </c>
      <c r="F203" s="2943">
        <v>1690</v>
      </c>
      <c r="G203" s="2956">
        <v>5100</v>
      </c>
    </row>
    <row r="204" spans="1:7" s="2777" customFormat="1" ht="14.25" customHeight="1">
      <c r="A204" s="2943" t="s">
        <v>304</v>
      </c>
      <c r="B204" s="2943" t="s">
        <v>2902</v>
      </c>
      <c r="C204" s="2943">
        <v>8350</v>
      </c>
      <c r="D204" s="2943">
        <v>8290</v>
      </c>
      <c r="E204" s="2943">
        <v>11080</v>
      </c>
      <c r="F204" s="2943">
        <v>1450</v>
      </c>
      <c r="G204" s="2956">
        <v>5240</v>
      </c>
    </row>
    <row r="205" spans="1:7" s="2777" customFormat="1" ht="14.25" customHeight="1">
      <c r="A205" s="2943" t="s">
        <v>304</v>
      </c>
      <c r="B205" s="2943" t="s">
        <v>2904</v>
      </c>
      <c r="C205" s="2943">
        <v>7190</v>
      </c>
      <c r="D205" s="2943">
        <v>7130</v>
      </c>
      <c r="E205" s="2943">
        <v>9490</v>
      </c>
      <c r="F205" s="2943">
        <v>1470</v>
      </c>
      <c r="G205" s="2956">
        <v>4510</v>
      </c>
    </row>
    <row r="206" spans="1:7" s="2777" customFormat="1" ht="14.25" customHeight="1">
      <c r="A206" s="2943" t="s">
        <v>304</v>
      </c>
      <c r="B206" s="2943" t="s">
        <v>2907</v>
      </c>
      <c r="C206" s="2943">
        <v>7000</v>
      </c>
      <c r="D206" s="2943">
        <v>6950</v>
      </c>
      <c r="E206" s="2943">
        <v>9170</v>
      </c>
      <c r="F206" s="2943">
        <v>1400</v>
      </c>
      <c r="G206" s="2956">
        <v>4380</v>
      </c>
    </row>
    <row r="207" spans="1:7" s="2777" customFormat="1" ht="14.25" customHeight="1">
      <c r="A207" s="2943" t="s">
        <v>304</v>
      </c>
      <c r="B207" s="2943" t="s">
        <v>2909</v>
      </c>
      <c r="C207" s="2943">
        <v>6950</v>
      </c>
      <c r="D207" s="2943">
        <v>6900</v>
      </c>
      <c r="E207" s="2943">
        <v>9110</v>
      </c>
      <c r="F207" s="2943">
        <v>1790</v>
      </c>
      <c r="G207" s="2956">
        <v>4360</v>
      </c>
    </row>
    <row r="208" spans="1:7" s="2777" customFormat="1" ht="14.25" customHeight="1">
      <c r="A208" s="2943" t="s">
        <v>304</v>
      </c>
      <c r="B208" s="2943" t="s">
        <v>3083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2919</v>
      </c>
      <c r="C210" s="2943">
        <v>8710</v>
      </c>
      <c r="D210" s="2943">
        <v>8660</v>
      </c>
      <c r="E210" s="2943">
        <v>11440</v>
      </c>
      <c r="F210" s="2943">
        <v>1740</v>
      </c>
      <c r="G210" s="2956">
        <v>5470</v>
      </c>
    </row>
    <row r="211" spans="1:7" s="2777" customFormat="1" ht="14.25" customHeight="1">
      <c r="A211" s="2943" t="s">
        <v>304</v>
      </c>
      <c r="B211" s="2943" t="s">
        <v>3084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3085</v>
      </c>
      <c r="C214" s="2943">
        <v>8090</v>
      </c>
      <c r="D214" s="2943">
        <v>8030</v>
      </c>
      <c r="E214" s="2943">
        <v>10780</v>
      </c>
      <c r="F214" s="2943">
        <v>1570</v>
      </c>
      <c r="G214" s="2956">
        <v>5070</v>
      </c>
    </row>
    <row r="215" spans="1:7" s="2777" customFormat="1" ht="14.25" customHeight="1">
      <c r="A215" s="2943" t="s">
        <v>304</v>
      </c>
      <c r="B215" s="2943" t="s">
        <v>3086</v>
      </c>
      <c r="C215" s="2943">
        <v>7950</v>
      </c>
      <c r="D215" s="2943">
        <v>7900</v>
      </c>
      <c r="E215" s="2943">
        <v>10560</v>
      </c>
      <c r="F215" s="2943">
        <v>1630</v>
      </c>
      <c r="G215" s="2956">
        <v>4990</v>
      </c>
    </row>
    <row r="216" spans="1:7" s="2777" customFormat="1" ht="14.25" customHeight="1">
      <c r="A216" s="2943" t="s">
        <v>304</v>
      </c>
      <c r="B216" s="2943" t="s">
        <v>3087</v>
      </c>
      <c r="C216" s="2943">
        <v>8490</v>
      </c>
      <c r="D216" s="2943">
        <v>8440</v>
      </c>
      <c r="E216" s="2943">
        <v>11260</v>
      </c>
      <c r="F216" s="2943">
        <v>1690</v>
      </c>
      <c r="G216" s="2956">
        <v>5330</v>
      </c>
    </row>
    <row r="217" spans="1:7" s="2777" customFormat="1" ht="14.25" customHeight="1">
      <c r="A217" s="2943" t="s">
        <v>304</v>
      </c>
      <c r="B217" s="2943" t="s">
        <v>2952</v>
      </c>
      <c r="C217" s="2943">
        <v>8200</v>
      </c>
      <c r="D217" s="2943">
        <v>8150</v>
      </c>
      <c r="E217" s="2943">
        <v>10910</v>
      </c>
      <c r="F217" s="2943">
        <v>1670</v>
      </c>
      <c r="G217" s="2956">
        <v>5150</v>
      </c>
    </row>
    <row r="218" spans="1:7" s="2777" customFormat="1" ht="14.25" customHeight="1">
      <c r="A218" s="2943" t="s">
        <v>304</v>
      </c>
      <c r="B218" s="2943" t="s">
        <v>3088</v>
      </c>
      <c r="C218" s="2943"/>
      <c r="D218" s="2943"/>
      <c r="E218" s="2943"/>
      <c r="F218" s="2943">
        <v>2040</v>
      </c>
      <c r="G218" s="2956"/>
    </row>
    <row r="219" spans="1:7" s="2777" customFormat="1" ht="14.25" customHeight="1">
      <c r="A219" s="2943" t="s">
        <v>304</v>
      </c>
      <c r="B219" s="2943" t="s">
        <v>3089</v>
      </c>
      <c r="C219" s="2943"/>
      <c r="D219" s="2943"/>
      <c r="E219" s="2943"/>
      <c r="F219" s="2943">
        <v>2040</v>
      </c>
      <c r="G219" s="2956"/>
    </row>
    <row r="220" spans="1:7" s="2777" customFormat="1" ht="14.25" customHeight="1">
      <c r="A220" s="2943" t="s">
        <v>304</v>
      </c>
      <c r="B220" s="2943" t="s">
        <v>3090</v>
      </c>
      <c r="C220" s="2943"/>
      <c r="D220" s="2943"/>
      <c r="E220" s="2943"/>
      <c r="F220" s="2943">
        <v>2040</v>
      </c>
      <c r="G220" s="2956"/>
    </row>
    <row r="221" spans="1:7" s="2777" customFormat="1" ht="14.25" customHeight="1">
      <c r="A221" s="2943" t="s">
        <v>304</v>
      </c>
      <c r="B221" s="2943" t="s">
        <v>3091</v>
      </c>
      <c r="C221" s="2943"/>
      <c r="D221" s="2943"/>
      <c r="E221" s="2943"/>
      <c r="F221" s="2943">
        <v>2040</v>
      </c>
      <c r="G221" s="2956"/>
    </row>
    <row r="222" spans="1:7" s="2777" customFormat="1" ht="14.25" customHeight="1">
      <c r="A222" s="2943" t="s">
        <v>304</v>
      </c>
      <c r="B222" s="2943" t="s">
        <v>3092</v>
      </c>
      <c r="C222" s="2943"/>
      <c r="D222" s="2943"/>
      <c r="E222" s="2943"/>
      <c r="F222" s="2943">
        <v>2040</v>
      </c>
      <c r="G222" s="2956"/>
    </row>
    <row r="223" spans="1:7" s="2777" customFormat="1" ht="14.25" customHeight="1">
      <c r="A223" s="2943" t="s">
        <v>304</v>
      </c>
      <c r="B223" s="2943" t="s">
        <v>3093</v>
      </c>
      <c r="C223" s="2943"/>
      <c r="D223" s="2943"/>
      <c r="E223" s="2943"/>
      <c r="F223" s="2943">
        <v>1930</v>
      </c>
      <c r="G223" s="2956"/>
    </row>
    <row r="224" spans="1:7" s="2777" customFormat="1" ht="14.25" customHeight="1">
      <c r="A224" s="2943" t="s">
        <v>304</v>
      </c>
      <c r="B224" s="2943" t="s">
        <v>3094</v>
      </c>
      <c r="C224" s="2943"/>
      <c r="D224" s="2943"/>
      <c r="E224" s="2943"/>
      <c r="F224" s="2943">
        <v>1930</v>
      </c>
      <c r="G224" s="2956"/>
    </row>
    <row r="225" spans="1:7" s="2777" customFormat="1" ht="14.25" customHeight="1">
      <c r="A225" s="2943" t="s">
        <v>304</v>
      </c>
      <c r="B225" s="2943" t="s">
        <v>3095</v>
      </c>
      <c r="C225" s="2943"/>
      <c r="D225" s="2943"/>
      <c r="E225" s="2943"/>
      <c r="F225" s="2943">
        <v>1930</v>
      </c>
      <c r="G225" s="2956"/>
    </row>
    <row r="226" spans="1:7" s="2777" customFormat="1" ht="14.25" customHeight="1">
      <c r="A226" s="2943" t="s">
        <v>304</v>
      </c>
      <c r="B226" s="2943" t="s">
        <v>3096</v>
      </c>
      <c r="C226" s="2943"/>
      <c r="D226" s="2943"/>
      <c r="E226" s="2943"/>
      <c r="F226" s="2943">
        <v>1700</v>
      </c>
      <c r="G226" s="2956"/>
    </row>
    <row r="227" spans="1:7" s="2777" customFormat="1" ht="14.25" customHeight="1">
      <c r="A227" s="2943" t="s">
        <v>304</v>
      </c>
      <c r="B227" s="2943" t="s">
        <v>3097</v>
      </c>
      <c r="C227" s="2943"/>
      <c r="D227" s="2943"/>
      <c r="E227" s="2943"/>
      <c r="F227" s="2943">
        <v>1520</v>
      </c>
      <c r="G227" s="2956"/>
    </row>
    <row r="228" spans="1:7" s="2777" customFormat="1" ht="14.25" customHeight="1">
      <c r="A228" s="2943" t="s">
        <v>304</v>
      </c>
      <c r="B228" s="2943" t="s">
        <v>3098</v>
      </c>
      <c r="C228" s="2943"/>
      <c r="D228" s="2943"/>
      <c r="E228" s="2943"/>
      <c r="F228" s="2943">
        <v>1520</v>
      </c>
      <c r="G228" s="2956"/>
    </row>
    <row r="229" spans="1:7" s="2777" customFormat="1" ht="14.25" customHeight="1">
      <c r="A229" s="2943" t="s">
        <v>304</v>
      </c>
      <c r="B229" s="2943" t="s">
        <v>3015</v>
      </c>
      <c r="C229" s="2943"/>
      <c r="D229" s="2943"/>
      <c r="E229" s="2943"/>
      <c r="F229" s="2943">
        <v>1520</v>
      </c>
      <c r="G229" s="2956"/>
    </row>
    <row r="230" spans="1:7" s="2777" customFormat="1" ht="14.25" customHeight="1">
      <c r="A230" s="2943" t="s">
        <v>304</v>
      </c>
      <c r="B230" s="2943" t="s">
        <v>3099</v>
      </c>
      <c r="C230" s="2943"/>
      <c r="D230" s="2943"/>
      <c r="E230" s="2943"/>
      <c r="F230" s="2943">
        <v>1820</v>
      </c>
      <c r="G230" s="2956"/>
    </row>
    <row r="231" spans="1:7" s="2777" customFormat="1" ht="14.25" customHeight="1">
      <c r="A231" s="2943" t="s">
        <v>304</v>
      </c>
      <c r="B231" s="2943" t="s">
        <v>3100</v>
      </c>
      <c r="C231" s="2943"/>
      <c r="D231" s="2943"/>
      <c r="E231" s="2943"/>
      <c r="F231" s="2943">
        <v>1760</v>
      </c>
      <c r="G231" s="2956"/>
    </row>
    <row r="232" spans="1:7" s="2777" customFormat="1" ht="14.25" customHeight="1">
      <c r="A232" s="2943" t="s">
        <v>304</v>
      </c>
      <c r="B232" s="2943" t="s">
        <v>3101</v>
      </c>
      <c r="C232" s="2943"/>
      <c r="D232" s="2943"/>
      <c r="E232" s="2943"/>
      <c r="F232" s="2943">
        <v>1840</v>
      </c>
      <c r="G232" s="2956"/>
    </row>
    <row r="233" spans="1:7" s="2777" customFormat="1" ht="14.25" customHeight="1" thickBot="1">
      <c r="A233" s="2957" t="s">
        <v>304</v>
      </c>
      <c r="B233" s="2950" t="s">
        <v>3032</v>
      </c>
      <c r="C233" s="2950"/>
      <c r="D233" s="2950"/>
      <c r="E233" s="2950"/>
      <c r="F233" s="2950">
        <v>1770</v>
      </c>
      <c r="G233" s="2958"/>
    </row>
    <row r="234" spans="1:7" s="2777" customFormat="1" ht="14.25" customHeight="1">
      <c r="A234" s="2948" t="s">
        <v>305</v>
      </c>
      <c r="B234" s="2939" t="s">
        <v>3102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2873</v>
      </c>
      <c r="C238" s="2943">
        <v>6920</v>
      </c>
      <c r="D238" s="2943">
        <v>6890</v>
      </c>
      <c r="E238" s="2943">
        <v>8640</v>
      </c>
      <c r="F238" s="2943">
        <v>1310</v>
      </c>
      <c r="G238" s="2943">
        <v>4230</v>
      </c>
    </row>
    <row r="239" spans="1:7" s="2777" customFormat="1" ht="14.25" customHeight="1">
      <c r="A239" s="2943" t="s">
        <v>305</v>
      </c>
      <c r="B239" s="2943" t="s">
        <v>3103</v>
      </c>
      <c r="C239" s="2943">
        <v>6780</v>
      </c>
      <c r="D239" s="2943">
        <v>6750</v>
      </c>
      <c r="E239" s="2943">
        <v>8440</v>
      </c>
      <c r="F239" s="2943">
        <v>1160</v>
      </c>
      <c r="G239" s="2943">
        <v>4140</v>
      </c>
    </row>
    <row r="240" spans="1:7" s="2777" customFormat="1" ht="14.25" customHeight="1">
      <c r="A240" s="2943" t="s">
        <v>305</v>
      </c>
      <c r="B240" s="2943" t="s">
        <v>3104</v>
      </c>
      <c r="C240" s="2943">
        <v>5420</v>
      </c>
      <c r="D240" s="2943">
        <v>5380</v>
      </c>
      <c r="E240" s="2943">
        <v>6640</v>
      </c>
      <c r="F240" s="2943">
        <v>1020</v>
      </c>
      <c r="G240" s="2943">
        <v>3300</v>
      </c>
    </row>
    <row r="241" spans="1:7" s="2777" customFormat="1" ht="14.25" customHeight="1">
      <c r="A241" s="2943" t="s">
        <v>305</v>
      </c>
      <c r="B241" s="2943" t="s">
        <v>3105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2935</v>
      </c>
      <c r="C258" s="2943">
        <v>6190</v>
      </c>
      <c r="D258" s="2943">
        <v>6160</v>
      </c>
      <c r="E258" s="2943">
        <v>7680</v>
      </c>
      <c r="F258" s="2943">
        <v>1170</v>
      </c>
      <c r="G258" s="2943">
        <v>3780</v>
      </c>
    </row>
    <row r="259" spans="1:7" s="2777" customFormat="1" ht="14.25" customHeight="1">
      <c r="A259" s="2943" t="s">
        <v>305</v>
      </c>
      <c r="B259" s="2943" t="s">
        <v>3111</v>
      </c>
      <c r="C259" s="2943">
        <v>7610</v>
      </c>
      <c r="D259" s="2943">
        <v>7570</v>
      </c>
      <c r="E259" s="2943">
        <v>9350</v>
      </c>
      <c r="F259" s="2943">
        <v>1350</v>
      </c>
      <c r="G259" s="2943">
        <v>4650</v>
      </c>
    </row>
    <row r="260" spans="1:7" s="2777" customFormat="1" ht="14.25" customHeight="1">
      <c r="A260" s="2943" t="s">
        <v>305</v>
      </c>
      <c r="B260" s="2943" t="s">
        <v>3112</v>
      </c>
      <c r="C260" s="2943">
        <v>6920</v>
      </c>
      <c r="D260" s="2943">
        <v>6880</v>
      </c>
      <c r="E260" s="2943">
        <v>8380</v>
      </c>
      <c r="F260" s="2943">
        <v>1160</v>
      </c>
      <c r="G260" s="2943">
        <v>4220</v>
      </c>
    </row>
    <row r="261" spans="1:7" s="2777" customFormat="1" ht="14.25" customHeight="1">
      <c r="A261" s="2943" t="s">
        <v>305</v>
      </c>
      <c r="B261" s="2943" t="s">
        <v>3113</v>
      </c>
      <c r="C261" s="2943">
        <v>6850</v>
      </c>
      <c r="D261" s="2943">
        <v>6810</v>
      </c>
      <c r="E261" s="2943">
        <v>8290</v>
      </c>
      <c r="F261" s="2943">
        <v>1130</v>
      </c>
      <c r="G261" s="2943">
        <v>4180</v>
      </c>
    </row>
    <row r="262" spans="1:7" s="2777" customFormat="1" ht="14.25" customHeight="1">
      <c r="A262" s="2943" t="s">
        <v>305</v>
      </c>
      <c r="B262" s="2943" t="s">
        <v>3114</v>
      </c>
      <c r="C262" s="2943">
        <v>5860</v>
      </c>
      <c r="D262" s="2943">
        <v>5820</v>
      </c>
      <c r="E262" s="2943">
        <v>7640</v>
      </c>
      <c r="F262" s="2943">
        <v>1070</v>
      </c>
      <c r="G262" s="2943">
        <v>3570</v>
      </c>
    </row>
    <row r="263" spans="1:7" s="2777" customFormat="1" ht="14.25" customHeight="1">
      <c r="A263" s="2943" t="s">
        <v>305</v>
      </c>
      <c r="B263" s="2943" t="s">
        <v>3115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3116</v>
      </c>
      <c r="C265" s="2943"/>
      <c r="D265" s="2943"/>
      <c r="E265" s="2943"/>
      <c r="F265" s="2943">
        <v>1500</v>
      </c>
      <c r="G265" s="2943"/>
    </row>
    <row r="266" spans="1:7" s="2777" customFormat="1" ht="14.25" customHeight="1">
      <c r="A266" s="2943" t="s">
        <v>305</v>
      </c>
      <c r="B266" s="2943" t="s">
        <v>3117</v>
      </c>
      <c r="C266" s="2943"/>
      <c r="D266" s="2943"/>
      <c r="E266" s="2943"/>
      <c r="F266" s="2943">
        <v>1500</v>
      </c>
      <c r="G266" s="2943"/>
    </row>
    <row r="267" spans="1:7" s="2777" customFormat="1" ht="14.25" customHeight="1">
      <c r="A267" s="2943" t="s">
        <v>305</v>
      </c>
      <c r="B267" s="2943" t="s">
        <v>3118</v>
      </c>
      <c r="C267" s="2943"/>
      <c r="D267" s="2943"/>
      <c r="E267" s="2943"/>
      <c r="F267" s="2943">
        <v>1500</v>
      </c>
      <c r="G267" s="2943"/>
    </row>
    <row r="268" spans="1:7" s="2777" customFormat="1" ht="14.25" customHeight="1">
      <c r="A268" s="2943" t="s">
        <v>305</v>
      </c>
      <c r="B268" s="2943" t="s">
        <v>3119</v>
      </c>
      <c r="C268" s="2943"/>
      <c r="D268" s="2943"/>
      <c r="E268" s="2943"/>
      <c r="F268" s="2943">
        <v>1290</v>
      </c>
      <c r="G268" s="2943"/>
    </row>
    <row r="269" spans="1:7" s="2777" customFormat="1" ht="14.25" customHeight="1">
      <c r="A269" s="2943" t="s">
        <v>305</v>
      </c>
      <c r="B269" s="2943" t="s">
        <v>3120</v>
      </c>
      <c r="C269" s="2943"/>
      <c r="D269" s="2943"/>
      <c r="E269" s="2943"/>
      <c r="F269" s="2943">
        <v>1150</v>
      </c>
      <c r="G269" s="2943"/>
    </row>
    <row r="270" spans="1:7" s="2777" customFormat="1" ht="14.25" customHeight="1">
      <c r="A270" s="2943" t="s">
        <v>305</v>
      </c>
      <c r="B270" s="2943" t="s">
        <v>3121</v>
      </c>
      <c r="C270" s="2943"/>
      <c r="D270" s="2943"/>
      <c r="E270" s="2943"/>
      <c r="F270" s="2943">
        <v>1380</v>
      </c>
      <c r="G270" s="2943"/>
    </row>
    <row r="271" spans="1:7" s="2777" customFormat="1" ht="14.25" customHeight="1">
      <c r="A271" s="2943" t="s">
        <v>305</v>
      </c>
      <c r="B271" s="2943" t="s">
        <v>3122</v>
      </c>
      <c r="C271" s="2943"/>
      <c r="D271" s="2943"/>
      <c r="E271" s="2943"/>
      <c r="F271" s="2943">
        <v>1460</v>
      </c>
      <c r="G271" s="2943"/>
    </row>
    <row r="272" spans="1:7" s="2777" customFormat="1" ht="14.25" customHeight="1">
      <c r="A272" s="2943" t="s">
        <v>305</v>
      </c>
      <c r="B272" s="2943" t="s">
        <v>3123</v>
      </c>
      <c r="C272" s="2943"/>
      <c r="D272" s="2943"/>
      <c r="E272" s="2943"/>
      <c r="F272" s="2943">
        <v>1460</v>
      </c>
      <c r="G272" s="2943"/>
    </row>
    <row r="273" spans="1:7" s="2777" customFormat="1" ht="14.25" customHeight="1">
      <c r="A273" s="2943" t="s">
        <v>305</v>
      </c>
      <c r="B273" s="2943" t="s">
        <v>3016</v>
      </c>
      <c r="C273" s="2943"/>
      <c r="D273" s="2943"/>
      <c r="E273" s="2943"/>
      <c r="F273" s="2943">
        <v>1490</v>
      </c>
      <c r="G273" s="2943"/>
    </row>
    <row r="274" spans="1:7" s="2777" customFormat="1" ht="14.25" customHeight="1">
      <c r="A274" s="2943" t="s">
        <v>305</v>
      </c>
      <c r="B274" s="2943" t="s">
        <v>3124</v>
      </c>
      <c r="C274" s="2943"/>
      <c r="D274" s="2943"/>
      <c r="E274" s="2943"/>
      <c r="F274" s="2943">
        <v>1490</v>
      </c>
      <c r="G274" s="2943"/>
    </row>
    <row r="275" spans="1:7" s="2777" customFormat="1" ht="14.25" customHeight="1">
      <c r="A275" s="2943" t="s">
        <v>305</v>
      </c>
      <c r="B275" s="2943" t="s">
        <v>3125</v>
      </c>
      <c r="C275" s="2943"/>
      <c r="D275" s="2943"/>
      <c r="E275" s="2943"/>
      <c r="F275" s="2943">
        <v>1220</v>
      </c>
      <c r="G275" s="2943"/>
    </row>
    <row r="276" spans="1:7" s="2777" customFormat="1" ht="14.25" customHeight="1" thickBot="1">
      <c r="A276" s="2951" t="s">
        <v>305</v>
      </c>
      <c r="B276" s="2953" t="s">
        <v>3126</v>
      </c>
      <c r="C276" s="2954"/>
      <c r="D276" s="2954"/>
      <c r="E276" s="2954"/>
      <c r="F276" s="2954">
        <v>1380</v>
      </c>
      <c r="G276" s="2954"/>
    </row>
    <row r="277" spans="1:7" s="2777" customFormat="1" ht="14.25" customHeight="1">
      <c r="A277" s="2948" t="s">
        <v>306</v>
      </c>
      <c r="B277" s="2939" t="s">
        <v>3127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3128</v>
      </c>
      <c r="C279" s="2943">
        <v>4760</v>
      </c>
      <c r="D279" s="2943">
        <v>4720</v>
      </c>
      <c r="E279" s="2943">
        <v>5540</v>
      </c>
      <c r="F279" s="2943">
        <v>810</v>
      </c>
      <c r="G279" s="2956">
        <v>2850</v>
      </c>
    </row>
    <row r="280" spans="1:7" s="2777" customFormat="1" ht="14.25" customHeight="1">
      <c r="A280" s="2943" t="s">
        <v>306</v>
      </c>
      <c r="B280" s="2943" t="s">
        <v>3129</v>
      </c>
      <c r="C280" s="2943">
        <v>4010</v>
      </c>
      <c r="D280" s="2943">
        <v>3950</v>
      </c>
      <c r="E280" s="2943">
        <v>4710</v>
      </c>
      <c r="F280" s="2943">
        <v>800</v>
      </c>
      <c r="G280" s="2956">
        <v>2390</v>
      </c>
    </row>
    <row r="281" spans="1:7" s="2777" customFormat="1" ht="14.25" customHeight="1">
      <c r="A281" s="2943" t="s">
        <v>306</v>
      </c>
      <c r="B281" s="2943" t="s">
        <v>3130</v>
      </c>
      <c r="C281" s="2943">
        <v>4480</v>
      </c>
      <c r="D281" s="2943">
        <v>4420</v>
      </c>
      <c r="E281" s="2943">
        <v>5230</v>
      </c>
      <c r="F281" s="2943">
        <v>870</v>
      </c>
      <c r="G281" s="2956">
        <v>2660</v>
      </c>
    </row>
    <row r="282" spans="1:7" s="2777" customFormat="1" ht="14.25" customHeight="1">
      <c r="A282" s="2943" t="s">
        <v>306</v>
      </c>
      <c r="B282" s="2943" t="s">
        <v>3131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2908</v>
      </c>
      <c r="C293" s="2943">
        <v>5320</v>
      </c>
      <c r="D293" s="2943">
        <v>5270</v>
      </c>
      <c r="E293" s="2943">
        <v>6160</v>
      </c>
      <c r="F293" s="2943">
        <v>990</v>
      </c>
      <c r="G293" s="2956">
        <v>3170</v>
      </c>
    </row>
    <row r="294" spans="1:7" s="2777" customFormat="1" ht="14.25" customHeight="1">
      <c r="A294" s="2943" t="s">
        <v>306</v>
      </c>
      <c r="B294" s="2943" t="s">
        <v>3134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3135</v>
      </c>
      <c r="C302" s="2943">
        <v>5520</v>
      </c>
      <c r="D302" s="2943">
        <v>5470</v>
      </c>
      <c r="E302" s="2943">
        <v>6410</v>
      </c>
      <c r="F302" s="2943">
        <v>950</v>
      </c>
      <c r="G302" s="2956">
        <v>3300</v>
      </c>
    </row>
    <row r="303" spans="1:7" s="2777" customFormat="1" ht="14.25" customHeight="1">
      <c r="A303" s="2943" t="s">
        <v>306</v>
      </c>
      <c r="B303" s="2943" t="s">
        <v>2947</v>
      </c>
      <c r="C303" s="2943">
        <v>5630</v>
      </c>
      <c r="D303" s="2943">
        <v>5590</v>
      </c>
      <c r="E303" s="2943">
        <v>6550</v>
      </c>
      <c r="F303" s="2943">
        <v>1010</v>
      </c>
      <c r="G303" s="2956">
        <v>3370</v>
      </c>
    </row>
    <row r="304" spans="1:7" s="2777" customFormat="1" ht="14.25" customHeight="1">
      <c r="A304" s="2943" t="s">
        <v>306</v>
      </c>
      <c r="B304" s="2943" t="s">
        <v>2954</v>
      </c>
      <c r="C304" s="2943">
        <v>5680</v>
      </c>
      <c r="D304" s="2943">
        <v>5620</v>
      </c>
      <c r="E304" s="2943">
        <v>6620</v>
      </c>
      <c r="F304" s="2943">
        <v>1050</v>
      </c>
      <c r="G304" s="2956">
        <v>3390</v>
      </c>
    </row>
    <row r="305" spans="1:7" s="2777" customFormat="1" ht="14.25" customHeight="1">
      <c r="A305" s="2943" t="s">
        <v>306</v>
      </c>
      <c r="B305" s="2943" t="s">
        <v>2960</v>
      </c>
      <c r="C305" s="2943">
        <v>5590</v>
      </c>
      <c r="D305" s="2943">
        <v>5530</v>
      </c>
      <c r="E305" s="2943">
        <v>6460</v>
      </c>
      <c r="F305" s="2943">
        <v>900</v>
      </c>
      <c r="G305" s="2956">
        <v>3340</v>
      </c>
    </row>
    <row r="306" spans="1:7" s="2777" customFormat="1" ht="14.25" customHeight="1">
      <c r="A306" s="2943" t="s">
        <v>306</v>
      </c>
      <c r="B306" s="2943" t="s">
        <v>3136</v>
      </c>
      <c r="C306" s="2943">
        <v>5560</v>
      </c>
      <c r="D306" s="2943">
        <v>5510</v>
      </c>
      <c r="E306" s="2943">
        <v>6440</v>
      </c>
      <c r="F306" s="2943">
        <v>900</v>
      </c>
      <c r="G306" s="2956">
        <v>3320</v>
      </c>
    </row>
    <row r="307" spans="1:7" s="2777" customFormat="1" ht="14.25" customHeight="1">
      <c r="A307" s="2943" t="s">
        <v>306</v>
      </c>
      <c r="B307" s="2943" t="s">
        <v>2972</v>
      </c>
      <c r="C307" s="2943">
        <v>5650</v>
      </c>
      <c r="D307" s="2943">
        <v>5600</v>
      </c>
      <c r="E307" s="2943">
        <v>6590</v>
      </c>
      <c r="F307" s="2943">
        <v>930</v>
      </c>
      <c r="G307" s="2956">
        <v>3380</v>
      </c>
    </row>
    <row r="308" spans="1:7" s="2777" customFormat="1" ht="14.25" customHeight="1">
      <c r="A308" s="2943" t="s">
        <v>306</v>
      </c>
      <c r="B308" s="2943" t="s">
        <v>3137</v>
      </c>
      <c r="C308" s="2943">
        <v>5620</v>
      </c>
      <c r="D308" s="2943">
        <v>5580</v>
      </c>
      <c r="E308" s="2943">
        <v>6540</v>
      </c>
      <c r="F308" s="2943">
        <v>910</v>
      </c>
      <c r="G308" s="2956">
        <v>3370</v>
      </c>
    </row>
    <row r="309" spans="1:7" s="2777" customFormat="1" ht="14.25" customHeight="1">
      <c r="A309" s="2943" t="s">
        <v>306</v>
      </c>
      <c r="B309" s="2943" t="s">
        <v>3138</v>
      </c>
      <c r="C309" s="2943">
        <v>5060</v>
      </c>
      <c r="D309" s="2943">
        <v>5020</v>
      </c>
      <c r="E309" s="2943">
        <v>6370</v>
      </c>
      <c r="F309" s="2943">
        <v>800</v>
      </c>
      <c r="G309" s="2956">
        <v>3020</v>
      </c>
    </row>
    <row r="310" spans="1:7" s="2777" customFormat="1" ht="14.25" customHeight="1">
      <c r="A310" s="2943" t="s">
        <v>306</v>
      </c>
      <c r="B310" s="2943" t="s">
        <v>2987</v>
      </c>
      <c r="C310" s="2943">
        <v>5150</v>
      </c>
      <c r="D310" s="2943">
        <v>5110</v>
      </c>
      <c r="E310" s="2943">
        <v>6500</v>
      </c>
      <c r="F310" s="2943">
        <v>880</v>
      </c>
      <c r="G310" s="2956">
        <v>3080</v>
      </c>
    </row>
    <row r="311" spans="1:7" s="2777" customFormat="1" ht="14.25" customHeight="1">
      <c r="A311" s="2943" t="s">
        <v>306</v>
      </c>
      <c r="B311" s="2943" t="s">
        <v>3139</v>
      </c>
      <c r="C311" s="2943">
        <v>4750</v>
      </c>
      <c r="D311" s="2943">
        <v>4710</v>
      </c>
      <c r="E311" s="2943">
        <v>5510</v>
      </c>
      <c r="F311" s="2943">
        <v>880</v>
      </c>
      <c r="G311" s="2956">
        <v>2840</v>
      </c>
    </row>
    <row r="312" spans="1:7" s="2777" customFormat="1" ht="14.25" customHeight="1">
      <c r="A312" s="2943" t="s">
        <v>306</v>
      </c>
      <c r="B312" s="2943" t="s">
        <v>2997</v>
      </c>
      <c r="C312" s="2943">
        <v>4690</v>
      </c>
      <c r="D312" s="2943">
        <v>4640</v>
      </c>
      <c r="E312" s="2943">
        <v>5420</v>
      </c>
      <c r="F312" s="2943">
        <v>800</v>
      </c>
      <c r="G312" s="2956">
        <v>2800</v>
      </c>
    </row>
    <row r="313" spans="1:7" s="2777" customFormat="1" ht="14.25" customHeight="1">
      <c r="A313" s="2943" t="s">
        <v>306</v>
      </c>
      <c r="B313" s="2943" t="s">
        <v>3002</v>
      </c>
      <c r="C313" s="2943">
        <v>4810</v>
      </c>
      <c r="D313" s="2943">
        <v>4760</v>
      </c>
      <c r="E313" s="2943">
        <v>5550</v>
      </c>
      <c r="F313" s="2943">
        <v>920</v>
      </c>
      <c r="G313" s="2956">
        <v>2870</v>
      </c>
    </row>
    <row r="314" spans="1:7" s="2777" customFormat="1" ht="14.25" customHeight="1">
      <c r="A314" s="2943" t="s">
        <v>306</v>
      </c>
      <c r="B314" s="2943" t="s">
        <v>3140</v>
      </c>
      <c r="C314" s="2943"/>
      <c r="D314" s="2943"/>
      <c r="E314" s="2943"/>
      <c r="F314" s="2943">
        <v>1020</v>
      </c>
      <c r="G314" s="2956"/>
    </row>
    <row r="315" spans="1:7" s="2777" customFormat="1" ht="14.25" customHeight="1">
      <c r="A315" s="2943" t="s">
        <v>306</v>
      </c>
      <c r="B315" s="2943" t="s">
        <v>3141</v>
      </c>
      <c r="C315" s="2943"/>
      <c r="D315" s="2943"/>
      <c r="E315" s="2943"/>
      <c r="F315" s="2943">
        <v>1050</v>
      </c>
      <c r="G315" s="2956"/>
    </row>
    <row r="316" spans="1:7" s="2777" customFormat="1" ht="14.25" customHeight="1">
      <c r="A316" s="2943" t="s">
        <v>306</v>
      </c>
      <c r="B316" s="2943" t="s">
        <v>3017</v>
      </c>
      <c r="C316" s="2943"/>
      <c r="D316" s="2943"/>
      <c r="E316" s="2943"/>
      <c r="F316" s="2943">
        <v>900</v>
      </c>
      <c r="G316" s="2956"/>
    </row>
    <row r="317" spans="1:7" s="2777" customFormat="1" ht="14.25" customHeight="1">
      <c r="A317" s="2943" t="s">
        <v>306</v>
      </c>
      <c r="B317" s="2943" t="s">
        <v>3142</v>
      </c>
      <c r="C317" s="2943"/>
      <c r="D317" s="2943"/>
      <c r="E317" s="2943"/>
      <c r="F317" s="2943">
        <v>920</v>
      </c>
      <c r="G317" s="2956"/>
    </row>
    <row r="318" spans="1:7" s="2777" customFormat="1" ht="14.25" customHeight="1">
      <c r="A318" s="2943" t="s">
        <v>306</v>
      </c>
      <c r="B318" s="2943" t="s">
        <v>3143</v>
      </c>
      <c r="C318" s="2943"/>
      <c r="D318" s="2943"/>
      <c r="E318" s="2943"/>
      <c r="F318" s="2943">
        <v>1080</v>
      </c>
      <c r="G318" s="2956"/>
    </row>
    <row r="319" spans="1:7" s="2777" customFormat="1" ht="14.25" customHeight="1">
      <c r="A319" s="2943" t="s">
        <v>306</v>
      </c>
      <c r="B319" s="2943" t="s">
        <v>3030</v>
      </c>
      <c r="C319" s="2943"/>
      <c r="D319" s="2943"/>
      <c r="E319" s="2943"/>
      <c r="F319" s="2943">
        <v>1020</v>
      </c>
      <c r="G319" s="2956"/>
    </row>
    <row r="320" spans="1:7" s="2777" customFormat="1" ht="14.25" customHeight="1">
      <c r="A320" s="2943" t="s">
        <v>306</v>
      </c>
      <c r="B320" s="2943" t="s">
        <v>3033</v>
      </c>
      <c r="C320" s="2943"/>
      <c r="D320" s="2943"/>
      <c r="E320" s="2943"/>
      <c r="F320" s="2943">
        <v>1050</v>
      </c>
      <c r="G320" s="2956"/>
    </row>
    <row r="321" spans="1:7" s="2777" customFormat="1" ht="14.25" customHeight="1">
      <c r="A321" s="2943" t="s">
        <v>306</v>
      </c>
      <c r="B321" s="2943" t="s">
        <v>3035</v>
      </c>
      <c r="C321" s="2943"/>
      <c r="D321" s="2943"/>
      <c r="E321" s="2943"/>
      <c r="F321" s="2943">
        <v>960</v>
      </c>
      <c r="G321" s="2956"/>
    </row>
    <row r="322" spans="1:7" s="2777" customFormat="1" ht="14.25" customHeight="1">
      <c r="A322" s="2943" t="s">
        <v>306</v>
      </c>
      <c r="B322" s="2943" t="s">
        <v>3037</v>
      </c>
      <c r="C322" s="2943"/>
      <c r="D322" s="2943"/>
      <c r="E322" s="2943"/>
      <c r="F322" s="2943">
        <v>960</v>
      </c>
      <c r="G322" s="2956"/>
    </row>
    <row r="323" spans="1:7" s="2777" customFormat="1" ht="14.25" customHeight="1">
      <c r="A323" s="2943" t="s">
        <v>306</v>
      </c>
      <c r="B323" s="2943" t="s">
        <v>3039</v>
      </c>
      <c r="C323" s="2943"/>
      <c r="D323" s="2943"/>
      <c r="E323" s="2943"/>
      <c r="F323" s="2943">
        <v>880</v>
      </c>
      <c r="G323" s="2956"/>
    </row>
    <row r="324" spans="1:7" s="2777" customFormat="1" ht="14.25" customHeight="1">
      <c r="A324" s="2943" t="s">
        <v>306</v>
      </c>
      <c r="B324" s="2943" t="s">
        <v>3041</v>
      </c>
      <c r="C324" s="2943"/>
      <c r="D324" s="2943"/>
      <c r="E324" s="2943"/>
      <c r="F324" s="2943">
        <v>930</v>
      </c>
      <c r="G324" s="2956"/>
    </row>
    <row r="325" spans="1:7" s="2777" customFormat="1" ht="14.25" customHeight="1">
      <c r="A325" s="2943" t="s">
        <v>306</v>
      </c>
      <c r="B325" s="2944" t="s">
        <v>3043</v>
      </c>
      <c r="C325" s="2943"/>
      <c r="D325" s="2943"/>
      <c r="E325" s="2943"/>
      <c r="F325" s="2943">
        <v>900</v>
      </c>
      <c r="G325" s="2956"/>
    </row>
    <row r="326" spans="1:7" s="2777" customFormat="1" ht="14.25" customHeight="1" thickBot="1">
      <c r="A326" s="2957" t="s">
        <v>306</v>
      </c>
      <c r="B326" s="2950" t="s">
        <v>3045</v>
      </c>
      <c r="C326" s="2950"/>
      <c r="D326" s="2950"/>
      <c r="E326" s="2950"/>
      <c r="F326" s="2950">
        <v>790</v>
      </c>
      <c r="G326" s="2958"/>
    </row>
    <row r="327" spans="1:7" s="2777" customFormat="1" ht="14.25" customHeight="1">
      <c r="A327" s="2948" t="s">
        <v>307</v>
      </c>
      <c r="B327" s="2939" t="s">
        <v>3144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3145</v>
      </c>
      <c r="C329" s="2943">
        <v>2730</v>
      </c>
      <c r="D329" s="2943">
        <v>2690</v>
      </c>
      <c r="E329" s="2943">
        <v>3100</v>
      </c>
      <c r="F329" s="2943">
        <v>660</v>
      </c>
      <c r="G329" s="2943">
        <v>1610</v>
      </c>
    </row>
    <row r="330" spans="1:7" s="2777" customFormat="1" ht="14.25" customHeight="1">
      <c r="A330" s="2943" t="s">
        <v>307</v>
      </c>
      <c r="B330" s="2943" t="s">
        <v>3146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2879</v>
      </c>
      <c r="C332" s="2943">
        <v>3520</v>
      </c>
      <c r="D332" s="2943">
        <v>3480</v>
      </c>
      <c r="E332" s="2943">
        <v>3830</v>
      </c>
      <c r="F332" s="2943">
        <v>720</v>
      </c>
      <c r="G332" s="2943">
        <v>2090</v>
      </c>
    </row>
    <row r="333" spans="1:7" s="2777" customFormat="1" ht="14.25" customHeight="1">
      <c r="A333" s="2943" t="s">
        <v>307</v>
      </c>
      <c r="B333" s="2943" t="s">
        <v>3147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2889</v>
      </c>
      <c r="C336" s="2943">
        <v>3570</v>
      </c>
      <c r="D336" s="2943">
        <v>3530</v>
      </c>
      <c r="E336" s="2943">
        <v>3880</v>
      </c>
      <c r="F336" s="2943">
        <v>770</v>
      </c>
      <c r="G336" s="2943">
        <v>2110</v>
      </c>
    </row>
    <row r="337" spans="1:10" s="2777" customFormat="1" ht="14.25" customHeight="1">
      <c r="A337" s="2943" t="s">
        <v>307</v>
      </c>
      <c r="B337" s="2943" t="s">
        <v>3148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2914</v>
      </c>
      <c r="C345" s="2943">
        <v>3190</v>
      </c>
      <c r="D345" s="2943">
        <v>3140</v>
      </c>
      <c r="E345" s="2943">
        <v>3450</v>
      </c>
      <c r="F345" s="2943">
        <v>720</v>
      </c>
      <c r="G345" s="2943">
        <v>1880</v>
      </c>
      <c r="J345" s="2777"/>
    </row>
    <row r="346" spans="1:10">
      <c r="A346" s="2943" t="s">
        <v>307</v>
      </c>
      <c r="B346" s="2943" t="s">
        <v>3151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2923</v>
      </c>
      <c r="C348" s="2943">
        <v>4000</v>
      </c>
      <c r="D348" s="2943">
        <v>3950</v>
      </c>
      <c r="E348" s="2943">
        <v>4430</v>
      </c>
      <c r="F348" s="2943">
        <v>760</v>
      </c>
      <c r="G348" s="2943">
        <v>2360</v>
      </c>
      <c r="J348" s="2777"/>
    </row>
    <row r="349" spans="1:10">
      <c r="A349" s="2943" t="s">
        <v>307</v>
      </c>
      <c r="B349" s="2943" t="s">
        <v>2928</v>
      </c>
      <c r="C349" s="2943">
        <v>3820</v>
      </c>
      <c r="D349" s="2943">
        <v>3780</v>
      </c>
      <c r="E349" s="2943">
        <v>4170</v>
      </c>
      <c r="F349" s="2943">
        <v>710</v>
      </c>
      <c r="G349" s="2943">
        <v>2260</v>
      </c>
      <c r="J349" s="2777"/>
    </row>
    <row r="350" spans="1:10">
      <c r="A350" s="2943" t="s">
        <v>307</v>
      </c>
      <c r="B350" s="2943" t="s">
        <v>3152</v>
      </c>
      <c r="C350" s="2943">
        <v>3760</v>
      </c>
      <c r="D350" s="2943">
        <v>3730</v>
      </c>
      <c r="E350" s="2943">
        <v>4100</v>
      </c>
      <c r="F350" s="2943">
        <v>800</v>
      </c>
      <c r="G350" s="2943">
        <v>2230</v>
      </c>
      <c r="J350" s="2777"/>
    </row>
    <row r="351" spans="1:10">
      <c r="A351" s="2943" t="s">
        <v>307</v>
      </c>
      <c r="B351" s="2943" t="s">
        <v>2936</v>
      </c>
      <c r="C351" s="2943">
        <v>3610</v>
      </c>
      <c r="D351" s="2943">
        <v>3580</v>
      </c>
      <c r="E351" s="2943">
        <v>3930</v>
      </c>
      <c r="F351" s="2943">
        <v>700</v>
      </c>
      <c r="G351" s="2943">
        <v>2140</v>
      </c>
      <c r="J351" s="2777"/>
    </row>
    <row r="352" spans="1:10">
      <c r="A352" s="2943" t="s">
        <v>307</v>
      </c>
      <c r="B352" s="2943" t="s">
        <v>2941</v>
      </c>
      <c r="C352" s="2943">
        <v>3670</v>
      </c>
      <c r="D352" s="2943">
        <v>3630</v>
      </c>
      <c r="E352" s="2943">
        <v>4000</v>
      </c>
      <c r="F352" s="2943">
        <v>750</v>
      </c>
      <c r="G352" s="2943">
        <v>2180</v>
      </c>
    </row>
    <row r="353" spans="1:7" s="2778" customFormat="1">
      <c r="A353" s="2943" t="s">
        <v>307</v>
      </c>
      <c r="B353" s="2943" t="s">
        <v>3153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2961</v>
      </c>
      <c r="C355" s="2943">
        <v>3650</v>
      </c>
      <c r="D355" s="2943">
        <v>3610</v>
      </c>
      <c r="E355" s="2943">
        <v>4200</v>
      </c>
      <c r="F355" s="2943">
        <v>640</v>
      </c>
      <c r="G355" s="2943">
        <v>2160</v>
      </c>
    </row>
    <row r="356" spans="1:7" s="2778" customFormat="1">
      <c r="A356" s="2943" t="s">
        <v>307</v>
      </c>
      <c r="B356" s="2943" t="s">
        <v>2968</v>
      </c>
      <c r="C356" s="2943">
        <v>3260</v>
      </c>
      <c r="D356" s="2943">
        <v>3230</v>
      </c>
      <c r="E356" s="2943">
        <v>3740</v>
      </c>
      <c r="F356" s="2943">
        <v>600</v>
      </c>
      <c r="G356" s="2943">
        <v>1930</v>
      </c>
    </row>
    <row r="357" spans="1:7" s="2778" customFormat="1" ht="12" thickBot="1">
      <c r="A357" s="2951" t="s">
        <v>307</v>
      </c>
      <c r="B357" s="2954" t="s">
        <v>3154</v>
      </c>
      <c r="C357" s="2954">
        <v>3690</v>
      </c>
      <c r="D357" s="2954">
        <v>3650</v>
      </c>
      <c r="E357" s="2954">
        <v>4020</v>
      </c>
      <c r="F357" s="2954">
        <v>700</v>
      </c>
      <c r="G357" s="2954">
        <v>2190</v>
      </c>
    </row>
    <row r="358" spans="1:7" s="2778" customFormat="1">
      <c r="A358" s="2948" t="s">
        <v>3155</v>
      </c>
      <c r="B358" s="2939" t="s">
        <v>3156</v>
      </c>
      <c r="C358" s="2939">
        <v>2080</v>
      </c>
      <c r="D358" s="2939">
        <v>2040</v>
      </c>
      <c r="E358" s="2939">
        <v>2010</v>
      </c>
      <c r="F358" s="2939">
        <v>530</v>
      </c>
      <c r="G358" s="2955">
        <v>1230</v>
      </c>
    </row>
    <row r="359" spans="1:7" s="2778" customFormat="1">
      <c r="A359" s="2943" t="s">
        <v>3155</v>
      </c>
      <c r="B359" s="2943" t="s">
        <v>3157</v>
      </c>
      <c r="C359" s="2943">
        <v>1850</v>
      </c>
      <c r="D359" s="2943">
        <v>1820</v>
      </c>
      <c r="E359" s="2943">
        <v>1780</v>
      </c>
      <c r="F359" s="2943">
        <v>520</v>
      </c>
      <c r="G359" s="2956">
        <v>1100</v>
      </c>
    </row>
    <row r="360" spans="1:7" s="2778" customFormat="1">
      <c r="A360" s="2943" t="s">
        <v>3155</v>
      </c>
      <c r="B360" s="2943" t="s">
        <v>3158</v>
      </c>
      <c r="C360" s="2943">
        <v>2020</v>
      </c>
      <c r="D360" s="2943">
        <v>1990</v>
      </c>
      <c r="E360" s="2943">
        <v>1950</v>
      </c>
      <c r="F360" s="2943">
        <v>500</v>
      </c>
      <c r="G360" s="2956">
        <v>1200</v>
      </c>
    </row>
    <row r="361" spans="1:7" s="2778" customFormat="1">
      <c r="A361" s="2943" t="s">
        <v>3155</v>
      </c>
      <c r="B361" s="2943" t="s">
        <v>153</v>
      </c>
      <c r="C361" s="2943">
        <v>2260</v>
      </c>
      <c r="D361" s="2943">
        <v>2220</v>
      </c>
      <c r="E361" s="2943">
        <v>2180</v>
      </c>
      <c r="F361" s="2943">
        <v>580</v>
      </c>
      <c r="G361" s="2956">
        <v>1340</v>
      </c>
    </row>
    <row r="362" spans="1:7" s="2778" customFormat="1">
      <c r="A362" s="2943" t="s">
        <v>3155</v>
      </c>
      <c r="B362" s="2943" t="s">
        <v>3159</v>
      </c>
      <c r="C362" s="2943">
        <v>2650</v>
      </c>
      <c r="D362" s="2943">
        <v>2610</v>
      </c>
      <c r="E362" s="2943">
        <v>2570</v>
      </c>
      <c r="F362" s="2943">
        <v>630</v>
      </c>
      <c r="G362" s="2956">
        <v>1570</v>
      </c>
    </row>
    <row r="363" spans="1:7" s="2778" customFormat="1">
      <c r="A363" s="2943" t="s">
        <v>3155</v>
      </c>
      <c r="B363" s="2943" t="s">
        <v>2880</v>
      </c>
      <c r="C363" s="2943">
        <v>2390</v>
      </c>
      <c r="D363" s="2943">
        <v>2360</v>
      </c>
      <c r="E363" s="2943">
        <v>2320</v>
      </c>
      <c r="F363" s="2943">
        <v>600</v>
      </c>
      <c r="G363" s="2956">
        <v>1420</v>
      </c>
    </row>
    <row r="364" spans="1:7" s="2778" customFormat="1">
      <c r="A364" s="2943" t="s">
        <v>3155</v>
      </c>
      <c r="B364" s="2943" t="s">
        <v>3160</v>
      </c>
      <c r="C364" s="2943">
        <v>2050</v>
      </c>
      <c r="D364" s="2943">
        <v>2030</v>
      </c>
      <c r="E364" s="2943">
        <v>1990</v>
      </c>
      <c r="F364" s="2943">
        <v>550</v>
      </c>
      <c r="G364" s="2956">
        <v>1220</v>
      </c>
    </row>
    <row r="365" spans="1:7" s="2778" customFormat="1">
      <c r="A365" s="2943" t="s">
        <v>3155</v>
      </c>
      <c r="B365" s="2943" t="s">
        <v>200</v>
      </c>
      <c r="C365" s="2943">
        <v>2140</v>
      </c>
      <c r="D365" s="2943">
        <v>2100</v>
      </c>
      <c r="E365" s="2943">
        <v>2060</v>
      </c>
      <c r="F365" s="2943">
        <v>540</v>
      </c>
      <c r="G365" s="2956">
        <v>1270</v>
      </c>
    </row>
    <row r="366" spans="1:7" s="2778" customFormat="1">
      <c r="A366" s="2943" t="s">
        <v>3155</v>
      </c>
      <c r="B366" s="2943" t="s">
        <v>2887</v>
      </c>
      <c r="C366" s="2943">
        <v>2410</v>
      </c>
      <c r="D366" s="2943">
        <v>2370</v>
      </c>
      <c r="E366" s="2943">
        <v>2330</v>
      </c>
      <c r="F366" s="2943">
        <v>570</v>
      </c>
      <c r="G366" s="2956">
        <v>1440</v>
      </c>
    </row>
    <row r="367" spans="1:7" s="2778" customFormat="1">
      <c r="A367" s="2943" t="s">
        <v>3155</v>
      </c>
      <c r="B367" s="2943" t="s">
        <v>3161</v>
      </c>
      <c r="C367" s="2943">
        <v>2300</v>
      </c>
      <c r="D367" s="2943">
        <v>2260</v>
      </c>
      <c r="E367" s="2943">
        <v>2220</v>
      </c>
      <c r="F367" s="2943">
        <v>560</v>
      </c>
      <c r="G367" s="2956">
        <v>1370</v>
      </c>
    </row>
    <row r="368" spans="1:7" s="2778" customFormat="1">
      <c r="A368" s="2943" t="s">
        <v>3155</v>
      </c>
      <c r="B368" s="2943" t="s">
        <v>3162</v>
      </c>
      <c r="C368" s="2943">
        <v>2430</v>
      </c>
      <c r="D368" s="2943">
        <v>2390</v>
      </c>
      <c r="E368" s="2943">
        <v>2350</v>
      </c>
      <c r="F368" s="2943">
        <v>570</v>
      </c>
      <c r="G368" s="2956">
        <v>1450</v>
      </c>
    </row>
    <row r="369" spans="1:7" s="2778" customFormat="1">
      <c r="A369" s="2943" t="s">
        <v>3155</v>
      </c>
      <c r="B369" s="2943" t="s">
        <v>214</v>
      </c>
      <c r="C369" s="2943">
        <v>2320</v>
      </c>
      <c r="D369" s="2943">
        <v>2290</v>
      </c>
      <c r="E369" s="2943">
        <v>2250</v>
      </c>
      <c r="F369" s="2943">
        <v>550</v>
      </c>
      <c r="G369" s="2956">
        <v>1380</v>
      </c>
    </row>
    <row r="370" spans="1:7" s="2778" customFormat="1">
      <c r="A370" s="2943" t="s">
        <v>3155</v>
      </c>
      <c r="B370" s="2943" t="s">
        <v>221</v>
      </c>
      <c r="C370" s="2943">
        <v>2190</v>
      </c>
      <c r="D370" s="2943">
        <v>2170</v>
      </c>
      <c r="E370" s="2943">
        <v>2130</v>
      </c>
      <c r="F370" s="2943">
        <v>530</v>
      </c>
      <c r="G370" s="2956">
        <v>1310</v>
      </c>
    </row>
    <row r="371" spans="1:7" s="2778" customFormat="1">
      <c r="A371" s="2943" t="s">
        <v>3155</v>
      </c>
      <c r="B371" s="2943" t="s">
        <v>229</v>
      </c>
      <c r="C371" s="2943">
        <v>2460</v>
      </c>
      <c r="D371" s="2943">
        <v>2420</v>
      </c>
      <c r="E371" s="2943">
        <v>2370</v>
      </c>
      <c r="F371" s="2943">
        <v>560</v>
      </c>
      <c r="G371" s="2956">
        <v>1470</v>
      </c>
    </row>
    <row r="372" spans="1:7" s="2778" customFormat="1">
      <c r="A372" s="2943" t="s">
        <v>3155</v>
      </c>
      <c r="B372" s="2943" t="s">
        <v>3163</v>
      </c>
      <c r="C372" s="2943">
        <v>2250</v>
      </c>
      <c r="D372" s="2943">
        <v>2210</v>
      </c>
      <c r="E372" s="2943">
        <v>2180</v>
      </c>
      <c r="F372" s="2943">
        <v>550</v>
      </c>
      <c r="G372" s="2956">
        <v>1340</v>
      </c>
    </row>
    <row r="373" spans="1:7" s="2778" customFormat="1">
      <c r="A373" s="2943" t="s">
        <v>3155</v>
      </c>
      <c r="B373" s="2943" t="s">
        <v>258</v>
      </c>
      <c r="C373" s="2943">
        <v>2210</v>
      </c>
      <c r="D373" s="2943">
        <v>2190</v>
      </c>
      <c r="E373" s="2943">
        <v>2150</v>
      </c>
      <c r="F373" s="2943">
        <v>530</v>
      </c>
      <c r="G373" s="2956">
        <v>1320</v>
      </c>
    </row>
    <row r="374" spans="1:7" s="2778" customFormat="1">
      <c r="A374" s="2943" t="s">
        <v>3155</v>
      </c>
      <c r="B374" s="2943" t="s">
        <v>266</v>
      </c>
      <c r="C374" s="2943">
        <v>2320</v>
      </c>
      <c r="D374" s="2943">
        <v>2280</v>
      </c>
      <c r="E374" s="2943">
        <v>2230</v>
      </c>
      <c r="F374" s="2943">
        <v>580</v>
      </c>
      <c r="G374" s="2956">
        <v>1380</v>
      </c>
    </row>
    <row r="375" spans="1:7" s="2778" customFormat="1">
      <c r="A375" s="2943" t="s">
        <v>3155</v>
      </c>
      <c r="B375" s="2943" t="s">
        <v>3164</v>
      </c>
      <c r="C375" s="2943">
        <v>2090</v>
      </c>
      <c r="D375" s="2943">
        <v>2050</v>
      </c>
      <c r="E375" s="2943">
        <v>2020</v>
      </c>
      <c r="F375" s="2943">
        <v>520</v>
      </c>
      <c r="G375" s="2956">
        <v>1240</v>
      </c>
    </row>
    <row r="376" spans="1:7" s="2778" customFormat="1">
      <c r="A376" s="2943" t="s">
        <v>3155</v>
      </c>
      <c r="B376" s="2943" t="s">
        <v>277</v>
      </c>
      <c r="C376" s="2943">
        <v>2010</v>
      </c>
      <c r="D376" s="2943">
        <v>1980</v>
      </c>
      <c r="E376" s="2943">
        <v>1940</v>
      </c>
      <c r="F376" s="2943">
        <v>540</v>
      </c>
      <c r="G376" s="2956">
        <v>1190</v>
      </c>
    </row>
    <row r="377" spans="1:7" s="2778" customFormat="1" ht="12" thickBot="1">
      <c r="A377" s="2951" t="s">
        <v>3155</v>
      </c>
      <c r="B377" s="2954" t="s">
        <v>2917</v>
      </c>
      <c r="C377" s="2954">
        <v>1930</v>
      </c>
      <c r="D377" s="2954">
        <v>1890</v>
      </c>
      <c r="E377" s="2954">
        <v>1860</v>
      </c>
      <c r="F377" s="2954">
        <v>530</v>
      </c>
      <c r="G377" s="2959">
        <v>1150</v>
      </c>
    </row>
    <row r="378" spans="1:7" s="2778" customFormat="1">
      <c r="A378" s="2960" t="s">
        <v>3165</v>
      </c>
      <c r="B378" s="2939" t="s">
        <v>3166</v>
      </c>
      <c r="C378" s="2939">
        <v>1520</v>
      </c>
      <c r="D378" s="2939">
        <v>1490</v>
      </c>
      <c r="E378" s="2939">
        <v>1460</v>
      </c>
      <c r="F378" s="2939">
        <v>460</v>
      </c>
      <c r="G378" s="2955">
        <v>940</v>
      </c>
    </row>
    <row r="379" spans="1:7" s="2778" customFormat="1">
      <c r="A379" s="2961" t="s">
        <v>3165</v>
      </c>
      <c r="B379" s="2943" t="s">
        <v>3167</v>
      </c>
      <c r="C379" s="2943">
        <v>1500</v>
      </c>
      <c r="D379" s="2943">
        <v>1470</v>
      </c>
      <c r="E379" s="2943">
        <v>1430</v>
      </c>
      <c r="F379" s="2943">
        <v>460</v>
      </c>
      <c r="G379" s="2956">
        <v>920</v>
      </c>
    </row>
    <row r="380" spans="1:7" s="2778" customFormat="1">
      <c r="A380" s="2961" t="s">
        <v>3165</v>
      </c>
      <c r="B380" s="2943" t="s">
        <v>3168</v>
      </c>
      <c r="C380" s="2943">
        <v>1620</v>
      </c>
      <c r="D380" s="2943">
        <v>1590</v>
      </c>
      <c r="E380" s="2943">
        <v>1560</v>
      </c>
      <c r="F380" s="2943">
        <v>480</v>
      </c>
      <c r="G380" s="2956">
        <v>1000</v>
      </c>
    </row>
    <row r="381" spans="1:7" s="2778" customFormat="1">
      <c r="A381" s="2961" t="s">
        <v>3165</v>
      </c>
      <c r="B381" s="2943" t="s">
        <v>3169</v>
      </c>
      <c r="C381" s="2943">
        <v>1460</v>
      </c>
      <c r="D381" s="2943">
        <v>1430</v>
      </c>
      <c r="E381" s="2943">
        <v>1390</v>
      </c>
      <c r="F381" s="2943">
        <v>450</v>
      </c>
      <c r="G381" s="2956">
        <v>900</v>
      </c>
    </row>
    <row r="382" spans="1:7" s="2778" customFormat="1">
      <c r="A382" s="2961" t="s">
        <v>3165</v>
      </c>
      <c r="B382" s="2943" t="s">
        <v>3170</v>
      </c>
      <c r="C382" s="2943">
        <v>1310</v>
      </c>
      <c r="D382" s="2943">
        <v>1280</v>
      </c>
      <c r="E382" s="2943">
        <v>1250</v>
      </c>
      <c r="F382" s="2943">
        <v>440</v>
      </c>
      <c r="G382" s="2956">
        <v>800</v>
      </c>
    </row>
    <row r="383" spans="1:7" s="2778" customFormat="1">
      <c r="A383" s="2961" t="s">
        <v>3165</v>
      </c>
      <c r="B383" s="2943" t="s">
        <v>3171</v>
      </c>
      <c r="C383" s="2943">
        <v>1260</v>
      </c>
      <c r="D383" s="2943">
        <v>1230</v>
      </c>
      <c r="E383" s="2943">
        <v>1200</v>
      </c>
      <c r="F383" s="2943">
        <v>420</v>
      </c>
      <c r="G383" s="2956">
        <v>770</v>
      </c>
    </row>
    <row r="384" spans="1:7" s="2778" customFormat="1" ht="12" thickBot="1">
      <c r="A384" s="2962" t="s">
        <v>3165</v>
      </c>
      <c r="B384" s="2950" t="s">
        <v>3172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2" t="s">
        <v>3173</v>
      </c>
      <c r="B1" s="3502"/>
    </row>
    <row r="2" spans="1:7" ht="14.25" thickBot="1">
      <c r="A2" s="2964"/>
      <c r="B2" s="2964"/>
    </row>
    <row r="3" spans="1:7" ht="14.25" thickBot="1">
      <c r="A3" s="2964"/>
      <c r="B3" s="2964"/>
      <c r="C3" s="2965" t="s">
        <v>2803</v>
      </c>
      <c r="D3" s="2965" t="s">
        <v>2859</v>
      </c>
      <c r="E3" s="2965" t="s">
        <v>2805</v>
      </c>
      <c r="F3" s="2965" t="s">
        <v>2860</v>
      </c>
      <c r="G3" s="2965" t="s">
        <v>2623</v>
      </c>
    </row>
    <row r="4" spans="1:7" ht="14.25" thickBot="1">
      <c r="A4" s="2966" t="s">
        <v>2858</v>
      </c>
      <c r="B4" s="2967" t="s">
        <v>2864</v>
      </c>
      <c r="C4" s="2965"/>
      <c r="D4" s="2965"/>
      <c r="E4" s="2965"/>
      <c r="F4" s="2965"/>
      <c r="G4" s="2965"/>
    </row>
    <row r="5" spans="1:7">
      <c r="A5" s="2968" t="s">
        <v>2832</v>
      </c>
      <c r="B5" s="2969" t="s">
        <v>2846</v>
      </c>
      <c r="C5" s="2970">
        <v>9.8000000000000004E-2</v>
      </c>
      <c r="D5" s="2970">
        <v>8.6999999999999994E-2</v>
      </c>
      <c r="E5" s="2970">
        <v>8.6999999999999994E-2</v>
      </c>
      <c r="F5" s="2970">
        <v>9.8000000000000004E-2</v>
      </c>
      <c r="G5" s="2971">
        <v>9.5000000000000001E-2</v>
      </c>
    </row>
    <row r="6" spans="1:7">
      <c r="A6" s="2972" t="s">
        <v>144</v>
      </c>
      <c r="B6" s="2973" t="s">
        <v>2861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2915</v>
      </c>
      <c r="C29" s="2982"/>
      <c r="D29" s="2978">
        <v>5.1999999999999998E-2</v>
      </c>
      <c r="E29" s="2978">
        <v>7.0000000000000007E-2</v>
      </c>
      <c r="F29" s="2982"/>
      <c r="G29" s="2980">
        <v>7.0999999999999994E-2</v>
      </c>
    </row>
    <row r="30" spans="1:7">
      <c r="A30" s="2983" t="s">
        <v>296</v>
      </c>
      <c r="B30" s="2969" t="s">
        <v>2848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2918</v>
      </c>
      <c r="C50" s="2974">
        <v>9.8000000000000004E-2</v>
      </c>
      <c r="D50" s="2974">
        <v>7.2999999999999995E-2</v>
      </c>
      <c r="E50" s="2974">
        <v>7.0999999999999994E-2</v>
      </c>
      <c r="F50" s="2985"/>
      <c r="G50" s="2975">
        <v>7.2999999999999995E-2</v>
      </c>
    </row>
    <row r="51" spans="1:7">
      <c r="A51" s="2984" t="s">
        <v>296</v>
      </c>
      <c r="B51" s="2973" t="s">
        <v>2920</v>
      </c>
      <c r="C51" s="2974">
        <v>9.9000000000000005E-2</v>
      </c>
      <c r="D51" s="2974">
        <v>8.5000000000000006E-2</v>
      </c>
      <c r="E51" s="2974">
        <v>6.3E-2</v>
      </c>
      <c r="F51" s="2985"/>
      <c r="G51" s="2975">
        <v>9.6000000000000002E-2</v>
      </c>
    </row>
    <row r="52" spans="1:7">
      <c r="A52" s="2984" t="s">
        <v>296</v>
      </c>
      <c r="B52" s="2973" t="s">
        <v>2924</v>
      </c>
      <c r="C52" s="2974">
        <v>7.3999999999999996E-2</v>
      </c>
      <c r="D52" s="2974">
        <v>9.6000000000000002E-2</v>
      </c>
      <c r="E52" s="2974">
        <v>0.05</v>
      </c>
      <c r="F52" s="2985"/>
      <c r="G52" s="2975">
        <v>9.8000000000000004E-2</v>
      </c>
    </row>
    <row r="53" spans="1:7">
      <c r="A53" s="2984" t="s">
        <v>296</v>
      </c>
      <c r="B53" s="2973" t="s">
        <v>2929</v>
      </c>
      <c r="C53" s="2974">
        <v>8.5999999999999993E-2</v>
      </c>
      <c r="D53" s="2985"/>
      <c r="E53" s="2974">
        <v>9.1999999999999998E-2</v>
      </c>
      <c r="F53" s="2985"/>
      <c r="G53" s="2986"/>
    </row>
    <row r="54" spans="1:7" ht="14.25" thickBot="1">
      <c r="A54" s="2987" t="s">
        <v>296</v>
      </c>
      <c r="B54" s="2977" t="s">
        <v>2932</v>
      </c>
      <c r="C54" s="2978">
        <v>9.6000000000000002E-2</v>
      </c>
      <c r="D54" s="2979"/>
      <c r="E54" s="2988"/>
      <c r="F54" s="2979"/>
      <c r="G54" s="2989"/>
    </row>
    <row r="55" spans="1:7">
      <c r="A55" s="2983" t="s">
        <v>110</v>
      </c>
      <c r="B55" s="2969" t="s">
        <v>2849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2930</v>
      </c>
      <c r="C78" s="2974">
        <v>0.1</v>
      </c>
      <c r="D78" s="2974">
        <v>8.5000000000000006E-2</v>
      </c>
      <c r="E78" s="2974">
        <v>9.6000000000000002E-2</v>
      </c>
      <c r="F78" s="2985"/>
      <c r="G78" s="2975">
        <v>9.6000000000000002E-2</v>
      </c>
    </row>
    <row r="79" spans="1:7">
      <c r="A79" s="2984" t="s">
        <v>110</v>
      </c>
      <c r="B79" s="2973" t="s">
        <v>2933</v>
      </c>
      <c r="C79" s="2974">
        <v>0.05</v>
      </c>
      <c r="D79" s="2974">
        <v>9.6000000000000002E-2</v>
      </c>
      <c r="E79" s="2974">
        <v>9.5000000000000001E-2</v>
      </c>
      <c r="F79" s="2985"/>
      <c r="G79" s="2975">
        <v>9.8000000000000004E-2</v>
      </c>
    </row>
    <row r="80" spans="1:7">
      <c r="A80" s="2984" t="s">
        <v>110</v>
      </c>
      <c r="B80" s="2973" t="s">
        <v>2937</v>
      </c>
      <c r="C80" s="2974">
        <v>8.5999999999999993E-2</v>
      </c>
      <c r="D80" s="2990"/>
      <c r="E80" s="2974">
        <v>0.1</v>
      </c>
      <c r="F80" s="2985"/>
      <c r="G80" s="2986"/>
    </row>
    <row r="81" spans="1:7">
      <c r="A81" s="2984" t="s">
        <v>110</v>
      </c>
      <c r="B81" s="2973" t="s">
        <v>2942</v>
      </c>
      <c r="C81" s="2974">
        <v>9.6000000000000002E-2</v>
      </c>
      <c r="D81" s="2985"/>
      <c r="E81" s="2974">
        <v>9.8000000000000004E-2</v>
      </c>
      <c r="F81" s="2985"/>
      <c r="G81" s="2986"/>
    </row>
    <row r="82" spans="1:7">
      <c r="A82" s="2984" t="s">
        <v>110</v>
      </c>
      <c r="B82" s="2973" t="s">
        <v>2949</v>
      </c>
      <c r="C82" s="2990"/>
      <c r="D82" s="2985"/>
      <c r="E82" s="2974">
        <v>7.6999999999999999E-2</v>
      </c>
      <c r="F82" s="2985"/>
      <c r="G82" s="2986"/>
    </row>
    <row r="83" spans="1:7">
      <c r="A83" s="2984" t="s">
        <v>110</v>
      </c>
      <c r="B83" s="2973" t="s">
        <v>2955</v>
      </c>
      <c r="C83" s="2985"/>
      <c r="D83" s="2985"/>
      <c r="E83" s="2985"/>
      <c r="F83" s="2974">
        <v>0.1</v>
      </c>
      <c r="G83" s="2991"/>
    </row>
    <row r="84" spans="1:7">
      <c r="A84" s="2984" t="s">
        <v>110</v>
      </c>
      <c r="B84" s="2973" t="s">
        <v>2962</v>
      </c>
      <c r="C84" s="2985"/>
      <c r="D84" s="2985"/>
      <c r="E84" s="2985"/>
      <c r="F84" s="2974">
        <v>0.1</v>
      </c>
      <c r="G84" s="2991"/>
    </row>
    <row r="85" spans="1:7">
      <c r="A85" s="2984" t="s">
        <v>110</v>
      </c>
      <c r="B85" s="2973" t="s">
        <v>2969</v>
      </c>
      <c r="C85" s="2985"/>
      <c r="D85" s="2985"/>
      <c r="E85" s="2985"/>
      <c r="F85" s="2974">
        <v>0.1</v>
      </c>
      <c r="G85" s="2991"/>
    </row>
    <row r="86" spans="1:7" ht="14.25" thickBot="1">
      <c r="A86" s="2987" t="s">
        <v>110</v>
      </c>
      <c r="B86" s="2977" t="s">
        <v>2974</v>
      </c>
      <c r="C86" s="2978">
        <v>9.8000000000000004E-2</v>
      </c>
      <c r="D86" s="2978">
        <v>9.8000000000000004E-2</v>
      </c>
      <c r="E86" s="2978">
        <v>9.6000000000000002E-2</v>
      </c>
      <c r="F86" s="2988"/>
      <c r="G86" s="2980">
        <v>0.1</v>
      </c>
    </row>
    <row r="87" spans="1:7">
      <c r="A87" s="2983" t="s">
        <v>303</v>
      </c>
      <c r="B87" s="2969" t="s">
        <v>2850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2943</v>
      </c>
      <c r="C113" s="2974">
        <v>0.1</v>
      </c>
      <c r="D113" s="2974">
        <v>0.1</v>
      </c>
      <c r="E113" s="2985"/>
      <c r="F113" s="2985"/>
      <c r="G113" s="2975">
        <v>0.1</v>
      </c>
    </row>
    <row r="114" spans="1:7">
      <c r="A114" s="2984" t="s">
        <v>303</v>
      </c>
      <c r="B114" s="2973" t="s">
        <v>2950</v>
      </c>
      <c r="C114" s="2974">
        <v>9.7000000000000003E-2</v>
      </c>
      <c r="D114" s="2974">
        <v>9.7000000000000003E-2</v>
      </c>
      <c r="E114" s="2985"/>
      <c r="F114" s="2985"/>
      <c r="G114" s="2975">
        <v>9.9000000000000005E-2</v>
      </c>
    </row>
    <row r="115" spans="1:7">
      <c r="A115" s="2984" t="s">
        <v>303</v>
      </c>
      <c r="B115" s="2973" t="s">
        <v>2956</v>
      </c>
      <c r="C115" s="2974">
        <v>0.1</v>
      </c>
      <c r="D115" s="2974">
        <v>0.1</v>
      </c>
      <c r="E115" s="2985"/>
      <c r="F115" s="2985"/>
      <c r="G115" s="2975">
        <v>0.1</v>
      </c>
    </row>
    <row r="116" spans="1:7">
      <c r="A116" s="2984" t="s">
        <v>303</v>
      </c>
      <c r="B116" s="2973" t="s">
        <v>2963</v>
      </c>
      <c r="C116" s="2974">
        <v>0.1</v>
      </c>
      <c r="D116" s="2974">
        <v>0.1</v>
      </c>
      <c r="E116" s="2985"/>
      <c r="F116" s="2985"/>
      <c r="G116" s="2975">
        <v>0.1</v>
      </c>
    </row>
    <row r="117" spans="1:7">
      <c r="A117" s="2984" t="s">
        <v>303</v>
      </c>
      <c r="B117" s="2973" t="s">
        <v>2970</v>
      </c>
      <c r="C117" s="2974">
        <v>9.7000000000000003E-2</v>
      </c>
      <c r="D117" s="2974">
        <v>9.7000000000000003E-2</v>
      </c>
      <c r="E117" s="2985"/>
      <c r="F117" s="2985"/>
      <c r="G117" s="2975">
        <v>9.7000000000000003E-2</v>
      </c>
    </row>
    <row r="118" spans="1:7">
      <c r="A118" s="2984" t="s">
        <v>303</v>
      </c>
      <c r="B118" s="2973" t="s">
        <v>2975</v>
      </c>
      <c r="C118" s="2974">
        <v>0.1</v>
      </c>
      <c r="D118" s="2974">
        <v>0.1</v>
      </c>
      <c r="E118" s="2985"/>
      <c r="F118" s="2985"/>
      <c r="G118" s="2975">
        <v>0.1</v>
      </c>
    </row>
    <row r="119" spans="1:7">
      <c r="A119" s="2984" t="s">
        <v>303</v>
      </c>
      <c r="B119" s="2973" t="s">
        <v>2979</v>
      </c>
      <c r="C119" s="2974">
        <v>5.0999999999999997E-2</v>
      </c>
      <c r="D119" s="2974">
        <v>5.1999999999999998E-2</v>
      </c>
      <c r="E119" s="2985"/>
      <c r="F119" s="2990"/>
      <c r="G119" s="2975">
        <v>0.06</v>
      </c>
    </row>
    <row r="120" spans="1:7">
      <c r="A120" s="2984" t="s">
        <v>303</v>
      </c>
      <c r="B120" s="2973" t="s">
        <v>2983</v>
      </c>
      <c r="C120" s="2985"/>
      <c r="D120" s="2985"/>
      <c r="E120" s="2985"/>
      <c r="F120" s="2974">
        <v>0.1</v>
      </c>
      <c r="G120" s="2991"/>
    </row>
    <row r="121" spans="1:7">
      <c r="A121" s="2984" t="s">
        <v>303</v>
      </c>
      <c r="B121" s="2973" t="s">
        <v>2988</v>
      </c>
      <c r="C121" s="2985"/>
      <c r="D121" s="2985"/>
      <c r="E121" s="2985"/>
      <c r="F121" s="2974">
        <v>0.1</v>
      </c>
      <c r="G121" s="2991"/>
    </row>
    <row r="122" spans="1:7">
      <c r="A122" s="2984" t="s">
        <v>303</v>
      </c>
      <c r="B122" s="2973" t="s">
        <v>2993</v>
      </c>
      <c r="C122" s="2974">
        <v>0.1</v>
      </c>
      <c r="D122" s="2974">
        <v>0.1</v>
      </c>
      <c r="E122" s="2974">
        <v>9.8000000000000004E-2</v>
      </c>
      <c r="F122" s="2974">
        <v>0.1</v>
      </c>
      <c r="G122" s="2975">
        <v>0.1</v>
      </c>
    </row>
    <row r="123" spans="1:7">
      <c r="A123" s="2984" t="s">
        <v>303</v>
      </c>
      <c r="B123" s="2973" t="s">
        <v>2998</v>
      </c>
      <c r="C123" s="2974">
        <v>0.1</v>
      </c>
      <c r="D123" s="2974">
        <v>0.1</v>
      </c>
      <c r="E123" s="2974">
        <v>9.8000000000000004E-2</v>
      </c>
      <c r="F123" s="2974">
        <v>0.1</v>
      </c>
      <c r="G123" s="2975">
        <v>0.1</v>
      </c>
    </row>
    <row r="124" spans="1:7">
      <c r="A124" s="2984" t="s">
        <v>303</v>
      </c>
      <c r="B124" s="2973" t="s">
        <v>3003</v>
      </c>
      <c r="C124" s="2974">
        <v>0.1</v>
      </c>
      <c r="D124" s="2974">
        <v>0.1</v>
      </c>
      <c r="E124" s="2974">
        <v>9.8000000000000004E-2</v>
      </c>
      <c r="F124" s="2990"/>
      <c r="G124" s="2975">
        <v>0.1</v>
      </c>
    </row>
    <row r="125" spans="1:7">
      <c r="A125" s="2984" t="s">
        <v>303</v>
      </c>
      <c r="B125" s="2973" t="s">
        <v>3008</v>
      </c>
      <c r="C125" s="2974">
        <v>9.8000000000000004E-2</v>
      </c>
      <c r="D125" s="2974">
        <v>9.8000000000000004E-2</v>
      </c>
      <c r="E125" s="2974">
        <v>9.6000000000000002E-2</v>
      </c>
      <c r="F125" s="2990"/>
      <c r="G125" s="2975">
        <v>0.1</v>
      </c>
    </row>
    <row r="126" spans="1:7" ht="14.25" thickBot="1">
      <c r="A126" s="2987" t="s">
        <v>303</v>
      </c>
      <c r="B126" s="2977" t="s">
        <v>3174</v>
      </c>
      <c r="C126" s="2978">
        <v>0.1</v>
      </c>
      <c r="D126" s="2978">
        <v>0.1</v>
      </c>
      <c r="E126" s="2978">
        <v>9.8000000000000004E-2</v>
      </c>
      <c r="F126" s="2978">
        <v>0.1</v>
      </c>
      <c r="G126" s="2980">
        <v>0.1</v>
      </c>
    </row>
    <row r="127" spans="1:7">
      <c r="A127" s="2983" t="s">
        <v>29</v>
      </c>
      <c r="B127" s="2969" t="s">
        <v>2851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2921</v>
      </c>
      <c r="C148" s="2974">
        <v>0.13</v>
      </c>
      <c r="D148" s="2974">
        <v>0.13</v>
      </c>
      <c r="E148" s="2974">
        <v>0.13</v>
      </c>
      <c r="F148" s="2985"/>
      <c r="G148" s="2975">
        <v>0.13</v>
      </c>
    </row>
    <row r="149" spans="1:7">
      <c r="A149" s="2984" t="s">
        <v>29</v>
      </c>
      <c r="B149" s="2973" t="s">
        <v>2925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2944</v>
      </c>
      <c r="C153" s="2974">
        <v>0.13</v>
      </c>
      <c r="D153" s="2974">
        <v>0.13</v>
      </c>
      <c r="E153" s="2974">
        <v>0.13</v>
      </c>
      <c r="F153" s="2974">
        <v>0.13</v>
      </c>
      <c r="G153" s="2975">
        <v>0.13</v>
      </c>
    </row>
    <row r="154" spans="1:7">
      <c r="A154" s="2984" t="s">
        <v>29</v>
      </c>
      <c r="B154" s="2973" t="s">
        <v>2951</v>
      </c>
      <c r="C154" s="2974">
        <v>0.121</v>
      </c>
      <c r="D154" s="2974">
        <v>0.121</v>
      </c>
      <c r="E154" s="2974">
        <v>0.105</v>
      </c>
      <c r="F154" s="2974">
        <v>0.121</v>
      </c>
      <c r="G154" s="2975">
        <v>0.123</v>
      </c>
    </row>
    <row r="155" spans="1:7">
      <c r="A155" s="2984" t="s">
        <v>29</v>
      </c>
      <c r="B155" s="2973" t="s">
        <v>2957</v>
      </c>
      <c r="C155" s="2974">
        <v>0.1</v>
      </c>
      <c r="D155" s="2974">
        <v>0.1</v>
      </c>
      <c r="E155" s="2974">
        <v>0.1</v>
      </c>
      <c r="F155" s="2974">
        <v>0.1</v>
      </c>
      <c r="G155" s="2975">
        <v>0.1</v>
      </c>
    </row>
    <row r="156" spans="1:7">
      <c r="A156" s="2984" t="s">
        <v>29</v>
      </c>
      <c r="B156" s="2973" t="s">
        <v>2964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2984</v>
      </c>
      <c r="C160" s="2974">
        <v>0.13</v>
      </c>
      <c r="D160" s="2974">
        <v>0.13</v>
      </c>
      <c r="E160" s="2974">
        <v>0.124</v>
      </c>
      <c r="F160" s="2974">
        <v>0.126</v>
      </c>
      <c r="G160" s="2975">
        <v>0.13</v>
      </c>
    </row>
    <row r="161" spans="1:7">
      <c r="A161" s="2984" t="s">
        <v>29</v>
      </c>
      <c r="B161" s="2973" t="s">
        <v>2989</v>
      </c>
      <c r="C161" s="2974">
        <v>0.13</v>
      </c>
      <c r="D161" s="2974">
        <v>0.13</v>
      </c>
      <c r="E161" s="2974">
        <v>0.124</v>
      </c>
      <c r="F161" s="2974">
        <v>0.127</v>
      </c>
      <c r="G161" s="2975">
        <v>0.13</v>
      </c>
    </row>
    <row r="162" spans="1:7">
      <c r="A162" s="2984" t="s">
        <v>29</v>
      </c>
      <c r="B162" s="2973" t="s">
        <v>2994</v>
      </c>
      <c r="C162" s="2974">
        <v>0.1</v>
      </c>
      <c r="D162" s="2974">
        <v>0.1</v>
      </c>
      <c r="E162" s="2974">
        <v>0.1</v>
      </c>
      <c r="F162" s="2974">
        <v>0.121</v>
      </c>
      <c r="G162" s="2975">
        <v>0.105</v>
      </c>
    </row>
    <row r="163" spans="1:7">
      <c r="A163" s="2984" t="s">
        <v>29</v>
      </c>
      <c r="B163" s="2973" t="s">
        <v>2999</v>
      </c>
      <c r="C163" s="2974">
        <v>0.1</v>
      </c>
      <c r="D163" s="2974">
        <v>0.1</v>
      </c>
      <c r="E163" s="2974">
        <v>0.1</v>
      </c>
      <c r="F163" s="2974">
        <v>0.1</v>
      </c>
      <c r="G163" s="2975">
        <v>0.1</v>
      </c>
    </row>
    <row r="164" spans="1:7">
      <c r="A164" s="2984" t="s">
        <v>29</v>
      </c>
      <c r="B164" s="2973" t="s">
        <v>3004</v>
      </c>
      <c r="C164" s="2990"/>
      <c r="D164" s="2990"/>
      <c r="E164" s="2990"/>
      <c r="F164" s="2974">
        <v>0.1</v>
      </c>
      <c r="G164" s="2986"/>
    </row>
    <row r="165" spans="1:7">
      <c r="A165" s="2984" t="s">
        <v>29</v>
      </c>
      <c r="B165" s="2973" t="s">
        <v>3175</v>
      </c>
      <c r="C165" s="2974">
        <v>0.126</v>
      </c>
      <c r="D165" s="2974">
        <v>0.126</v>
      </c>
      <c r="E165" s="2974">
        <v>0.11899999999999999</v>
      </c>
      <c r="F165" s="2974">
        <v>0.13</v>
      </c>
      <c r="G165" s="2975">
        <v>0.128</v>
      </c>
    </row>
    <row r="166" spans="1:7">
      <c r="A166" s="2984" t="s">
        <v>29</v>
      </c>
      <c r="B166" s="2973" t="s">
        <v>3014</v>
      </c>
      <c r="C166" s="2974">
        <v>0.129</v>
      </c>
      <c r="D166" s="2974">
        <v>0.129</v>
      </c>
      <c r="E166" s="2974">
        <v>0.123</v>
      </c>
      <c r="F166" s="2974">
        <v>0.128</v>
      </c>
      <c r="G166" s="2975">
        <v>0.13</v>
      </c>
    </row>
    <row r="167" spans="1:7">
      <c r="A167" s="2984" t="s">
        <v>29</v>
      </c>
      <c r="B167" s="2973" t="s">
        <v>3018</v>
      </c>
      <c r="C167" s="2974">
        <v>0.125</v>
      </c>
      <c r="D167" s="2974">
        <v>0.125</v>
      </c>
      <c r="E167" s="2974">
        <v>0.11700000000000001</v>
      </c>
      <c r="F167" s="2974">
        <v>0.13</v>
      </c>
      <c r="G167" s="2975">
        <v>0.126</v>
      </c>
    </row>
    <row r="168" spans="1:7">
      <c r="A168" s="2984" t="s">
        <v>29</v>
      </c>
      <c r="B168" s="2973" t="s">
        <v>3023</v>
      </c>
      <c r="C168" s="2974">
        <v>0.128</v>
      </c>
      <c r="D168" s="2974">
        <v>0.128</v>
      </c>
      <c r="E168" s="2974">
        <v>0.123</v>
      </c>
      <c r="F168" s="2985"/>
      <c r="G168" s="2975">
        <v>0.13</v>
      </c>
    </row>
    <row r="169" spans="1:7">
      <c r="A169" s="2984" t="s">
        <v>29</v>
      </c>
      <c r="B169" s="2973" t="s">
        <v>3176</v>
      </c>
      <c r="C169" s="2990"/>
      <c r="D169" s="2990"/>
      <c r="E169" s="2990"/>
      <c r="F169" s="2974">
        <v>0.05</v>
      </c>
      <c r="G169" s="2986"/>
    </row>
    <row r="170" spans="1:7">
      <c r="A170" s="2984" t="s">
        <v>29</v>
      </c>
      <c r="B170" s="2973" t="s">
        <v>3177</v>
      </c>
      <c r="C170" s="2990"/>
      <c r="D170" s="2990"/>
      <c r="E170" s="2990"/>
      <c r="F170" s="2974">
        <v>0.05</v>
      </c>
      <c r="G170" s="2986"/>
    </row>
    <row r="171" spans="1:7">
      <c r="A171" s="2984" t="s">
        <v>29</v>
      </c>
      <c r="B171" s="2973" t="s">
        <v>3178</v>
      </c>
      <c r="C171" s="2990"/>
      <c r="D171" s="2990"/>
      <c r="E171" s="2990"/>
      <c r="F171" s="2974">
        <v>0.05</v>
      </c>
      <c r="G171" s="2991"/>
    </row>
    <row r="172" spans="1:7">
      <c r="A172" s="2984" t="s">
        <v>29</v>
      </c>
      <c r="B172" s="2973" t="s">
        <v>3179</v>
      </c>
      <c r="C172" s="2990"/>
      <c r="D172" s="2990"/>
      <c r="E172" s="2990"/>
      <c r="F172" s="2974">
        <v>0.05</v>
      </c>
      <c r="G172" s="2991"/>
    </row>
    <row r="173" spans="1:7">
      <c r="A173" s="2984" t="s">
        <v>29</v>
      </c>
      <c r="B173" s="2973" t="s">
        <v>3180</v>
      </c>
      <c r="C173" s="2990"/>
      <c r="D173" s="2990"/>
      <c r="E173" s="2990"/>
      <c r="F173" s="2974">
        <v>0.05</v>
      </c>
      <c r="G173" s="2986"/>
    </row>
    <row r="174" spans="1:7">
      <c r="A174" s="2984" t="s">
        <v>29</v>
      </c>
      <c r="B174" s="2973" t="s">
        <v>3181</v>
      </c>
      <c r="C174" s="2990"/>
      <c r="D174" s="2990"/>
      <c r="E174" s="2990"/>
      <c r="F174" s="2974">
        <v>0.05</v>
      </c>
      <c r="G174" s="2986"/>
    </row>
    <row r="175" spans="1:7">
      <c r="A175" s="2984" t="s">
        <v>29</v>
      </c>
      <c r="B175" s="2973" t="s">
        <v>3182</v>
      </c>
      <c r="C175" s="2990"/>
      <c r="D175" s="2990"/>
      <c r="E175" s="2990"/>
      <c r="F175" s="2974">
        <v>0.05</v>
      </c>
      <c r="G175" s="2986"/>
    </row>
    <row r="176" spans="1:7">
      <c r="A176" s="2984" t="s">
        <v>29</v>
      </c>
      <c r="B176" s="2973" t="s">
        <v>3183</v>
      </c>
      <c r="C176" s="2990"/>
      <c r="D176" s="2990"/>
      <c r="E176" s="2990"/>
      <c r="F176" s="2974">
        <v>0.05</v>
      </c>
      <c r="G176" s="2986"/>
    </row>
    <row r="177" spans="1:7">
      <c r="A177" s="2984" t="s">
        <v>29</v>
      </c>
      <c r="B177" s="2973" t="s">
        <v>3184</v>
      </c>
      <c r="C177" s="2985"/>
      <c r="D177" s="2985"/>
      <c r="E177" s="2985"/>
      <c r="F177" s="2974">
        <v>0.05</v>
      </c>
      <c r="G177" s="2991"/>
    </row>
    <row r="178" spans="1:7">
      <c r="A178" s="2984" t="s">
        <v>29</v>
      </c>
      <c r="B178" s="2973" t="s">
        <v>3185</v>
      </c>
      <c r="C178" s="2985"/>
      <c r="D178" s="2985"/>
      <c r="E178" s="2985"/>
      <c r="F178" s="2974">
        <v>0.05</v>
      </c>
      <c r="G178" s="2991"/>
    </row>
    <row r="179" spans="1:7">
      <c r="A179" s="2984" t="s">
        <v>29</v>
      </c>
      <c r="B179" s="2973" t="s">
        <v>3186</v>
      </c>
      <c r="C179" s="2985"/>
      <c r="D179" s="2985"/>
      <c r="E179" s="2985"/>
      <c r="F179" s="2974">
        <v>0.05</v>
      </c>
      <c r="G179" s="2991"/>
    </row>
    <row r="180" spans="1:7">
      <c r="A180" s="2984" t="s">
        <v>29</v>
      </c>
      <c r="B180" s="2973" t="s">
        <v>3187</v>
      </c>
      <c r="C180" s="2985"/>
      <c r="D180" s="2985"/>
      <c r="E180" s="2985"/>
      <c r="F180" s="2974">
        <v>0.05</v>
      </c>
      <c r="G180" s="2991"/>
    </row>
    <row r="181" spans="1:7">
      <c r="A181" s="2984" t="s">
        <v>29</v>
      </c>
      <c r="B181" s="2973" t="s">
        <v>3188</v>
      </c>
      <c r="C181" s="2985"/>
      <c r="D181" s="2985"/>
      <c r="E181" s="2985"/>
      <c r="F181" s="2974">
        <v>0.05</v>
      </c>
      <c r="G181" s="2991"/>
    </row>
    <row r="182" spans="1:7">
      <c r="A182" s="2984" t="s">
        <v>29</v>
      </c>
      <c r="B182" s="2973" t="s">
        <v>3189</v>
      </c>
      <c r="C182" s="2985"/>
      <c r="D182" s="2985"/>
      <c r="E182" s="2985"/>
      <c r="F182" s="2974">
        <v>0.05</v>
      </c>
      <c r="G182" s="2991"/>
    </row>
    <row r="183" spans="1:7">
      <c r="A183" s="2984" t="s">
        <v>29</v>
      </c>
      <c r="B183" s="2973" t="s">
        <v>3190</v>
      </c>
      <c r="C183" s="2985"/>
      <c r="D183" s="2985"/>
      <c r="E183" s="2985"/>
      <c r="F183" s="2974">
        <v>0.05</v>
      </c>
      <c r="G183" s="2991"/>
    </row>
    <row r="184" spans="1:7">
      <c r="A184" s="2984" t="s">
        <v>29</v>
      </c>
      <c r="B184" s="2973" t="s">
        <v>3191</v>
      </c>
      <c r="C184" s="2985"/>
      <c r="D184" s="2985"/>
      <c r="E184" s="2985"/>
      <c r="F184" s="2974">
        <v>0.05</v>
      </c>
      <c r="G184" s="2991"/>
    </row>
    <row r="185" spans="1:7">
      <c r="A185" s="2984" t="s">
        <v>29</v>
      </c>
      <c r="B185" s="2973" t="s">
        <v>3192</v>
      </c>
      <c r="C185" s="2985"/>
      <c r="D185" s="2985"/>
      <c r="E185" s="2985"/>
      <c r="F185" s="2974">
        <v>0.05</v>
      </c>
      <c r="G185" s="2991"/>
    </row>
    <row r="186" spans="1:7">
      <c r="A186" s="2984" t="s">
        <v>29</v>
      </c>
      <c r="B186" s="2973" t="s">
        <v>3193</v>
      </c>
      <c r="C186" s="2985"/>
      <c r="D186" s="2985"/>
      <c r="E186" s="2985"/>
      <c r="F186" s="2974">
        <v>0.05</v>
      </c>
      <c r="G186" s="2991"/>
    </row>
    <row r="187" spans="1:7">
      <c r="A187" s="2984" t="s">
        <v>29</v>
      </c>
      <c r="B187" s="2973" t="s">
        <v>3194</v>
      </c>
      <c r="C187" s="2985"/>
      <c r="D187" s="2985"/>
      <c r="E187" s="2985"/>
      <c r="F187" s="2974">
        <v>0.05</v>
      </c>
      <c r="G187" s="2991"/>
    </row>
    <row r="188" spans="1:7">
      <c r="A188" s="2984" t="s">
        <v>29</v>
      </c>
      <c r="B188" s="2973" t="s">
        <v>3195</v>
      </c>
      <c r="C188" s="2985"/>
      <c r="D188" s="2985"/>
      <c r="E188" s="2985"/>
      <c r="F188" s="2974">
        <v>0.05</v>
      </c>
      <c r="G188" s="2991"/>
    </row>
    <row r="189" spans="1:7" ht="14.25" thickBot="1">
      <c r="A189" s="2987" t="s">
        <v>29</v>
      </c>
      <c r="B189" s="2977" t="s">
        <v>3196</v>
      </c>
      <c r="C189" s="2979"/>
      <c r="D189" s="2979"/>
      <c r="E189" s="2979"/>
      <c r="F189" s="2978">
        <v>0.05</v>
      </c>
      <c r="G189" s="2992"/>
    </row>
    <row r="190" spans="1:7">
      <c r="A190" s="2983" t="s">
        <v>304</v>
      </c>
      <c r="B190" s="2969" t="s">
        <v>2852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2888</v>
      </c>
      <c r="C199" s="2974">
        <v>0.13</v>
      </c>
      <c r="D199" s="2974">
        <v>0.13</v>
      </c>
      <c r="E199" s="2974">
        <v>0.13</v>
      </c>
      <c r="F199" s="2974">
        <v>0.13</v>
      </c>
      <c r="G199" s="2975">
        <v>0.13</v>
      </c>
    </row>
    <row r="200" spans="1:7">
      <c r="A200" s="2984" t="s">
        <v>304</v>
      </c>
      <c r="B200" s="2973" t="s">
        <v>2891</v>
      </c>
      <c r="C200" s="2990"/>
      <c r="D200" s="2990"/>
      <c r="E200" s="2990"/>
      <c r="F200" s="2974">
        <v>0.13</v>
      </c>
      <c r="G200" s="2986"/>
    </row>
    <row r="201" spans="1:7">
      <c r="A201" s="2984" t="s">
        <v>304</v>
      </c>
      <c r="B201" s="2973" t="s">
        <v>2896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2899</v>
      </c>
      <c r="C203" s="2974">
        <v>0.129</v>
      </c>
      <c r="D203" s="2974">
        <v>0.129</v>
      </c>
      <c r="E203" s="2974">
        <v>0.13</v>
      </c>
      <c r="F203" s="2974">
        <v>0.13</v>
      </c>
      <c r="G203" s="2975">
        <v>0.13</v>
      </c>
    </row>
    <row r="204" spans="1:7">
      <c r="A204" s="2984" t="s">
        <v>304</v>
      </c>
      <c r="B204" s="2973" t="s">
        <v>2902</v>
      </c>
      <c r="C204" s="2974">
        <v>0.129</v>
      </c>
      <c r="D204" s="2974">
        <v>0.129</v>
      </c>
      <c r="E204" s="2974">
        <v>0.123</v>
      </c>
      <c r="F204" s="2974">
        <v>0.13</v>
      </c>
      <c r="G204" s="2975">
        <v>0.13</v>
      </c>
    </row>
    <row r="205" spans="1:7">
      <c r="A205" s="2984" t="s">
        <v>304</v>
      </c>
      <c r="B205" s="2973" t="s">
        <v>2904</v>
      </c>
      <c r="C205" s="2974">
        <v>0.13</v>
      </c>
      <c r="D205" s="2974">
        <v>0.13</v>
      </c>
      <c r="E205" s="2974">
        <v>0.13</v>
      </c>
      <c r="F205" s="2974">
        <v>0.13</v>
      </c>
      <c r="G205" s="2975">
        <v>0.13</v>
      </c>
    </row>
    <row r="206" spans="1:7">
      <c r="A206" s="2984" t="s">
        <v>304</v>
      </c>
      <c r="B206" s="2973" t="s">
        <v>2907</v>
      </c>
      <c r="C206" s="2974">
        <v>0.13</v>
      </c>
      <c r="D206" s="2974">
        <v>0.13</v>
      </c>
      <c r="E206" s="2974">
        <v>0.13</v>
      </c>
      <c r="F206" s="2974">
        <v>0.128</v>
      </c>
      <c r="G206" s="2975">
        <v>0.13</v>
      </c>
    </row>
    <row r="207" spans="1:7">
      <c r="A207" s="2984" t="s">
        <v>304</v>
      </c>
      <c r="B207" s="2973" t="s">
        <v>2909</v>
      </c>
      <c r="C207" s="2974">
        <v>0.13</v>
      </c>
      <c r="D207" s="2974">
        <v>0.13</v>
      </c>
      <c r="E207" s="2974">
        <v>0.13</v>
      </c>
      <c r="F207" s="2974">
        <v>0.13</v>
      </c>
      <c r="G207" s="2975">
        <v>0.13</v>
      </c>
    </row>
    <row r="208" spans="1:7">
      <c r="A208" s="2984" t="s">
        <v>304</v>
      </c>
      <c r="B208" s="2973" t="s">
        <v>2912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2919</v>
      </c>
      <c r="C210" s="2974">
        <v>0.121</v>
      </c>
      <c r="D210" s="2974">
        <v>0.121</v>
      </c>
      <c r="E210" s="2974">
        <v>0.125</v>
      </c>
      <c r="F210" s="2974">
        <v>0.13</v>
      </c>
      <c r="G210" s="2975">
        <v>0.123</v>
      </c>
    </row>
    <row r="211" spans="1:7">
      <c r="A211" s="2984" t="s">
        <v>304</v>
      </c>
      <c r="B211" s="2973" t="s">
        <v>2922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2934</v>
      </c>
      <c r="C214" s="2974">
        <v>0.128</v>
      </c>
      <c r="D214" s="2974">
        <v>0.128</v>
      </c>
      <c r="E214" s="2974">
        <v>0.13</v>
      </c>
      <c r="F214" s="2974">
        <v>0.13</v>
      </c>
      <c r="G214" s="2975">
        <v>0.13</v>
      </c>
    </row>
    <row r="215" spans="1:7">
      <c r="A215" s="2984" t="s">
        <v>304</v>
      </c>
      <c r="B215" s="2973" t="s">
        <v>2938</v>
      </c>
      <c r="C215" s="2974">
        <v>0.13</v>
      </c>
      <c r="D215" s="2974">
        <v>0.13</v>
      </c>
      <c r="E215" s="2974">
        <v>0.13</v>
      </c>
      <c r="F215" s="2974">
        <v>0.129</v>
      </c>
      <c r="G215" s="2975">
        <v>0.13</v>
      </c>
    </row>
    <row r="216" spans="1:7">
      <c r="A216" s="2984" t="s">
        <v>304</v>
      </c>
      <c r="B216" s="2973" t="s">
        <v>2945</v>
      </c>
      <c r="C216" s="2974">
        <v>0.13</v>
      </c>
      <c r="D216" s="2974">
        <v>0.13</v>
      </c>
      <c r="E216" s="2974">
        <v>0.13</v>
      </c>
      <c r="F216" s="2974">
        <v>0.13</v>
      </c>
      <c r="G216" s="2975">
        <v>0.13</v>
      </c>
    </row>
    <row r="217" spans="1:7">
      <c r="A217" s="2984" t="s">
        <v>304</v>
      </c>
      <c r="B217" s="2973" t="s">
        <v>2952</v>
      </c>
      <c r="C217" s="2974">
        <v>0.129</v>
      </c>
      <c r="D217" s="2974">
        <v>0.129</v>
      </c>
      <c r="E217" s="2974">
        <v>0.13</v>
      </c>
      <c r="F217" s="2974">
        <v>0.13</v>
      </c>
      <c r="G217" s="2975">
        <v>0.13</v>
      </c>
    </row>
    <row r="218" spans="1:7">
      <c r="A218" s="2984" t="s">
        <v>304</v>
      </c>
      <c r="B218" s="2973" t="s">
        <v>2958</v>
      </c>
      <c r="C218" s="2985"/>
      <c r="D218" s="2985"/>
      <c r="E218" s="2985"/>
      <c r="F218" s="2974">
        <v>0.05</v>
      </c>
      <c r="G218" s="2991"/>
    </row>
    <row r="219" spans="1:7">
      <c r="A219" s="2984" t="s">
        <v>304</v>
      </c>
      <c r="B219" s="2973" t="s">
        <v>2965</v>
      </c>
      <c r="C219" s="2985"/>
      <c r="D219" s="2985"/>
      <c r="E219" s="2985"/>
      <c r="F219" s="2974">
        <v>0.05</v>
      </c>
      <c r="G219" s="2991"/>
    </row>
    <row r="220" spans="1:7">
      <c r="A220" s="2984" t="s">
        <v>304</v>
      </c>
      <c r="B220" s="2973" t="s">
        <v>2971</v>
      </c>
      <c r="C220" s="2985"/>
      <c r="D220" s="2985"/>
      <c r="E220" s="2985"/>
      <c r="F220" s="2974">
        <v>0.05</v>
      </c>
      <c r="G220" s="2991"/>
    </row>
    <row r="221" spans="1:7">
      <c r="A221" s="2984" t="s">
        <v>304</v>
      </c>
      <c r="B221" s="2973" t="s">
        <v>2976</v>
      </c>
      <c r="C221" s="2985"/>
      <c r="D221" s="2985"/>
      <c r="E221" s="2985"/>
      <c r="F221" s="2974">
        <v>0.05</v>
      </c>
      <c r="G221" s="2991"/>
    </row>
    <row r="222" spans="1:7">
      <c r="A222" s="2984" t="s">
        <v>304</v>
      </c>
      <c r="B222" s="2973" t="s">
        <v>2980</v>
      </c>
      <c r="C222" s="2985"/>
      <c r="D222" s="2985"/>
      <c r="E222" s="2985"/>
      <c r="F222" s="2974">
        <v>0.05</v>
      </c>
      <c r="G222" s="2991"/>
    </row>
    <row r="223" spans="1:7">
      <c r="A223" s="2984" t="s">
        <v>304</v>
      </c>
      <c r="B223" s="2973" t="s">
        <v>2985</v>
      </c>
      <c r="C223" s="2985"/>
      <c r="D223" s="2985"/>
      <c r="E223" s="2985"/>
      <c r="F223" s="2974">
        <v>0.05</v>
      </c>
      <c r="G223" s="2991"/>
    </row>
    <row r="224" spans="1:7">
      <c r="A224" s="2984" t="s">
        <v>304</v>
      </c>
      <c r="B224" s="2973" t="s">
        <v>2990</v>
      </c>
      <c r="C224" s="2985"/>
      <c r="D224" s="2985"/>
      <c r="E224" s="2985"/>
      <c r="F224" s="2974">
        <v>0.05</v>
      </c>
      <c r="G224" s="2991"/>
    </row>
    <row r="225" spans="1:7">
      <c r="A225" s="2984" t="s">
        <v>304</v>
      </c>
      <c r="B225" s="2973" t="s">
        <v>2995</v>
      </c>
      <c r="C225" s="2985"/>
      <c r="D225" s="2985"/>
      <c r="E225" s="2985"/>
      <c r="F225" s="2974">
        <v>0.05</v>
      </c>
      <c r="G225" s="2991"/>
    </row>
    <row r="226" spans="1:7">
      <c r="A226" s="2984" t="s">
        <v>304</v>
      </c>
      <c r="B226" s="2973" t="s">
        <v>3197</v>
      </c>
      <c r="C226" s="2985"/>
      <c r="D226" s="2985"/>
      <c r="E226" s="2985"/>
      <c r="F226" s="2974">
        <v>0.05</v>
      </c>
      <c r="G226" s="2991"/>
    </row>
    <row r="227" spans="1:7">
      <c r="A227" s="2984" t="s">
        <v>304</v>
      </c>
      <c r="B227" s="2973" t="s">
        <v>3198</v>
      </c>
      <c r="C227" s="2985"/>
      <c r="D227" s="2985"/>
      <c r="E227" s="2985"/>
      <c r="F227" s="2974">
        <v>0.05</v>
      </c>
      <c r="G227" s="2991"/>
    </row>
    <row r="228" spans="1:7">
      <c r="A228" s="2984" t="s">
        <v>304</v>
      </c>
      <c r="B228" s="2973" t="s">
        <v>3199</v>
      </c>
      <c r="C228" s="2985"/>
      <c r="D228" s="2985"/>
      <c r="E228" s="2985"/>
      <c r="F228" s="2974">
        <v>0.05</v>
      </c>
      <c r="G228" s="2991"/>
    </row>
    <row r="229" spans="1:7">
      <c r="A229" s="2984" t="s">
        <v>304</v>
      </c>
      <c r="B229" s="2973" t="s">
        <v>3200</v>
      </c>
      <c r="C229" s="2985"/>
      <c r="D229" s="2985"/>
      <c r="E229" s="2985"/>
      <c r="F229" s="2974">
        <v>0.05</v>
      </c>
      <c r="G229" s="2991"/>
    </row>
    <row r="230" spans="1:7">
      <c r="A230" s="2984" t="s">
        <v>304</v>
      </c>
      <c r="B230" s="2973" t="s">
        <v>3201</v>
      </c>
      <c r="C230" s="2985"/>
      <c r="D230" s="2985"/>
      <c r="E230" s="2985"/>
      <c r="F230" s="2974">
        <v>0.05</v>
      </c>
      <c r="G230" s="2991"/>
    </row>
    <row r="231" spans="1:7">
      <c r="A231" s="2984" t="s">
        <v>304</v>
      </c>
      <c r="B231" s="2973" t="s">
        <v>3202</v>
      </c>
      <c r="C231" s="2985"/>
      <c r="D231" s="2985"/>
      <c r="E231" s="2985"/>
      <c r="F231" s="2974">
        <v>0.05</v>
      </c>
      <c r="G231" s="2991"/>
    </row>
    <row r="232" spans="1:7">
      <c r="A232" s="2984" t="s">
        <v>304</v>
      </c>
      <c r="B232" s="2973" t="s">
        <v>3203</v>
      </c>
      <c r="C232" s="2985"/>
      <c r="D232" s="2985"/>
      <c r="E232" s="2985"/>
      <c r="F232" s="2974">
        <v>0.05</v>
      </c>
      <c r="G232" s="2991"/>
    </row>
    <row r="233" spans="1:7" ht="14.25" thickBot="1">
      <c r="A233" s="2987" t="s">
        <v>304</v>
      </c>
      <c r="B233" s="2977" t="s">
        <v>3204</v>
      </c>
      <c r="C233" s="2979"/>
      <c r="D233" s="2979"/>
      <c r="E233" s="2979"/>
      <c r="F233" s="2978">
        <v>0.05</v>
      </c>
      <c r="G233" s="2992"/>
    </row>
    <row r="234" spans="1:7">
      <c r="A234" s="2983" t="s">
        <v>305</v>
      </c>
      <c r="B234" s="2969" t="s">
        <v>2853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2873</v>
      </c>
      <c r="C238" s="2974">
        <v>0.14899999999999999</v>
      </c>
      <c r="D238" s="2974">
        <v>0.14899999999999999</v>
      </c>
      <c r="E238" s="2974">
        <v>0.15</v>
      </c>
      <c r="F238" s="2974">
        <v>0.15</v>
      </c>
      <c r="G238" s="2975">
        <v>0.15</v>
      </c>
    </row>
    <row r="239" spans="1:7">
      <c r="A239" s="2984" t="s">
        <v>305</v>
      </c>
      <c r="B239" s="2973" t="s">
        <v>2877</v>
      </c>
      <c r="C239" s="2974">
        <v>0.15</v>
      </c>
      <c r="D239" s="2974">
        <v>0.15</v>
      </c>
      <c r="E239" s="2974">
        <v>0.15</v>
      </c>
      <c r="F239" s="2974">
        <v>0.15</v>
      </c>
      <c r="G239" s="2975">
        <v>0.15</v>
      </c>
    </row>
    <row r="240" spans="1:7">
      <c r="A240" s="2984" t="s">
        <v>305</v>
      </c>
      <c r="B240" s="2973" t="s">
        <v>2882</v>
      </c>
      <c r="C240" s="2974">
        <v>0.15</v>
      </c>
      <c r="D240" s="2974">
        <v>0.15</v>
      </c>
      <c r="E240" s="2974">
        <v>0.15</v>
      </c>
      <c r="F240" s="2974">
        <v>0.15</v>
      </c>
      <c r="G240" s="2975">
        <v>0.15</v>
      </c>
    </row>
    <row r="241" spans="1:7">
      <c r="A241" s="2984" t="s">
        <v>305</v>
      </c>
      <c r="B241" s="2973" t="s">
        <v>2886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2935</v>
      </c>
      <c r="C258" s="2974">
        <v>0.14299999999999999</v>
      </c>
      <c r="D258" s="2974">
        <v>0.14299999999999999</v>
      </c>
      <c r="E258" s="2974">
        <v>0.15</v>
      </c>
      <c r="F258" s="2974">
        <v>0.14799999999999999</v>
      </c>
      <c r="G258" s="2975">
        <v>0.14599999999999999</v>
      </c>
    </row>
    <row r="259" spans="1:7">
      <c r="A259" s="2984" t="s">
        <v>305</v>
      </c>
      <c r="B259" s="2973" t="s">
        <v>2939</v>
      </c>
      <c r="C259" s="2974">
        <v>0.14399999999999999</v>
      </c>
      <c r="D259" s="2974">
        <v>0.14399999999999999</v>
      </c>
      <c r="E259" s="2974">
        <v>0.14899999999999999</v>
      </c>
      <c r="F259" s="2974">
        <v>0.14699999999999999</v>
      </c>
      <c r="G259" s="2975">
        <v>0.14599999999999999</v>
      </c>
    </row>
    <row r="260" spans="1:7">
      <c r="A260" s="2984" t="s">
        <v>305</v>
      </c>
      <c r="B260" s="2973" t="s">
        <v>2946</v>
      </c>
      <c r="C260" s="2974">
        <v>0.109</v>
      </c>
      <c r="D260" s="2974">
        <v>0.111</v>
      </c>
      <c r="E260" s="2974">
        <v>0.13100000000000001</v>
      </c>
      <c r="F260" s="2974">
        <v>0.126</v>
      </c>
      <c r="G260" s="2975">
        <v>0.11899999999999999</v>
      </c>
    </row>
    <row r="261" spans="1:7">
      <c r="A261" s="2984" t="s">
        <v>305</v>
      </c>
      <c r="B261" s="2973" t="s">
        <v>2953</v>
      </c>
      <c r="C261" s="2974">
        <v>0.1</v>
      </c>
      <c r="D261" s="2974">
        <v>0.1</v>
      </c>
      <c r="E261" s="2974">
        <v>0.11799999999999999</v>
      </c>
      <c r="F261" s="2974">
        <v>0.108</v>
      </c>
      <c r="G261" s="2975">
        <v>0.107</v>
      </c>
    </row>
    <row r="262" spans="1:7">
      <c r="A262" s="2984" t="s">
        <v>305</v>
      </c>
      <c r="B262" s="2973" t="s">
        <v>2959</v>
      </c>
      <c r="C262" s="2974">
        <v>0.1</v>
      </c>
      <c r="D262" s="2974">
        <v>0.1</v>
      </c>
      <c r="E262" s="2974">
        <v>0.1</v>
      </c>
      <c r="F262" s="2974">
        <v>0.14099999999999999</v>
      </c>
      <c r="G262" s="2975">
        <v>0.1</v>
      </c>
    </row>
    <row r="263" spans="1:7">
      <c r="A263" s="2984" t="s">
        <v>305</v>
      </c>
      <c r="B263" s="2973" t="s">
        <v>2966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2977</v>
      </c>
      <c r="C265" s="2985"/>
      <c r="D265" s="2985"/>
      <c r="E265" s="2985"/>
      <c r="F265" s="2974">
        <v>0.05</v>
      </c>
      <c r="G265" s="2991"/>
    </row>
    <row r="266" spans="1:7">
      <c r="A266" s="2984" t="s">
        <v>305</v>
      </c>
      <c r="B266" s="2973" t="s">
        <v>2981</v>
      </c>
      <c r="C266" s="2985"/>
      <c r="D266" s="2985"/>
      <c r="E266" s="2985"/>
      <c r="F266" s="2974">
        <v>0.05</v>
      </c>
      <c r="G266" s="2991"/>
    </row>
    <row r="267" spans="1:7">
      <c r="A267" s="2984" t="s">
        <v>305</v>
      </c>
      <c r="B267" s="2973" t="s">
        <v>2986</v>
      </c>
      <c r="C267" s="2985"/>
      <c r="D267" s="2985"/>
      <c r="E267" s="2985"/>
      <c r="F267" s="2974">
        <v>0.05</v>
      </c>
      <c r="G267" s="2991"/>
    </row>
    <row r="268" spans="1:7">
      <c r="A268" s="2984" t="s">
        <v>305</v>
      </c>
      <c r="B268" s="2973" t="s">
        <v>2991</v>
      </c>
      <c r="C268" s="2985"/>
      <c r="D268" s="2985"/>
      <c r="E268" s="2985"/>
      <c r="F268" s="2974">
        <v>0.05</v>
      </c>
      <c r="G268" s="2991"/>
    </row>
    <row r="269" spans="1:7">
      <c r="A269" s="2984" t="s">
        <v>305</v>
      </c>
      <c r="B269" s="2973" t="s">
        <v>2996</v>
      </c>
      <c r="C269" s="2985"/>
      <c r="D269" s="2985"/>
      <c r="E269" s="2985"/>
      <c r="F269" s="2974">
        <v>0.05</v>
      </c>
      <c r="G269" s="2991"/>
    </row>
    <row r="270" spans="1:7">
      <c r="A270" s="2984" t="s">
        <v>305</v>
      </c>
      <c r="B270" s="2973" t="s">
        <v>3001</v>
      </c>
      <c r="C270" s="2985"/>
      <c r="D270" s="2985"/>
      <c r="E270" s="2985"/>
      <c r="F270" s="2974">
        <v>0.05</v>
      </c>
      <c r="G270" s="2991"/>
    </row>
    <row r="271" spans="1:7">
      <c r="A271" s="2984" t="s">
        <v>305</v>
      </c>
      <c r="B271" s="2973" t="s">
        <v>3205</v>
      </c>
      <c r="C271" s="2985"/>
      <c r="D271" s="2985"/>
      <c r="E271" s="2985"/>
      <c r="F271" s="2974">
        <v>0.05</v>
      </c>
      <c r="G271" s="2991"/>
    </row>
    <row r="272" spans="1:7">
      <c r="A272" s="2984" t="s">
        <v>305</v>
      </c>
      <c r="B272" s="2973" t="s">
        <v>3206</v>
      </c>
      <c r="C272" s="2985"/>
      <c r="D272" s="2985"/>
      <c r="E272" s="2985"/>
      <c r="F272" s="2974">
        <v>0.05</v>
      </c>
      <c r="G272" s="2991"/>
    </row>
    <row r="273" spans="1:7">
      <c r="A273" s="2984" t="s">
        <v>305</v>
      </c>
      <c r="B273" s="2973" t="s">
        <v>3207</v>
      </c>
      <c r="C273" s="2985"/>
      <c r="D273" s="2985"/>
      <c r="E273" s="2985"/>
      <c r="F273" s="2974">
        <v>0.05</v>
      </c>
      <c r="G273" s="2991"/>
    </row>
    <row r="274" spans="1:7">
      <c r="A274" s="2984" t="s">
        <v>305</v>
      </c>
      <c r="B274" s="2973" t="s">
        <v>3208</v>
      </c>
      <c r="C274" s="2985"/>
      <c r="D274" s="2985"/>
      <c r="E274" s="2985"/>
      <c r="F274" s="2974">
        <v>0.05</v>
      </c>
      <c r="G274" s="2991"/>
    </row>
    <row r="275" spans="1:7">
      <c r="A275" s="2984" t="s">
        <v>305</v>
      </c>
      <c r="B275" s="2973" t="s">
        <v>3209</v>
      </c>
      <c r="C275" s="2985"/>
      <c r="D275" s="2985"/>
      <c r="E275" s="2985"/>
      <c r="F275" s="2974">
        <v>0.05</v>
      </c>
      <c r="G275" s="2991"/>
    </row>
    <row r="276" spans="1:7" ht="14.25" thickBot="1">
      <c r="A276" s="2987" t="s">
        <v>305</v>
      </c>
      <c r="B276" s="2977" t="s">
        <v>3210</v>
      </c>
      <c r="C276" s="2979"/>
      <c r="D276" s="2979"/>
      <c r="E276" s="2979"/>
      <c r="F276" s="2978">
        <v>0.05</v>
      </c>
      <c r="G276" s="2992"/>
    </row>
    <row r="277" spans="1:7">
      <c r="A277" s="2983" t="s">
        <v>306</v>
      </c>
      <c r="B277" s="2969" t="s">
        <v>2854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2866</v>
      </c>
      <c r="C279" s="2974">
        <v>0.15</v>
      </c>
      <c r="D279" s="2974">
        <v>0.15</v>
      </c>
      <c r="E279" s="2974">
        <v>0.15</v>
      </c>
      <c r="F279" s="2974">
        <v>0.15</v>
      </c>
      <c r="G279" s="2975">
        <v>0.15</v>
      </c>
    </row>
    <row r="280" spans="1:7">
      <c r="A280" s="2984" t="s">
        <v>306</v>
      </c>
      <c r="B280" s="2973" t="s">
        <v>2870</v>
      </c>
      <c r="C280" s="2974">
        <v>0.15</v>
      </c>
      <c r="D280" s="2974">
        <v>0.15</v>
      </c>
      <c r="E280" s="2974">
        <v>0.15</v>
      </c>
      <c r="F280" s="2974">
        <v>0.15</v>
      </c>
      <c r="G280" s="2975">
        <v>0.15</v>
      </c>
    </row>
    <row r="281" spans="1:7">
      <c r="A281" s="2984" t="s">
        <v>306</v>
      </c>
      <c r="B281" s="2973" t="s">
        <v>2874</v>
      </c>
      <c r="C281" s="2974">
        <v>0.15</v>
      </c>
      <c r="D281" s="2974">
        <v>0.15</v>
      </c>
      <c r="E281" s="2974">
        <v>0.15</v>
      </c>
      <c r="F281" s="2974">
        <v>0.15</v>
      </c>
      <c r="G281" s="2975">
        <v>0.15</v>
      </c>
    </row>
    <row r="282" spans="1:7">
      <c r="A282" s="2984" t="s">
        <v>306</v>
      </c>
      <c r="B282" s="2973" t="s">
        <v>2878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2908</v>
      </c>
      <c r="C293" s="2974">
        <v>0.15</v>
      </c>
      <c r="D293" s="2974">
        <v>0.15</v>
      </c>
      <c r="E293" s="2974">
        <v>0.15</v>
      </c>
      <c r="F293" s="2974">
        <v>0.14499999999999999</v>
      </c>
      <c r="G293" s="2975">
        <v>0.15</v>
      </c>
    </row>
    <row r="294" spans="1:7">
      <c r="A294" s="2984" t="s">
        <v>306</v>
      </c>
      <c r="B294" s="2973" t="s">
        <v>2910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2940</v>
      </c>
      <c r="C302" s="2974">
        <v>0.15</v>
      </c>
      <c r="D302" s="2974">
        <v>0.15</v>
      </c>
      <c r="E302" s="2974">
        <v>0.15</v>
      </c>
      <c r="F302" s="2974">
        <v>0.14699999999999999</v>
      </c>
      <c r="G302" s="2975">
        <v>0.15</v>
      </c>
    </row>
    <row r="303" spans="1:7">
      <c r="A303" s="2984" t="s">
        <v>306</v>
      </c>
      <c r="B303" s="2973" t="s">
        <v>2947</v>
      </c>
      <c r="C303" s="2974">
        <v>0.15</v>
      </c>
      <c r="D303" s="2974">
        <v>0.15</v>
      </c>
      <c r="E303" s="2974">
        <v>0.15</v>
      </c>
      <c r="F303" s="2974">
        <v>0.14199999999999999</v>
      </c>
      <c r="G303" s="2975">
        <v>0.15</v>
      </c>
    </row>
    <row r="304" spans="1:7">
      <c r="A304" s="2984" t="s">
        <v>306</v>
      </c>
      <c r="B304" s="2973" t="s">
        <v>2954</v>
      </c>
      <c r="C304" s="2974">
        <v>0.15</v>
      </c>
      <c r="D304" s="2974">
        <v>0.15</v>
      </c>
      <c r="E304" s="2974">
        <v>0.15</v>
      </c>
      <c r="F304" s="2974">
        <v>0.14499999999999999</v>
      </c>
      <c r="G304" s="2975">
        <v>0.15</v>
      </c>
    </row>
    <row r="305" spans="1:7">
      <c r="A305" s="2984" t="s">
        <v>306</v>
      </c>
      <c r="B305" s="2973" t="s">
        <v>2960</v>
      </c>
      <c r="C305" s="2974">
        <v>0.15</v>
      </c>
      <c r="D305" s="2974">
        <v>0.15</v>
      </c>
      <c r="E305" s="2974">
        <v>0.15</v>
      </c>
      <c r="F305" s="2974">
        <v>0.111</v>
      </c>
      <c r="G305" s="2975">
        <v>0.15</v>
      </c>
    </row>
    <row r="306" spans="1:7">
      <c r="A306" s="2984" t="s">
        <v>306</v>
      </c>
      <c r="B306" s="2973" t="s">
        <v>2967</v>
      </c>
      <c r="C306" s="2974">
        <v>0.15</v>
      </c>
      <c r="D306" s="2974">
        <v>0.15</v>
      </c>
      <c r="E306" s="2974">
        <v>0.15</v>
      </c>
      <c r="F306" s="2974">
        <v>0.126</v>
      </c>
      <c r="G306" s="2975">
        <v>0.15</v>
      </c>
    </row>
    <row r="307" spans="1:7">
      <c r="A307" s="2984" t="s">
        <v>306</v>
      </c>
      <c r="B307" s="2973" t="s">
        <v>2972</v>
      </c>
      <c r="C307" s="2974">
        <v>0.15</v>
      </c>
      <c r="D307" s="2974">
        <v>0.15</v>
      </c>
      <c r="E307" s="2974">
        <v>0.15</v>
      </c>
      <c r="F307" s="2974">
        <v>0.12</v>
      </c>
      <c r="G307" s="2975">
        <v>0.15</v>
      </c>
    </row>
    <row r="308" spans="1:7">
      <c r="A308" s="2984" t="s">
        <v>306</v>
      </c>
      <c r="B308" s="2973" t="s">
        <v>2978</v>
      </c>
      <c r="C308" s="2974">
        <v>0.15</v>
      </c>
      <c r="D308" s="2974">
        <v>0.15</v>
      </c>
      <c r="E308" s="2974">
        <v>0.15</v>
      </c>
      <c r="F308" s="2974">
        <v>0.13</v>
      </c>
      <c r="G308" s="2975">
        <v>0.15</v>
      </c>
    </row>
    <row r="309" spans="1:7">
      <c r="A309" s="2984" t="s">
        <v>306</v>
      </c>
      <c r="B309" s="2973" t="s">
        <v>2982</v>
      </c>
      <c r="C309" s="2974">
        <v>0.15</v>
      </c>
      <c r="D309" s="2974">
        <v>0.15</v>
      </c>
      <c r="E309" s="2974">
        <v>0.15</v>
      </c>
      <c r="F309" s="2974">
        <v>0.14099999999999999</v>
      </c>
      <c r="G309" s="2975">
        <v>0.15</v>
      </c>
    </row>
    <row r="310" spans="1:7">
      <c r="A310" s="2984" t="s">
        <v>306</v>
      </c>
      <c r="B310" s="2973" t="s">
        <v>2987</v>
      </c>
      <c r="C310" s="2974">
        <v>0.15</v>
      </c>
      <c r="D310" s="2974">
        <v>0.15</v>
      </c>
      <c r="E310" s="2974">
        <v>0.15</v>
      </c>
      <c r="F310" s="2974">
        <v>0.15</v>
      </c>
      <c r="G310" s="2975">
        <v>0.15</v>
      </c>
    </row>
    <row r="311" spans="1:7">
      <c r="A311" s="2984" t="s">
        <v>306</v>
      </c>
      <c r="B311" s="2973" t="s">
        <v>2992</v>
      </c>
      <c r="C311" s="2974">
        <v>0.13200000000000001</v>
      </c>
      <c r="D311" s="2974">
        <v>0.13300000000000001</v>
      </c>
      <c r="E311" s="2974">
        <v>0.14499999999999999</v>
      </c>
      <c r="F311" s="2974">
        <v>0.14199999999999999</v>
      </c>
      <c r="G311" s="2975">
        <v>0.14000000000000001</v>
      </c>
    </row>
    <row r="312" spans="1:7">
      <c r="A312" s="2984" t="s">
        <v>306</v>
      </c>
      <c r="B312" s="2973" t="s">
        <v>2997</v>
      </c>
      <c r="C312" s="2974">
        <v>0.13800000000000001</v>
      </c>
      <c r="D312" s="2974">
        <v>0.14000000000000001</v>
      </c>
      <c r="E312" s="2974">
        <v>0.14599999999999999</v>
      </c>
      <c r="F312" s="2974">
        <v>0.14899999999999999</v>
      </c>
      <c r="G312" s="2975">
        <v>0.14199999999999999</v>
      </c>
    </row>
    <row r="313" spans="1:7">
      <c r="A313" s="2984" t="s">
        <v>306</v>
      </c>
      <c r="B313" s="2973" t="s">
        <v>3002</v>
      </c>
      <c r="C313" s="2974">
        <v>0.125</v>
      </c>
      <c r="D313" s="2974">
        <v>0.127</v>
      </c>
      <c r="E313" s="2974">
        <v>0.14399999999999999</v>
      </c>
      <c r="F313" s="2974">
        <v>0.115</v>
      </c>
      <c r="G313" s="2975">
        <v>0.13600000000000001</v>
      </c>
    </row>
    <row r="314" spans="1:7">
      <c r="A314" s="2984" t="s">
        <v>306</v>
      </c>
      <c r="B314" s="2973" t="s">
        <v>3211</v>
      </c>
      <c r="C314" s="2990"/>
      <c r="D314" s="2990"/>
      <c r="E314" s="2990"/>
      <c r="F314" s="2974">
        <v>0.05</v>
      </c>
      <c r="G314" s="2991"/>
    </row>
    <row r="315" spans="1:7">
      <c r="A315" s="2984" t="s">
        <v>306</v>
      </c>
      <c r="B315" s="2973" t="s">
        <v>3212</v>
      </c>
      <c r="C315" s="2990"/>
      <c r="D315" s="2990"/>
      <c r="E315" s="2990"/>
      <c r="F315" s="2974">
        <v>0.05</v>
      </c>
      <c r="G315" s="2991"/>
    </row>
    <row r="316" spans="1:7">
      <c r="A316" s="2984" t="s">
        <v>306</v>
      </c>
      <c r="B316" s="2973" t="s">
        <v>3213</v>
      </c>
      <c r="C316" s="2985"/>
      <c r="D316" s="2985"/>
      <c r="E316" s="2985"/>
      <c r="F316" s="2974">
        <v>0.05</v>
      </c>
      <c r="G316" s="2991"/>
    </row>
    <row r="317" spans="1:7">
      <c r="A317" s="2984" t="s">
        <v>306</v>
      </c>
      <c r="B317" s="2973" t="s">
        <v>3214</v>
      </c>
      <c r="C317" s="2985"/>
      <c r="D317" s="2985"/>
      <c r="E317" s="2985"/>
      <c r="F317" s="2974">
        <v>0.05</v>
      </c>
      <c r="G317" s="2991"/>
    </row>
    <row r="318" spans="1:7">
      <c r="A318" s="2984" t="s">
        <v>306</v>
      </c>
      <c r="B318" s="2973" t="s">
        <v>3215</v>
      </c>
      <c r="C318" s="2985"/>
      <c r="D318" s="2985"/>
      <c r="E318" s="2985"/>
      <c r="F318" s="2974">
        <v>0.05</v>
      </c>
      <c r="G318" s="2991"/>
    </row>
    <row r="319" spans="1:7">
      <c r="A319" s="2984" t="s">
        <v>306</v>
      </c>
      <c r="B319" s="2973" t="s">
        <v>3216</v>
      </c>
      <c r="C319" s="2985"/>
      <c r="D319" s="2985"/>
      <c r="E319" s="2985"/>
      <c r="F319" s="2974">
        <v>0.05</v>
      </c>
      <c r="G319" s="2991"/>
    </row>
    <row r="320" spans="1:7">
      <c r="A320" s="2984" t="s">
        <v>306</v>
      </c>
      <c r="B320" s="2973" t="s">
        <v>3217</v>
      </c>
      <c r="C320" s="2985"/>
      <c r="D320" s="2985"/>
      <c r="E320" s="2985"/>
      <c r="F320" s="2974">
        <v>0.05</v>
      </c>
      <c r="G320" s="2991"/>
    </row>
    <row r="321" spans="1:7">
      <c r="A321" s="2984" t="s">
        <v>306</v>
      </c>
      <c r="B321" s="2973" t="s">
        <v>3218</v>
      </c>
      <c r="C321" s="2985"/>
      <c r="D321" s="2985"/>
      <c r="E321" s="2985"/>
      <c r="F321" s="2974">
        <v>0.05</v>
      </c>
      <c r="G321" s="2991"/>
    </row>
    <row r="322" spans="1:7">
      <c r="A322" s="2984" t="s">
        <v>306</v>
      </c>
      <c r="B322" s="2973" t="s">
        <v>3219</v>
      </c>
      <c r="C322" s="2985"/>
      <c r="D322" s="2985"/>
      <c r="E322" s="2985"/>
      <c r="F322" s="2974">
        <v>0.05</v>
      </c>
      <c r="G322" s="2991"/>
    </row>
    <row r="323" spans="1:7">
      <c r="A323" s="2984" t="s">
        <v>306</v>
      </c>
      <c r="B323" s="2973" t="s">
        <v>3220</v>
      </c>
      <c r="C323" s="2985"/>
      <c r="D323" s="2985"/>
      <c r="E323" s="2985"/>
      <c r="F323" s="2974">
        <v>0.05</v>
      </c>
      <c r="G323" s="2991"/>
    </row>
    <row r="324" spans="1:7">
      <c r="A324" s="2984" t="s">
        <v>306</v>
      </c>
      <c r="B324" s="2973" t="s">
        <v>3221</v>
      </c>
      <c r="C324" s="2985"/>
      <c r="D324" s="2985"/>
      <c r="E324" s="2985"/>
      <c r="F324" s="2974">
        <v>0.05</v>
      </c>
      <c r="G324" s="2991"/>
    </row>
    <row r="325" spans="1:7">
      <c r="A325" s="2984" t="s">
        <v>306</v>
      </c>
      <c r="B325" s="2973" t="s">
        <v>3222</v>
      </c>
      <c r="C325" s="2985"/>
      <c r="D325" s="2985"/>
      <c r="E325" s="2985"/>
      <c r="F325" s="2974">
        <v>0.05</v>
      </c>
      <c r="G325" s="2991"/>
    </row>
    <row r="326" spans="1:7" ht="14.25" thickBot="1">
      <c r="A326" s="2987" t="s">
        <v>306</v>
      </c>
      <c r="B326" s="2977" t="s">
        <v>3223</v>
      </c>
      <c r="C326" s="2979"/>
      <c r="D326" s="2979"/>
      <c r="E326" s="2979"/>
      <c r="F326" s="2978">
        <v>0.05</v>
      </c>
      <c r="G326" s="2992"/>
    </row>
    <row r="327" spans="1:7">
      <c r="A327" s="2983" t="s">
        <v>307</v>
      </c>
      <c r="B327" s="2969" t="s">
        <v>2855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2867</v>
      </c>
      <c r="C329" s="2974">
        <v>0.15</v>
      </c>
      <c r="D329" s="2974">
        <v>0.15</v>
      </c>
      <c r="E329" s="2974">
        <v>0.15</v>
      </c>
      <c r="F329" s="2974">
        <v>0.15</v>
      </c>
      <c r="G329" s="2975">
        <v>0.15</v>
      </c>
    </row>
    <row r="330" spans="1:7">
      <c r="A330" s="2984" t="s">
        <v>307</v>
      </c>
      <c r="B330" s="2973" t="s">
        <v>2871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2879</v>
      </c>
      <c r="C332" s="2974">
        <v>0.15</v>
      </c>
      <c r="D332" s="2974">
        <v>0.15</v>
      </c>
      <c r="E332" s="2974">
        <v>0.15</v>
      </c>
      <c r="F332" s="2974">
        <v>0.15</v>
      </c>
      <c r="G332" s="2975">
        <v>0.15</v>
      </c>
    </row>
    <row r="333" spans="1:7">
      <c r="A333" s="2984" t="s">
        <v>307</v>
      </c>
      <c r="B333" s="2973" t="s">
        <v>2883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2889</v>
      </c>
      <c r="C336" s="2974">
        <v>0.15</v>
      </c>
      <c r="D336" s="2974">
        <v>0.15</v>
      </c>
      <c r="E336" s="2974">
        <v>0.15</v>
      </c>
      <c r="F336" s="2974">
        <v>0.14199999999999999</v>
      </c>
      <c r="G336" s="2975">
        <v>0.15</v>
      </c>
    </row>
    <row r="337" spans="1:7">
      <c r="A337" s="2984" t="s">
        <v>307</v>
      </c>
      <c r="B337" s="2973" t="s">
        <v>2894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2914</v>
      </c>
      <c r="C345" s="2974">
        <v>0.15</v>
      </c>
      <c r="D345" s="2974">
        <v>0.15</v>
      </c>
      <c r="E345" s="2974">
        <v>0.15</v>
      </c>
      <c r="F345" s="2974">
        <v>0.13800000000000001</v>
      </c>
      <c r="G345" s="2975">
        <v>0.15</v>
      </c>
    </row>
    <row r="346" spans="1:7">
      <c r="A346" s="2984" t="s">
        <v>307</v>
      </c>
      <c r="B346" s="2973" t="s">
        <v>2916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2923</v>
      </c>
      <c r="C348" s="2974">
        <v>0.15</v>
      </c>
      <c r="D348" s="2974">
        <v>0.15</v>
      </c>
      <c r="E348" s="2974">
        <v>0.15</v>
      </c>
      <c r="F348" s="2974">
        <v>0.14399999999999999</v>
      </c>
      <c r="G348" s="2975">
        <v>0.15</v>
      </c>
    </row>
    <row r="349" spans="1:7">
      <c r="A349" s="2984" t="s">
        <v>307</v>
      </c>
      <c r="B349" s="2973" t="s">
        <v>2928</v>
      </c>
      <c r="C349" s="2974">
        <v>0.15</v>
      </c>
      <c r="D349" s="2974">
        <v>0.15</v>
      </c>
      <c r="E349" s="2974">
        <v>0.15</v>
      </c>
      <c r="F349" s="2974">
        <v>0.15</v>
      </c>
      <c r="G349" s="2975">
        <v>0.15</v>
      </c>
    </row>
    <row r="350" spans="1:7">
      <c r="A350" s="2984" t="s">
        <v>307</v>
      </c>
      <c r="B350" s="2973" t="s">
        <v>2931</v>
      </c>
      <c r="C350" s="2974">
        <v>0.15</v>
      </c>
      <c r="D350" s="2974">
        <v>0.15</v>
      </c>
      <c r="E350" s="2974">
        <v>0.15</v>
      </c>
      <c r="F350" s="2974">
        <v>0.14699999999999999</v>
      </c>
      <c r="G350" s="2975">
        <v>0.15</v>
      </c>
    </row>
    <row r="351" spans="1:7">
      <c r="A351" s="2984" t="s">
        <v>307</v>
      </c>
      <c r="B351" s="2973" t="s">
        <v>2936</v>
      </c>
      <c r="C351" s="2974">
        <v>0.15</v>
      </c>
      <c r="D351" s="2974">
        <v>0.15</v>
      </c>
      <c r="E351" s="2974">
        <v>0.15</v>
      </c>
      <c r="F351" s="2974">
        <v>0.13</v>
      </c>
      <c r="G351" s="2975">
        <v>0.15</v>
      </c>
    </row>
    <row r="352" spans="1:7">
      <c r="A352" s="2984" t="s">
        <v>307</v>
      </c>
      <c r="B352" s="2973" t="s">
        <v>2941</v>
      </c>
      <c r="C352" s="2974">
        <v>0.15</v>
      </c>
      <c r="D352" s="2974">
        <v>0.15</v>
      </c>
      <c r="E352" s="2974">
        <v>0.15</v>
      </c>
      <c r="F352" s="2974">
        <v>0.14599999999999999</v>
      </c>
      <c r="G352" s="2975">
        <v>0.15</v>
      </c>
    </row>
    <row r="353" spans="1:7">
      <c r="A353" s="2984" t="s">
        <v>307</v>
      </c>
      <c r="B353" s="2973" t="s">
        <v>2948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2961</v>
      </c>
      <c r="C355" s="2974">
        <v>0.15</v>
      </c>
      <c r="D355" s="2974">
        <v>0.15</v>
      </c>
      <c r="E355" s="2974">
        <v>0.15</v>
      </c>
      <c r="F355" s="2974">
        <v>0.15</v>
      </c>
      <c r="G355" s="2975">
        <v>0.15</v>
      </c>
    </row>
    <row r="356" spans="1:7">
      <c r="A356" s="2984" t="s">
        <v>307</v>
      </c>
      <c r="B356" s="2973" t="s">
        <v>2968</v>
      </c>
      <c r="C356" s="2974">
        <v>0.15</v>
      </c>
      <c r="D356" s="2974">
        <v>0.15</v>
      </c>
      <c r="E356" s="2974">
        <v>0.15</v>
      </c>
      <c r="F356" s="2974">
        <v>0.15</v>
      </c>
      <c r="G356" s="2975">
        <v>0.15</v>
      </c>
    </row>
    <row r="357" spans="1:7" ht="14.25" thickBot="1">
      <c r="A357" s="2987" t="s">
        <v>307</v>
      </c>
      <c r="B357" s="2977" t="s">
        <v>2973</v>
      </c>
      <c r="C357" s="2978">
        <v>0.126</v>
      </c>
      <c r="D357" s="2978">
        <v>0.127</v>
      </c>
      <c r="E357" s="2978">
        <v>0.14299999999999999</v>
      </c>
      <c r="F357" s="2978">
        <v>0.125</v>
      </c>
      <c r="G357" s="2980">
        <v>0.129</v>
      </c>
    </row>
    <row r="358" spans="1:7">
      <c r="A358" s="2983" t="s">
        <v>2842</v>
      </c>
      <c r="B358" s="2969" t="s">
        <v>2856</v>
      </c>
      <c r="C358" s="2970">
        <v>0.15</v>
      </c>
      <c r="D358" s="2970">
        <v>0.15</v>
      </c>
      <c r="E358" s="2970">
        <v>0.15</v>
      </c>
      <c r="F358" s="2970">
        <v>0.15</v>
      </c>
      <c r="G358" s="2971">
        <v>0.15</v>
      </c>
    </row>
    <row r="359" spans="1:7">
      <c r="A359" s="2984" t="s">
        <v>2842</v>
      </c>
      <c r="B359" s="2973" t="s">
        <v>2862</v>
      </c>
      <c r="C359" s="2974">
        <v>0.1</v>
      </c>
      <c r="D359" s="2974">
        <v>0.1</v>
      </c>
      <c r="E359" s="2974">
        <v>0.1</v>
      </c>
      <c r="F359" s="2974">
        <v>0.1</v>
      </c>
      <c r="G359" s="2975">
        <v>0.1</v>
      </c>
    </row>
    <row r="360" spans="1:7">
      <c r="A360" s="2984" t="s">
        <v>2842</v>
      </c>
      <c r="B360" s="2973" t="s">
        <v>2868</v>
      </c>
      <c r="C360" s="2974">
        <v>0.15</v>
      </c>
      <c r="D360" s="2974">
        <v>0.15</v>
      </c>
      <c r="E360" s="2974">
        <v>0.15</v>
      </c>
      <c r="F360" s="2974">
        <v>0.14899999999999999</v>
      </c>
      <c r="G360" s="2975">
        <v>0.15</v>
      </c>
    </row>
    <row r="361" spans="1:7">
      <c r="A361" s="2984" t="s">
        <v>2842</v>
      </c>
      <c r="B361" s="2973" t="s">
        <v>153</v>
      </c>
      <c r="C361" s="2974">
        <v>0.15</v>
      </c>
      <c r="D361" s="2974">
        <v>0.15</v>
      </c>
      <c r="E361" s="2974">
        <v>0.15</v>
      </c>
      <c r="F361" s="2974">
        <v>0.115</v>
      </c>
      <c r="G361" s="2975">
        <v>0.15</v>
      </c>
    </row>
    <row r="362" spans="1:7">
      <c r="A362" s="2984" t="s">
        <v>2842</v>
      </c>
      <c r="B362" s="2973" t="s">
        <v>2875</v>
      </c>
      <c r="C362" s="2974">
        <v>0.15</v>
      </c>
      <c r="D362" s="2974">
        <v>0.15</v>
      </c>
      <c r="E362" s="2974">
        <v>0.15</v>
      </c>
      <c r="F362" s="2974">
        <v>0.106</v>
      </c>
      <c r="G362" s="2975">
        <v>0.15</v>
      </c>
    </row>
    <row r="363" spans="1:7">
      <c r="A363" s="2984" t="s">
        <v>2842</v>
      </c>
      <c r="B363" s="2973" t="s">
        <v>2880</v>
      </c>
      <c r="C363" s="2974">
        <v>0.15</v>
      </c>
      <c r="D363" s="2974">
        <v>0.15</v>
      </c>
      <c r="E363" s="2974">
        <v>0.15</v>
      </c>
      <c r="F363" s="2974">
        <v>0.14699999999999999</v>
      </c>
      <c r="G363" s="2975">
        <v>0.15</v>
      </c>
    </row>
    <row r="364" spans="1:7">
      <c r="A364" s="2984" t="s">
        <v>2842</v>
      </c>
      <c r="B364" s="2973" t="s">
        <v>2884</v>
      </c>
      <c r="C364" s="2974">
        <v>0.15</v>
      </c>
      <c r="D364" s="2974">
        <v>0.15</v>
      </c>
      <c r="E364" s="2974">
        <v>0.15</v>
      </c>
      <c r="F364" s="2974">
        <v>0.14799999999999999</v>
      </c>
      <c r="G364" s="2975">
        <v>0.15</v>
      </c>
    </row>
    <row r="365" spans="1:7">
      <c r="A365" s="2984" t="s">
        <v>2842</v>
      </c>
      <c r="B365" s="2973" t="s">
        <v>200</v>
      </c>
      <c r="C365" s="2974">
        <v>0.15</v>
      </c>
      <c r="D365" s="2974">
        <v>0.15</v>
      </c>
      <c r="E365" s="2974">
        <v>0.15</v>
      </c>
      <c r="F365" s="2974">
        <v>0.15</v>
      </c>
      <c r="G365" s="2975">
        <v>0.15</v>
      </c>
    </row>
    <row r="366" spans="1:7">
      <c r="A366" s="2984" t="s">
        <v>2842</v>
      </c>
      <c r="B366" s="2973" t="s">
        <v>2887</v>
      </c>
      <c r="C366" s="2974">
        <v>0.15</v>
      </c>
      <c r="D366" s="2974">
        <v>0.15</v>
      </c>
      <c r="E366" s="2974">
        <v>0.15</v>
      </c>
      <c r="F366" s="2974">
        <v>0.15</v>
      </c>
      <c r="G366" s="2975">
        <v>0.15</v>
      </c>
    </row>
    <row r="367" spans="1:7">
      <c r="A367" s="2984" t="s">
        <v>2842</v>
      </c>
      <c r="B367" s="2973" t="s">
        <v>2890</v>
      </c>
      <c r="C367" s="2974">
        <v>0.15</v>
      </c>
      <c r="D367" s="2974">
        <v>0.15</v>
      </c>
      <c r="E367" s="2974">
        <v>0.15</v>
      </c>
      <c r="F367" s="2974">
        <v>0.14699999999999999</v>
      </c>
      <c r="G367" s="2975">
        <v>0.15</v>
      </c>
    </row>
    <row r="368" spans="1:7">
      <c r="A368" s="2984" t="s">
        <v>2842</v>
      </c>
      <c r="B368" s="2973" t="s">
        <v>2895</v>
      </c>
      <c r="C368" s="2974">
        <v>0.15</v>
      </c>
      <c r="D368" s="2974">
        <v>0.15</v>
      </c>
      <c r="E368" s="2974">
        <v>0.15</v>
      </c>
      <c r="F368" s="2974">
        <v>0.13600000000000001</v>
      </c>
      <c r="G368" s="2975">
        <v>0.15</v>
      </c>
    </row>
    <row r="369" spans="1:7">
      <c r="A369" s="2984" t="s">
        <v>2842</v>
      </c>
      <c r="B369" s="2973" t="s">
        <v>214</v>
      </c>
      <c r="C369" s="2974">
        <v>0.15</v>
      </c>
      <c r="D369" s="2974">
        <v>0.15</v>
      </c>
      <c r="E369" s="2974">
        <v>0.15</v>
      </c>
      <c r="F369" s="2974">
        <v>0.14399999999999999</v>
      </c>
      <c r="G369" s="2975">
        <v>0.15</v>
      </c>
    </row>
    <row r="370" spans="1:7">
      <c r="A370" s="2984" t="s">
        <v>2842</v>
      </c>
      <c r="B370" s="2973" t="s">
        <v>221</v>
      </c>
      <c r="C370" s="2974">
        <v>0.15</v>
      </c>
      <c r="D370" s="2974">
        <v>0.15</v>
      </c>
      <c r="E370" s="2974">
        <v>0.15</v>
      </c>
      <c r="F370" s="2974">
        <v>0.14599999999999999</v>
      </c>
      <c r="G370" s="2975">
        <v>0.15</v>
      </c>
    </row>
    <row r="371" spans="1:7">
      <c r="A371" s="2984" t="s">
        <v>2842</v>
      </c>
      <c r="B371" s="2973" t="s">
        <v>229</v>
      </c>
      <c r="C371" s="2974">
        <v>0.15</v>
      </c>
      <c r="D371" s="2974">
        <v>0.15</v>
      </c>
      <c r="E371" s="2974">
        <v>0.15</v>
      </c>
      <c r="F371" s="2974">
        <v>0.12</v>
      </c>
      <c r="G371" s="2975">
        <v>0.15</v>
      </c>
    </row>
    <row r="372" spans="1:7">
      <c r="A372" s="2984" t="s">
        <v>2842</v>
      </c>
      <c r="B372" s="2973" t="s">
        <v>2903</v>
      </c>
      <c r="C372" s="2974">
        <v>0.15</v>
      </c>
      <c r="D372" s="2974">
        <v>0.15</v>
      </c>
      <c r="E372" s="2974">
        <v>0.15</v>
      </c>
      <c r="F372" s="2974">
        <v>0.14299999999999999</v>
      </c>
      <c r="G372" s="2975">
        <v>0.15</v>
      </c>
    </row>
    <row r="373" spans="1:7">
      <c r="A373" s="2984" t="s">
        <v>2842</v>
      </c>
      <c r="B373" s="2973" t="s">
        <v>258</v>
      </c>
      <c r="C373" s="2974">
        <v>0.15</v>
      </c>
      <c r="D373" s="2974">
        <v>0.15</v>
      </c>
      <c r="E373" s="2974">
        <v>0.15</v>
      </c>
      <c r="F373" s="2974">
        <v>0.14599999999999999</v>
      </c>
      <c r="G373" s="2975">
        <v>0.15</v>
      </c>
    </row>
    <row r="374" spans="1:7">
      <c r="A374" s="2984" t="s">
        <v>2842</v>
      </c>
      <c r="B374" s="2973" t="s">
        <v>266</v>
      </c>
      <c r="C374" s="2974">
        <v>0.15</v>
      </c>
      <c r="D374" s="2974">
        <v>0.15</v>
      </c>
      <c r="E374" s="2974">
        <v>0.15</v>
      </c>
      <c r="F374" s="2974">
        <v>0.14399999999999999</v>
      </c>
      <c r="G374" s="2975">
        <v>0.15</v>
      </c>
    </row>
    <row r="375" spans="1:7">
      <c r="A375" s="2984" t="s">
        <v>2842</v>
      </c>
      <c r="B375" s="2973" t="s">
        <v>2911</v>
      </c>
      <c r="C375" s="2974">
        <v>0.15</v>
      </c>
      <c r="D375" s="2974">
        <v>0.15</v>
      </c>
      <c r="E375" s="2974">
        <v>0.15</v>
      </c>
      <c r="F375" s="2974">
        <v>0.13</v>
      </c>
      <c r="G375" s="2975">
        <v>0.15</v>
      </c>
    </row>
    <row r="376" spans="1:7">
      <c r="A376" s="2984" t="s">
        <v>2842</v>
      </c>
      <c r="B376" s="2973" t="s">
        <v>277</v>
      </c>
      <c r="C376" s="2974">
        <v>0.15</v>
      </c>
      <c r="D376" s="2974">
        <v>0.15</v>
      </c>
      <c r="E376" s="2974">
        <v>0.15</v>
      </c>
      <c r="F376" s="2974">
        <v>0.14199999999999999</v>
      </c>
      <c r="G376" s="2975">
        <v>0.15</v>
      </c>
    </row>
    <row r="377" spans="1:7" ht="14.25" thickBot="1">
      <c r="A377" s="2987" t="s">
        <v>2842</v>
      </c>
      <c r="B377" s="2977" t="s">
        <v>2917</v>
      </c>
      <c r="C377" s="2978">
        <v>0.15</v>
      </c>
      <c r="D377" s="2978">
        <v>0.15</v>
      </c>
      <c r="E377" s="2978">
        <v>0.15</v>
      </c>
      <c r="F377" s="2978">
        <v>0.14000000000000001</v>
      </c>
      <c r="G377" s="2980">
        <v>0.15</v>
      </c>
    </row>
    <row r="378" spans="1:7">
      <c r="A378" s="2983" t="s">
        <v>2843</v>
      </c>
      <c r="B378" s="2969" t="s">
        <v>2857</v>
      </c>
      <c r="C378" s="2970">
        <v>0.15</v>
      </c>
      <c r="D378" s="2970">
        <v>0.15</v>
      </c>
      <c r="E378" s="2970">
        <v>0.15</v>
      </c>
      <c r="F378" s="2970">
        <v>0.107</v>
      </c>
      <c r="G378" s="2971">
        <v>0.15</v>
      </c>
    </row>
    <row r="379" spans="1:7">
      <c r="A379" s="2984" t="s">
        <v>2843</v>
      </c>
      <c r="B379" s="2973" t="s">
        <v>2863</v>
      </c>
      <c r="C379" s="2974">
        <v>0.15</v>
      </c>
      <c r="D379" s="2974">
        <v>0.15</v>
      </c>
      <c r="E379" s="2974">
        <v>0.15</v>
      </c>
      <c r="F379" s="2974">
        <v>0.115</v>
      </c>
      <c r="G379" s="2975">
        <v>0.14899999999999999</v>
      </c>
    </row>
    <row r="380" spans="1:7">
      <c r="A380" s="2984" t="s">
        <v>2843</v>
      </c>
      <c r="B380" s="2973" t="s">
        <v>2869</v>
      </c>
      <c r="C380" s="2974">
        <v>0.15</v>
      </c>
      <c r="D380" s="2974">
        <v>0.15</v>
      </c>
      <c r="E380" s="2974">
        <v>0.15</v>
      </c>
      <c r="F380" s="2974">
        <v>0.1</v>
      </c>
      <c r="G380" s="2975">
        <v>0.14799999999999999</v>
      </c>
    </row>
    <row r="381" spans="1:7">
      <c r="A381" s="2984" t="s">
        <v>2843</v>
      </c>
      <c r="B381" s="2973" t="s">
        <v>2872</v>
      </c>
      <c r="C381" s="2974">
        <v>0.15</v>
      </c>
      <c r="D381" s="2974">
        <v>0.15</v>
      </c>
      <c r="E381" s="2974">
        <v>0.15</v>
      </c>
      <c r="F381" s="2974">
        <v>0.126</v>
      </c>
      <c r="G381" s="2975">
        <v>0.15</v>
      </c>
    </row>
    <row r="382" spans="1:7">
      <c r="A382" s="2984" t="s">
        <v>2843</v>
      </c>
      <c r="B382" s="2973" t="s">
        <v>2876</v>
      </c>
      <c r="C382" s="2974">
        <v>0.15</v>
      </c>
      <c r="D382" s="2974">
        <v>0.15</v>
      </c>
      <c r="E382" s="2974">
        <v>0.15</v>
      </c>
      <c r="F382" s="2974">
        <v>0.15</v>
      </c>
      <c r="G382" s="2975">
        <v>0.15</v>
      </c>
    </row>
    <row r="383" spans="1:7">
      <c r="A383" s="2984" t="s">
        <v>2843</v>
      </c>
      <c r="B383" s="2973" t="s">
        <v>2881</v>
      </c>
      <c r="C383" s="2974">
        <v>0.15</v>
      </c>
      <c r="D383" s="2974">
        <v>0.15</v>
      </c>
      <c r="E383" s="2974">
        <v>0.15</v>
      </c>
      <c r="F383" s="2974">
        <v>0.14699999999999999</v>
      </c>
      <c r="G383" s="2975">
        <v>0.15</v>
      </c>
    </row>
    <row r="384" spans="1:7" ht="14.25" thickBot="1">
      <c r="A384" s="2994" t="s">
        <v>2843</v>
      </c>
      <c r="B384" s="2995" t="s">
        <v>2885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9"/>
  </cols>
  <sheetData>
    <row r="1" spans="1:6">
      <c r="A1" s="3503" t="s">
        <v>3224</v>
      </c>
      <c r="B1" s="3503"/>
      <c r="C1" s="3503"/>
      <c r="D1" s="3503"/>
      <c r="E1" s="3503"/>
      <c r="F1" s="3504"/>
    </row>
    <row r="2" spans="1:6">
      <c r="A2" s="2998" t="s">
        <v>3225</v>
      </c>
    </row>
    <row r="3" spans="1:6">
      <c r="A3" s="2998" t="s">
        <v>3226</v>
      </c>
      <c r="F3" s="2999" t="s">
        <v>3227</v>
      </c>
    </row>
    <row r="4" spans="1:6">
      <c r="A4" s="3000" t="s">
        <v>672</v>
      </c>
      <c r="B4" s="3000" t="s">
        <v>673</v>
      </c>
      <c r="C4" s="3000" t="s">
        <v>21</v>
      </c>
      <c r="D4" s="3000" t="s">
        <v>674</v>
      </c>
      <c r="E4" s="3000" t="s">
        <v>3</v>
      </c>
      <c r="F4" s="3000" t="s">
        <v>3228</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3">
        <f>基准地价修正!G23</f>
        <v>45587</v>
      </c>
      <c r="B1" s="2925" t="s">
        <v>3374</v>
      </c>
      <c r="C1" s="2926"/>
      <c r="D1" s="2926"/>
      <c r="E1" s="2926"/>
      <c r="F1" s="2926"/>
      <c r="G1" s="2926"/>
      <c r="H1" s="2926"/>
      <c r="I1" s="2926"/>
      <c r="J1" s="2892"/>
      <c r="K1" s="2926" t="s">
        <v>454</v>
      </c>
      <c r="L1" s="2926"/>
      <c r="M1" s="2926"/>
      <c r="N1" s="2926"/>
      <c r="O1" s="2926"/>
      <c r="P1" s="2926"/>
      <c r="Q1" s="2892"/>
      <c r="R1" s="3505" t="s">
        <v>456</v>
      </c>
      <c r="S1" s="3506"/>
      <c r="T1" s="3506"/>
      <c r="U1" s="3506"/>
      <c r="V1" s="3506"/>
      <c r="W1" s="3506"/>
      <c r="X1" s="2892"/>
      <c r="Y1" s="3505" t="s">
        <v>457</v>
      </c>
      <c r="Z1" s="3506"/>
      <c r="AA1" s="3506"/>
      <c r="AB1" s="3506"/>
      <c r="AC1" s="3506"/>
      <c r="AD1" s="3506"/>
    </row>
    <row r="2" spans="1:30" s="2009" customFormat="1" ht="14.25" thickBot="1">
      <c r="B2" s="2877"/>
      <c r="C2" s="2878"/>
      <c r="D2" s="2010" t="s">
        <v>2802</v>
      </c>
      <c r="E2" s="2011" t="s">
        <v>2803</v>
      </c>
      <c r="F2" s="2011" t="s">
        <v>2804</v>
      </c>
      <c r="G2" s="2011" t="s">
        <v>2805</v>
      </c>
      <c r="H2" s="2011" t="s">
        <v>2806</v>
      </c>
      <c r="I2" s="2011" t="s">
        <v>2623</v>
      </c>
      <c r="J2" s="2879"/>
      <c r="K2" s="2010" t="s">
        <v>2802</v>
      </c>
      <c r="L2" s="2011" t="s">
        <v>2803</v>
      </c>
      <c r="M2" s="2011" t="s">
        <v>2804</v>
      </c>
      <c r="N2" s="2011" t="s">
        <v>2805</v>
      </c>
      <c r="O2" s="2011" t="s">
        <v>2807</v>
      </c>
      <c r="P2" s="2011" t="s">
        <v>2623</v>
      </c>
      <c r="Q2" s="2879"/>
      <c r="R2" s="2010" t="s">
        <v>2802</v>
      </c>
      <c r="S2" s="2011" t="s">
        <v>2803</v>
      </c>
      <c r="T2" s="2011" t="s">
        <v>2804</v>
      </c>
      <c r="U2" s="2011" t="s">
        <v>2808</v>
      </c>
      <c r="V2" s="2011" t="s">
        <v>2809</v>
      </c>
      <c r="W2" s="2011" t="s">
        <v>2623</v>
      </c>
      <c r="X2" s="2879"/>
      <c r="Y2" s="2010" t="s">
        <v>2802</v>
      </c>
      <c r="Z2" s="2011" t="s">
        <v>2803</v>
      </c>
      <c r="AA2" s="2011" t="s">
        <v>2804</v>
      </c>
      <c r="AB2" s="2011" t="s">
        <v>2810</v>
      </c>
      <c r="AC2" s="2011" t="s">
        <v>2809</v>
      </c>
      <c r="AD2" s="2011" t="s">
        <v>2623</v>
      </c>
    </row>
    <row r="3" spans="1:30" s="2882" customFormat="1" ht="12.75">
      <c r="A3" s="2880" t="s">
        <v>2811</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2.75">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2.75">
      <c r="A5" s="2039" t="s">
        <v>3370</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2.75">
      <c r="A6" s="2903" t="s">
        <v>3379</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4" customFormat="1" ht="12.75">
      <c r="A7" s="2039" t="s">
        <v>3378</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1" t="s">
        <v>3371</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1" t="s">
        <v>3367</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2.75">
      <c r="A10" s="2901" t="s">
        <v>3363</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2.75">
      <c r="A11" s="2901" t="s">
        <v>3362</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2.75">
      <c r="A12" s="2901" t="s">
        <v>3360</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2.75">
      <c r="A13" s="2901" t="s">
        <v>3359</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2.75">
      <c r="A14" s="2901" t="s">
        <v>3358</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1" t="s">
        <v>3356</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1" t="s">
        <v>3347</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1" t="s">
        <v>2812</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1" t="s">
        <v>2813</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1" t="s">
        <v>2814</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1" t="s">
        <v>2815</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thickBot="1">
      <c r="A21" s="2914" t="s">
        <v>2816</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3377</v>
      </c>
    </row>
    <row r="24" spans="1:30">
      <c r="I24" s="1404" t="s">
        <v>2817</v>
      </c>
    </row>
    <row r="26" spans="1:30" s="2008" customFormat="1" ht="12.75">
      <c r="B26" s="2925" t="s">
        <v>3375</v>
      </c>
      <c r="C26" s="2926"/>
      <c r="D26" s="2926"/>
      <c r="E26" s="2926"/>
      <c r="F26" s="2926"/>
      <c r="G26" s="2926"/>
      <c r="H26" s="2926"/>
      <c r="I26" s="2926"/>
      <c r="J26" s="2892"/>
      <c r="K26" s="2926" t="s">
        <v>2818</v>
      </c>
      <c r="L26" s="2926"/>
      <c r="M26" s="2926"/>
      <c r="N26" s="2926"/>
      <c r="O26" s="2926"/>
      <c r="P26" s="2926"/>
      <c r="Q26" s="2892"/>
      <c r="R26" s="3505" t="s">
        <v>2819</v>
      </c>
      <c r="S26" s="3506"/>
      <c r="T26" s="3506"/>
      <c r="U26" s="3506"/>
      <c r="V26" s="3506"/>
      <c r="W26" s="3506"/>
      <c r="X26" s="2892"/>
      <c r="Y26" s="3505" t="s">
        <v>2820</v>
      </c>
      <c r="Z26" s="3506"/>
      <c r="AA26" s="3506"/>
      <c r="AB26" s="3506"/>
      <c r="AC26" s="3506"/>
      <c r="AD26" s="3506"/>
    </row>
    <row r="27" spans="1:30" s="2009" customFormat="1" ht="14.25" thickBot="1">
      <c r="B27" s="2877"/>
      <c r="C27" s="2878"/>
      <c r="D27" s="2010" t="s">
        <v>2821</v>
      </c>
      <c r="E27" s="2011" t="s">
        <v>2822</v>
      </c>
      <c r="F27" s="2011" t="s">
        <v>2823</v>
      </c>
      <c r="G27" s="2011" t="s">
        <v>2824</v>
      </c>
      <c r="H27" s="2011"/>
      <c r="I27" s="2011" t="s">
        <v>2825</v>
      </c>
      <c r="J27" s="2879"/>
      <c r="K27" s="2010" t="s">
        <v>2821</v>
      </c>
      <c r="L27" s="2011" t="s">
        <v>2822</v>
      </c>
      <c r="M27" s="2011" t="s">
        <v>2823</v>
      </c>
      <c r="N27" s="2011" t="s">
        <v>2824</v>
      </c>
      <c r="O27" s="2011"/>
      <c r="P27" s="2011" t="s">
        <v>2825</v>
      </c>
      <c r="Q27" s="2879"/>
      <c r="R27" s="2010" t="s">
        <v>2821</v>
      </c>
      <c r="S27" s="2011" t="s">
        <v>2822</v>
      </c>
      <c r="T27" s="2011" t="s">
        <v>2823</v>
      </c>
      <c r="U27" s="2011" t="s">
        <v>2824</v>
      </c>
      <c r="V27" s="2011"/>
      <c r="W27" s="2011" t="s">
        <v>2825</v>
      </c>
      <c r="X27" s="2879"/>
      <c r="Y27" s="2010" t="s">
        <v>2821</v>
      </c>
      <c r="Z27" s="2011" t="s">
        <v>2822</v>
      </c>
      <c r="AA27" s="2011" t="s">
        <v>2823</v>
      </c>
      <c r="AB27" s="2011" t="s">
        <v>2824</v>
      </c>
      <c r="AC27" s="2011"/>
      <c r="AD27" s="2011" t="s">
        <v>2825</v>
      </c>
    </row>
    <row r="28" spans="1:30" s="2882" customFormat="1" ht="12.75">
      <c r="A28" s="2880" t="s">
        <v>2826</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8" customFormat="1" ht="12.75">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2.75">
      <c r="A30" s="2039" t="s">
        <v>3370</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2.75">
      <c r="A31" s="2903" t="s">
        <v>3372</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4" customFormat="1" ht="12.75">
      <c r="A32" s="2039" t="s">
        <v>3365</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2.75">
      <c r="A33" s="2901" t="s">
        <v>3373</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2.75">
      <c r="A34" s="2901" t="s">
        <v>3366</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2.75">
      <c r="A35" s="2901" t="s">
        <v>3364</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2.75">
      <c r="A36" s="2901" t="s">
        <v>3362</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2.75">
      <c r="A37" s="2901" t="s">
        <v>3361</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2.75">
      <c r="A38" s="2901" t="s">
        <v>3359</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2.75">
      <c r="A39" s="2901" t="s">
        <v>3358</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2.75">
      <c r="A40" s="2901" t="s">
        <v>3357</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2.75">
      <c r="A41" s="2901" t="s">
        <v>3347</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2.75">
      <c r="A42" s="2901" t="s">
        <v>2827</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2.75">
      <c r="A43" s="2901" t="s">
        <v>2828</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2.75">
      <c r="A44" s="2901" t="s">
        <v>2829</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2.75">
      <c r="A45" s="2901" t="s">
        <v>2830</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thickBot="1">
      <c r="A46" s="2914" t="s">
        <v>2816</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topLeftCell="A19"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45587</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195"/>
      <c r="B3" s="3195"/>
      <c r="C3" s="3195"/>
      <c r="D3" s="800" t="s">
        <v>925</v>
      </c>
      <c r="E3" s="800" t="s">
        <v>931</v>
      </c>
      <c r="F3" s="800" t="s">
        <v>925</v>
      </c>
      <c r="G3" s="800" t="s">
        <v>926</v>
      </c>
      <c r="H3" s="800" t="s">
        <v>925</v>
      </c>
      <c r="I3" s="800" t="s">
        <v>926</v>
      </c>
    </row>
    <row r="4" spans="1:9" ht="30">
      <c r="A4" s="1402" t="str">
        <f>项目基本情况!S2</f>
        <v>北京市怀柔区雁栖经济开发区雁栖大街8号房地产</v>
      </c>
      <c r="B4" s="800">
        <f>项目基本情况!C17</f>
        <v>2382.1000000000004</v>
      </c>
      <c r="C4" s="800">
        <f>项目基本情况!C18</f>
        <v>10810.26</v>
      </c>
      <c r="D4" s="800">
        <f ca="1">结果表!D118</f>
        <v>1935</v>
      </c>
      <c r="E4" s="800">
        <f ca="1">结果表!E118</f>
        <v>8123</v>
      </c>
      <c r="F4" s="800">
        <f ca="1">结果表!F118</f>
        <v>451</v>
      </c>
      <c r="G4" s="800">
        <f ca="1">结果表!G118</f>
        <v>1893</v>
      </c>
      <c r="H4" s="800">
        <f ca="1">结果表!H118</f>
        <v>2386</v>
      </c>
      <c r="I4" s="800">
        <f ca="1">结果表!I118</f>
        <v>10016</v>
      </c>
    </row>
    <row r="5" spans="1:9" ht="30" customHeight="1">
      <c r="A5" s="3195" t="s">
        <v>927</v>
      </c>
      <c r="B5" s="3195"/>
      <c r="C5" s="3195"/>
      <c r="D5" s="3195" t="str">
        <f ca="1">结果表!D119</f>
        <v>壹仟玖佰叁拾伍万元整</v>
      </c>
      <c r="E5" s="3195"/>
      <c r="F5" s="3195" t="str">
        <f ca="1">结果表!F119</f>
        <v>肆佰伍拾壹万元整</v>
      </c>
      <c r="G5" s="3195"/>
      <c r="H5" s="3195" t="str">
        <f ca="1">结果表!H119</f>
        <v>贰仟叁佰捌拾陆万元整</v>
      </c>
      <c r="I5" s="3195"/>
    </row>
    <row r="6" spans="1:9" ht="15.75">
      <c r="A6" s="3194" t="str">
        <f>结果表!A120</f>
        <v>估价师知悉的法定优先受偿款</v>
      </c>
      <c r="B6" s="3194"/>
      <c r="C6" s="3194"/>
      <c r="D6" s="3194">
        <f>结果表!D120</f>
        <v>0</v>
      </c>
      <c r="E6" s="3194"/>
      <c r="F6" s="3194"/>
      <c r="G6" s="3194"/>
      <c r="H6" s="3194"/>
      <c r="I6" s="3194"/>
    </row>
    <row r="7" spans="1:9" ht="15">
      <c r="A7" s="3195" t="s">
        <v>927</v>
      </c>
      <c r="B7" s="3195"/>
      <c r="C7" s="3195"/>
      <c r="D7" s="3196" t="str">
        <f>结果表!D121</f>
        <v>零元整</v>
      </c>
      <c r="E7" s="3197"/>
      <c r="F7" s="3197"/>
      <c r="G7" s="3197"/>
      <c r="H7" s="3197"/>
      <c r="I7" s="3198"/>
    </row>
    <row r="8" spans="1:9" ht="15.75">
      <c r="A8" s="3194" t="str">
        <f>结果表!A122</f>
        <v>房地产抵押价值</v>
      </c>
      <c r="B8" s="3194"/>
      <c r="C8" s="3194"/>
      <c r="D8" s="3194">
        <f ca="1">结果表!D122</f>
        <v>2386</v>
      </c>
      <c r="E8" s="3194"/>
      <c r="F8" s="3194"/>
      <c r="G8" s="3194"/>
      <c r="H8" s="3194"/>
      <c r="I8" s="3194"/>
    </row>
    <row r="9" spans="1:9" ht="15">
      <c r="A9" s="3195" t="s">
        <v>927</v>
      </c>
      <c r="B9" s="3195"/>
      <c r="C9" s="3195"/>
      <c r="D9" s="3195" t="str">
        <f ca="1">结果表!D123</f>
        <v>贰仟叁佰捌拾陆万元整</v>
      </c>
      <c r="E9" s="3195"/>
      <c r="F9" s="3195"/>
      <c r="G9" s="3195"/>
      <c r="H9" s="3195"/>
      <c r="I9" s="3195"/>
    </row>
    <row r="10" spans="1:9" ht="15.75">
      <c r="A10" s="3194" t="str">
        <f>结果表!A124</f>
        <v/>
      </c>
      <c r="B10" s="3194"/>
      <c r="C10" s="3194"/>
      <c r="D10" s="3194" t="str">
        <f>结果表!D124</f>
        <v>——</v>
      </c>
      <c r="E10" s="3194"/>
      <c r="F10" s="3194"/>
      <c r="G10" s="3194"/>
      <c r="H10" s="3194"/>
      <c r="I10" s="3194"/>
    </row>
    <row r="11" spans="1:9" ht="15">
      <c r="A11" s="3195" t="s">
        <v>927</v>
      </c>
      <c r="B11" s="3195"/>
      <c r="C11" s="3195"/>
      <c r="D11" s="3195" t="e">
        <f>结果表!D125</f>
        <v>#VALUE!</v>
      </c>
      <c r="E11" s="3195"/>
      <c r="F11" s="3195"/>
      <c r="G11" s="3195"/>
      <c r="H11" s="3195"/>
      <c r="I11" s="3195"/>
    </row>
    <row r="12" spans="1:9" ht="15.75">
      <c r="A12" s="3194" t="str">
        <f>结果表!A126</f>
        <v/>
      </c>
      <c r="B12" s="3194"/>
      <c r="C12" s="3194"/>
      <c r="D12" s="3194" t="str">
        <f>结果表!D126</f>
        <v>——</v>
      </c>
      <c r="E12" s="3194"/>
      <c r="F12" s="3194"/>
      <c r="G12" s="3194"/>
      <c r="H12" s="3194"/>
      <c r="I12" s="3194"/>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7" t="s">
        <v>949</v>
      </c>
      <c r="B1" s="3207"/>
      <c r="C1" s="3207"/>
      <c r="D1" s="3207"/>
    </row>
    <row r="2" spans="1:4" ht="18">
      <c r="A2" s="3208" t="s">
        <v>933</v>
      </c>
      <c r="B2" s="3208"/>
      <c r="C2" s="3208"/>
      <c r="D2" s="3208"/>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8">
      <c r="A6" s="3208" t="s">
        <v>939</v>
      </c>
      <c r="B6" s="3208"/>
      <c r="C6" s="3208"/>
      <c r="D6" s="320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9" t="s">
        <v>942</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1" t="str">
        <f>IF(项目基本情况!B8="抵押","4.本次评估估价师所知悉的法定优先受偿款情况说明如下：","——")</f>
        <v>4.本次评估估价师所知悉的法定优先受偿款情况说明如下：</v>
      </c>
      <c r="B14" s="3206"/>
      <c r="C14" s="3206"/>
      <c r="D14" s="3206"/>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943</v>
      </c>
      <c r="B16" s="3203"/>
      <c r="C16" s="3203"/>
      <c r="D16" s="3203"/>
    </row>
    <row r="17" spans="1:4" ht="144" customHeight="1">
      <c r="A17" s="3203" t="s">
        <v>944</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5" t="s">
        <v>956</v>
      </c>
      <c r="B15" s="3210" t="s">
        <v>109</v>
      </c>
      <c r="C15" s="3211"/>
    </row>
    <row r="16" spans="1:7" ht="13.5">
      <c r="A16" s="3216"/>
      <c r="B16" s="3210" t="s">
        <v>42</v>
      </c>
      <c r="C16" s="3211"/>
    </row>
    <row r="17" spans="1:3" ht="13.5">
      <c r="A17" s="3216"/>
      <c r="B17" s="3213" t="s">
        <v>957</v>
      </c>
      <c r="C17" s="1428" t="s">
        <v>956</v>
      </c>
    </row>
    <row r="18" spans="1:3" ht="13.5">
      <c r="A18" s="3216"/>
      <c r="B18" s="3213"/>
      <c r="C18" s="1428" t="s">
        <v>958</v>
      </c>
    </row>
    <row r="19" spans="1:3" ht="13.5">
      <c r="A19" s="3216"/>
      <c r="B19" s="3213"/>
      <c r="C19" s="1428" t="s">
        <v>959</v>
      </c>
    </row>
    <row r="20" spans="1:3" ht="13.5">
      <c r="A20" s="3217"/>
      <c r="B20" s="3212" t="s">
        <v>960</v>
      </c>
      <c r="C20" s="3211"/>
    </row>
    <row r="21" spans="1:3" ht="13.5">
      <c r="A21" s="1429" t="s">
        <v>961</v>
      </c>
      <c r="B21" s="1430"/>
      <c r="C21" s="1431"/>
    </row>
    <row r="22" spans="1:3" ht="13.5">
      <c r="A22" s="3214" t="s">
        <v>962</v>
      </c>
      <c r="B22" s="3212" t="s">
        <v>963</v>
      </c>
      <c r="C22" s="3211"/>
    </row>
    <row r="23" spans="1:3" ht="13.5">
      <c r="A23" s="3214"/>
      <c r="B23" s="3212" t="s">
        <v>964</v>
      </c>
      <c r="C23" s="3211"/>
    </row>
    <row r="24" spans="1:3" ht="13.5">
      <c r="A24" s="3214"/>
      <c r="B24" s="3212" t="s">
        <v>965</v>
      </c>
      <c r="C24" s="3211"/>
    </row>
    <row r="25" spans="1:3" ht="13.5">
      <c r="A25" s="3214"/>
      <c r="B25" s="3213" t="s">
        <v>966</v>
      </c>
      <c r="C25" s="1428" t="s">
        <v>967</v>
      </c>
    </row>
    <row r="26" spans="1:3" ht="13.5">
      <c r="A26" s="3214"/>
      <c r="B26" s="3213"/>
      <c r="C26" s="1428" t="s">
        <v>968</v>
      </c>
    </row>
    <row r="27" spans="1:3" ht="13.5">
      <c r="A27" s="3214"/>
      <c r="B27" s="3213"/>
      <c r="C27" s="1428" t="s">
        <v>969</v>
      </c>
    </row>
    <row r="28" spans="1:3" ht="13.5">
      <c r="A28" s="3214"/>
      <c r="B28" s="3213"/>
      <c r="C28" s="1428" t="s">
        <v>970</v>
      </c>
    </row>
    <row r="29" spans="1:3" ht="13.5">
      <c r="A29" s="3214"/>
      <c r="B29" s="3213"/>
      <c r="C29" s="1428" t="s">
        <v>971</v>
      </c>
    </row>
    <row r="30" spans="1:3" ht="13.5">
      <c r="A30" s="3214"/>
      <c r="B30" s="3213"/>
      <c r="C30" s="1428" t="s">
        <v>972</v>
      </c>
    </row>
    <row r="31" spans="1:3" ht="13.5">
      <c r="A31" s="3214"/>
      <c r="B31" s="3213"/>
      <c r="C31" s="1428" t="s">
        <v>973</v>
      </c>
    </row>
    <row r="32" spans="1:3" ht="13.5">
      <c r="A32" s="3214"/>
      <c r="B32" s="3213"/>
      <c r="C32" s="1428" t="s">
        <v>974</v>
      </c>
    </row>
    <row r="33" spans="1:3" ht="13.5">
      <c r="A33" s="3214"/>
      <c r="B33" s="321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45590</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8" t="s">
        <v>2159</v>
      </c>
      <c r="B17" s="3218"/>
      <c r="C17" s="3218"/>
      <c r="D17" s="3218"/>
      <c r="E17" s="3218"/>
      <c r="F17" s="3218"/>
      <c r="G17" s="3218"/>
      <c r="H17" s="3218"/>
    </row>
    <row r="18" spans="1:8" ht="24" customHeight="1">
      <c r="A18" s="3219" t="s">
        <v>2160</v>
      </c>
      <c r="B18" s="3219"/>
      <c r="C18" s="3219"/>
      <c r="D18" s="2159"/>
      <c r="E18" s="3220" t="s">
        <v>2161</v>
      </c>
      <c r="F18" s="3219"/>
      <c r="G18" s="3219"/>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面积及取费</vt:lpstr>
      <vt:lpstr>数据-基础表</vt:lpstr>
      <vt:lpstr>数据-汇总表</vt:lpstr>
      <vt:lpstr>数据-取费表</vt:lpstr>
      <vt:lpstr>估价对象房地状况</vt:lpstr>
      <vt:lpstr>系统读取表</vt:lpstr>
      <vt:lpstr>结果表</vt:lpstr>
      <vt:lpstr>土地比较法-工业</vt:lpstr>
      <vt:lpstr>Sheet1</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2024-10-25T03:05:04Z</dcterms:modified>
</cp:coreProperties>
</file>