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84-雁栖大街8号\"/>
    </mc:Choice>
  </mc:AlternateContent>
  <xr:revisionPtr revIDLastSave="0" documentId="13_ncr:1_{AEE98CFA-570A-472F-BF5C-6E830EC5B237}" xr6:coauthVersionLast="47" xr6:coauthVersionMax="47" xr10:uidLastSave="{00000000-0000-0000-0000-000000000000}"/>
  <bookViews>
    <workbookView xWindow="555" yWindow="90" windowWidth="12390" windowHeight="1248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4" i="80" l="1"/>
  <c r="K12" i="80"/>
  <c r="K11" i="80"/>
  <c r="K10" i="80"/>
  <c r="K9" i="80"/>
  <c r="K8" i="80"/>
  <c r="K7" i="80"/>
  <c r="K6" i="80"/>
  <c r="K5" i="80"/>
  <c r="K4" i="80"/>
  <c r="K14" i="80" l="1"/>
  <c r="BQ20" i="81"/>
  <c r="BQ19" i="81"/>
  <c r="H32" i="80"/>
  <c r="E5" i="40" l="1"/>
  <c r="I5" i="40" l="1"/>
  <c r="G5" i="40"/>
  <c r="D109" i="40"/>
  <c r="E109" i="40" s="1"/>
  <c r="F109" i="40" s="1"/>
  <c r="I34" i="40"/>
  <c r="G34" i="40"/>
  <c r="E34" i="40"/>
  <c r="I7" i="40"/>
  <c r="G7" i="40"/>
  <c r="E7" i="40"/>
  <c r="BO14" i="81"/>
  <c r="BQ15" i="81" s="1"/>
  <c r="BQ16" i="81" s="1"/>
  <c r="BO2" i="81" s="1"/>
  <c r="BR2" i="81" s="1"/>
  <c r="E41" i="40" l="1"/>
  <c r="BO4" i="81"/>
  <c r="BO3" i="81"/>
  <c r="H37" i="80"/>
  <c r="H39" i="80" s="1"/>
  <c r="I13" i="4"/>
  <c r="H34" i="80"/>
  <c r="D25" i="80"/>
  <c r="E25" i="80" s="1"/>
  <c r="C22" i="80"/>
  <c r="E22" i="80" s="1"/>
  <c r="A3" i="3"/>
  <c r="G13" i="80"/>
  <c r="I2" i="80" s="1"/>
  <c r="BR4" i="81" l="1"/>
  <c r="I41" i="40" s="1"/>
  <c r="N6" i="1"/>
  <c r="Y6" i="1" s="1"/>
  <c r="G14" i="80"/>
  <c r="L6" i="1" s="1"/>
  <c r="BR3" i="81"/>
  <c r="G41" i="40" s="1"/>
  <c r="V46" i="80" l="1"/>
  <c r="U6" i="1" s="1"/>
  <c r="C50" i="80"/>
  <c r="E50" i="80" s="1"/>
  <c r="C49" i="80"/>
  <c r="E49" i="80" s="1"/>
  <c r="E51" i="80" s="1"/>
  <c r="D51" i="80" s="1"/>
  <c r="C21" i="80"/>
  <c r="I13" i="3"/>
  <c r="F19" i="6" s="1"/>
  <c r="E21" i="80" l="1"/>
  <c r="E20" i="80" s="1"/>
  <c r="C20" i="80"/>
  <c r="C23" i="80" l="1"/>
  <c r="E23" i="80" s="1"/>
  <c r="C24" i="80"/>
  <c r="E24" i="80" s="1"/>
  <c r="C26" i="80"/>
  <c r="D20" i="80"/>
  <c r="D3" i="4"/>
  <c r="G14" i="73"/>
  <c r="F14" i="73"/>
  <c r="E14" i="73"/>
  <c r="E26" i="80" l="1"/>
  <c r="D26"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26" i="80"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F10" i="1"/>
  <c r="AF6" i="1"/>
  <c r="Z6" i="1" s="1"/>
  <c r="N28" i="79"/>
  <c r="S17" i="79"/>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D7" i="78"/>
  <c r="D6" i="78"/>
  <c r="D5" i="78"/>
  <c r="H100" i="43" l="1"/>
  <c r="H97" i="43"/>
  <c r="H95" i="43"/>
  <c r="H94" i="43"/>
  <c r="H98" i="43"/>
  <c r="H93" i="43"/>
  <c r="H101" i="43"/>
  <c r="H99" i="43"/>
  <c r="H96" i="43"/>
  <c r="G23" i="78"/>
  <c r="G24" i="78"/>
  <c r="G25"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AB34" i="71" s="1"/>
  <c r="P34" i="71"/>
  <c r="O34" i="71"/>
  <c r="N34" i="71"/>
  <c r="X34" i="71" s="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C30" i="71"/>
  <c r="C38" i="71"/>
  <c r="D38" i="71" s="1"/>
  <c r="D30" i="71"/>
  <c r="P28" i="71"/>
  <c r="E28" i="71" s="1"/>
  <c r="U68" i="71"/>
  <c r="Q28" i="71"/>
  <c r="C59" i="71"/>
  <c r="D59" i="71" s="1"/>
  <c r="C63" i="71"/>
  <c r="C64" i="71" s="1"/>
  <c r="T68" i="71"/>
  <c r="O68" i="71"/>
  <c r="D68" i="71"/>
  <c r="Q68" i="71"/>
  <c r="E71" i="71"/>
  <c r="E70" i="71"/>
  <c r="C75" i="71"/>
  <c r="D75" i="71" s="1"/>
  <c r="D76" i="71"/>
  <c r="E79" i="71"/>
  <c r="E78" i="71" s="1"/>
  <c r="C87" i="71"/>
  <c r="C86" i="71" s="1"/>
  <c r="D86" i="71" s="1"/>
  <c r="F28" i="71"/>
  <c r="F27" i="71" s="1"/>
  <c r="F2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U21" i="37"/>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F5" i="3" s="1"/>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I5" i="3" s="1"/>
  <c r="BJ554" i="3"/>
  <c r="BK554" i="3"/>
  <c r="BM554" i="3"/>
  <c r="BN554" i="3"/>
  <c r="BN5"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L584" i="3" s="1"/>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F11" i="40" s="1"/>
  <c r="B120" i="40"/>
  <c r="H40" i="40" s="1"/>
  <c r="AB40" i="40" s="1"/>
  <c r="B118" i="40"/>
  <c r="B116" i="40"/>
  <c r="F38" i="40" s="1"/>
  <c r="AA38" i="40"/>
  <c r="D115" i="40"/>
  <c r="E115" i="40" s="1"/>
  <c r="F115" i="40" s="1"/>
  <c r="G115" i="40" s="1"/>
  <c r="H115" i="40" s="1"/>
  <c r="I115" i="40" s="1"/>
  <c r="J115" i="40" s="1"/>
  <c r="K115" i="40" s="1"/>
  <c r="L115" i="40" s="1"/>
  <c r="M115" i="40" s="1"/>
  <c r="D113" i="40"/>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D86" i="40"/>
  <c r="E86" i="40" s="1"/>
  <c r="F86" i="40" s="1"/>
  <c r="G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c r="G94" i="39" s="1"/>
  <c r="D92" i="39"/>
  <c r="E92" i="39" s="1"/>
  <c r="F92" i="39" s="1"/>
  <c r="G92" i="39" s="1"/>
  <c r="D90" i="39"/>
  <c r="E90" i="39" s="1"/>
  <c r="F90" i="39" s="1"/>
  <c r="G90" i="39" s="1"/>
  <c r="D88" i="39"/>
  <c r="E88" i="39"/>
  <c r="F88" i="39" s="1"/>
  <c r="G88" i="39" s="1"/>
  <c r="B85" i="39"/>
  <c r="B83" i="39"/>
  <c r="J13" i="39" s="1"/>
  <c r="W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J38" i="37" s="1"/>
  <c r="AC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c r="AB23" i="36"/>
  <c r="F23" i="36"/>
  <c r="AA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J35" i="35" s="1"/>
  <c r="AC35" i="35" s="1"/>
  <c r="B97" i="35"/>
  <c r="B77" i="35"/>
  <c r="F25" i="35" s="1"/>
  <c r="B75" i="35"/>
  <c r="J24" i="35" s="1"/>
  <c r="AC24" i="35" s="1"/>
  <c r="B73" i="35"/>
  <c r="B57" i="35"/>
  <c r="B61" i="35"/>
  <c r="J13" i="35" s="1"/>
  <c r="AC13" i="35" s="1"/>
  <c r="B59" i="35"/>
  <c r="F12" i="35" s="1"/>
  <c r="B131" i="34"/>
  <c r="F47" i="34" s="1"/>
  <c r="B129" i="34"/>
  <c r="B127" i="34"/>
  <c r="B99" i="34"/>
  <c r="B97" i="34"/>
  <c r="F31" i="34" s="1"/>
  <c r="S31" i="34" s="1"/>
  <c r="B95" i="34"/>
  <c r="B93" i="34"/>
  <c r="J29" i="34" s="1"/>
  <c r="AC29" i="34" s="1"/>
  <c r="B75" i="34"/>
  <c r="B73" i="34"/>
  <c r="J13" i="34" s="1"/>
  <c r="W13" i="34" s="1"/>
  <c r="B71" i="34"/>
  <c r="J12" i="34" s="1"/>
  <c r="W12" i="34" s="1"/>
  <c r="B130" i="33"/>
  <c r="B128" i="33"/>
  <c r="B126" i="33"/>
  <c r="B98" i="33"/>
  <c r="B96" i="33"/>
  <c r="J30" i="33" s="1"/>
  <c r="W30" i="33" s="1"/>
  <c r="B94" i="33"/>
  <c r="B74" i="33"/>
  <c r="H14" i="33" s="1"/>
  <c r="U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C53" i="35"/>
  <c r="J9" i="35" s="1"/>
  <c r="P39" i="35"/>
  <c r="P38" i="35"/>
  <c r="V37" i="35"/>
  <c r="T37" i="35"/>
  <c r="R37" i="35"/>
  <c r="P37" i="35"/>
  <c r="Q36" i="35"/>
  <c r="Z36" i="35" s="1"/>
  <c r="Q35" i="35"/>
  <c r="Z35" i="35"/>
  <c r="Q34" i="35"/>
  <c r="Z34" i="35" s="1"/>
  <c r="H34" i="35"/>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c r="J40" i="33"/>
  <c r="AC40" i="33" s="1"/>
  <c r="H40" i="33"/>
  <c r="AA40" i="33"/>
  <c r="Q39" i="33"/>
  <c r="Z39" i="33" s="1"/>
  <c r="J39" i="33"/>
  <c r="W39" i="33" s="1"/>
  <c r="AC39" i="33"/>
  <c r="Q38" i="33"/>
  <c r="Z38" i="33" s="1"/>
  <c r="J38" i="33"/>
  <c r="AC38" i="33" s="1"/>
  <c r="H38" i="33"/>
  <c r="AB38" i="33" s="1"/>
  <c r="F38" i="33"/>
  <c r="AA38" i="33"/>
  <c r="Q37" i="33"/>
  <c r="Z37" i="33" s="1"/>
  <c r="Q36" i="33"/>
  <c r="Z36" i="33" s="1"/>
  <c r="Q35" i="33"/>
  <c r="Z35" i="33" s="1"/>
  <c r="H35" i="33"/>
  <c r="AB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J44" i="21" s="1"/>
  <c r="AC44" i="21" s="1"/>
  <c r="B98" i="21"/>
  <c r="B96" i="21"/>
  <c r="B94" i="2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J45" i="39"/>
  <c r="W45" i="39" s="1"/>
  <c r="F36" i="39"/>
  <c r="S36" i="39" s="1"/>
  <c r="H36" i="39"/>
  <c r="AB36" i="39" s="1"/>
  <c r="J36" i="39"/>
  <c r="AC36" i="39" s="1"/>
  <c r="U9" i="39"/>
  <c r="W40" i="39"/>
  <c r="W31" i="37"/>
  <c r="F39" i="37"/>
  <c r="S39" i="37" s="1"/>
  <c r="F29" i="36"/>
  <c r="AA29" i="36" s="1"/>
  <c r="F16" i="36"/>
  <c r="AA16" i="36" s="1"/>
  <c r="H22" i="35"/>
  <c r="AB22" i="35" s="1"/>
  <c r="U31" i="35"/>
  <c r="S31" i="35"/>
  <c r="F36" i="34"/>
  <c r="J35" i="34"/>
  <c r="H39" i="33"/>
  <c r="AB39" i="33" s="1"/>
  <c r="F26" i="33"/>
  <c r="AA26" i="33" s="1"/>
  <c r="S40" i="33"/>
  <c r="H39" i="37"/>
  <c r="AB39" i="37" s="1"/>
  <c r="S27" i="35"/>
  <c r="W8" i="40"/>
  <c r="AA9" i="40"/>
  <c r="S38" i="40"/>
  <c r="F42" i="39"/>
  <c r="AA42" i="39" s="1"/>
  <c r="F41" i="39"/>
  <c r="S41" i="39" s="1"/>
  <c r="H40" i="39"/>
  <c r="AB40" i="39" s="1"/>
  <c r="H39" i="39"/>
  <c r="U39" i="39" s="1"/>
  <c r="S38" i="39"/>
  <c r="H34" i="39"/>
  <c r="U34" i="39" s="1"/>
  <c r="F31" i="39"/>
  <c r="AA31"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AA27" i="39" s="1"/>
  <c r="F11" i="21"/>
  <c r="S11" i="21" s="1"/>
  <c r="S40" i="21"/>
  <c r="H11" i="39"/>
  <c r="S40" i="39"/>
  <c r="H32" i="33"/>
  <c r="AB32" i="33" s="1"/>
  <c r="H11" i="21"/>
  <c r="U11" i="21" s="1"/>
  <c r="J11" i="21"/>
  <c r="W11" i="21" s="1"/>
  <c r="H37" i="40"/>
  <c r="U37" i="40" s="1"/>
  <c r="F35" i="40"/>
  <c r="AA35" i="40"/>
  <c r="H17" i="40"/>
  <c r="U17" i="40" s="1"/>
  <c r="J15" i="40"/>
  <c r="W15" i="40" s="1"/>
  <c r="AC12" i="34"/>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H40" i="34"/>
  <c r="U40" i="34" s="1"/>
  <c r="H36" i="34"/>
  <c r="U36" i="34" s="1"/>
  <c r="F37" i="34"/>
  <c r="AA37" i="34" s="1"/>
  <c r="S35" i="34"/>
  <c r="F28" i="34"/>
  <c r="AA28" i="34" s="1"/>
  <c r="F25" i="34"/>
  <c r="S25" i="34" s="1"/>
  <c r="H23" i="34"/>
  <c r="U23" i="34" s="1"/>
  <c r="J23" i="34"/>
  <c r="W23" i="34" s="1"/>
  <c r="F19" i="34"/>
  <c r="H17" i="34"/>
  <c r="F15" i="34"/>
  <c r="AA15" i="34" s="1"/>
  <c r="J15" i="34"/>
  <c r="W15" i="34" s="1"/>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H28" i="40"/>
  <c r="U28" i="40" s="1"/>
  <c r="F17" i="40"/>
  <c r="AA17" i="40" s="1"/>
  <c r="J17" i="40"/>
  <c r="W17" i="40" s="1"/>
  <c r="F15" i="40"/>
  <c r="S15" i="40" s="1"/>
  <c r="AB30" i="36"/>
  <c r="F29" i="35"/>
  <c r="H29" i="35"/>
  <c r="AB29" i="35" s="1"/>
  <c r="H33" i="37"/>
  <c r="F33" i="37"/>
  <c r="AA33" i="37" s="1"/>
  <c r="S34" i="37"/>
  <c r="J43" i="34"/>
  <c r="J40" i="34"/>
  <c r="AC40" i="34" s="1"/>
  <c r="H38" i="34"/>
  <c r="AB38" i="34" s="1"/>
  <c r="J36" i="34"/>
  <c r="H37" i="34"/>
  <c r="U37" i="34" s="1"/>
  <c r="H25" i="34"/>
  <c r="AB25" i="34" s="1"/>
  <c r="J25" i="34"/>
  <c r="AC25" i="34" s="1"/>
  <c r="AB23" i="34"/>
  <c r="F23" i="34"/>
  <c r="AA23" i="34" s="1"/>
  <c r="J19" i="34"/>
  <c r="AC19" i="34" s="1"/>
  <c r="F17" i="34"/>
  <c r="AA17" i="34" s="1"/>
  <c r="J17" i="34"/>
  <c r="S41" i="33"/>
  <c r="H37" i="33"/>
  <c r="AB37" i="33" s="1"/>
  <c r="H15" i="33"/>
  <c r="AB15" i="33" s="1"/>
  <c r="H11" i="33"/>
  <c r="AB11" i="33" s="1"/>
  <c r="F28" i="40"/>
  <c r="AA28" i="40" s="1"/>
  <c r="AA42" i="34"/>
  <c r="AC38" i="34"/>
  <c r="AA38" i="34"/>
  <c r="J37" i="34"/>
  <c r="AC37" i="34" s="1"/>
  <c r="J11" i="33"/>
  <c r="W11" i="33" s="1"/>
  <c r="S28" i="34"/>
  <c r="J42" i="21"/>
  <c r="AC42" i="21" s="1"/>
  <c r="H42" i="21"/>
  <c r="U42" i="21" s="1"/>
  <c r="J44" i="34"/>
  <c r="F44" i="34"/>
  <c r="J10" i="35"/>
  <c r="AC10" i="35" s="1"/>
  <c r="H14" i="21"/>
  <c r="U14" i="21" s="1"/>
  <c r="H28" i="21"/>
  <c r="AB28" i="21" s="1"/>
  <c r="F28" i="21"/>
  <c r="AA28" i="21" s="1"/>
  <c r="J28" i="21"/>
  <c r="H44" i="21"/>
  <c r="U44" i="21" s="1"/>
  <c r="F44" i="21"/>
  <c r="AA44" i="21" s="1"/>
  <c r="H46" i="21"/>
  <c r="U46" i="21"/>
  <c r="J46" i="21"/>
  <c r="F46" i="21"/>
  <c r="AA46"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31" i="21"/>
  <c r="AC31" i="21" s="1"/>
  <c r="F27" i="33"/>
  <c r="AA27" i="33" s="1"/>
  <c r="J13" i="33"/>
  <c r="F13" i="33"/>
  <c r="S13" i="33" s="1"/>
  <c r="J29" i="33"/>
  <c r="H29" i="33"/>
  <c r="U29" i="33" s="1"/>
  <c r="F29" i="33"/>
  <c r="S29" i="33" s="1"/>
  <c r="J31" i="33"/>
  <c r="H31" i="33"/>
  <c r="F31" i="33"/>
  <c r="H45" i="33"/>
  <c r="J45" i="33"/>
  <c r="F45" i="33"/>
  <c r="AA45" i="33" s="1"/>
  <c r="J14" i="34"/>
  <c r="W14" i="34" s="1"/>
  <c r="F14" i="34"/>
  <c r="H14" i="34"/>
  <c r="U14" i="34" s="1"/>
  <c r="H30" i="34"/>
  <c r="F30" i="34"/>
  <c r="S30" i="34" s="1"/>
  <c r="J30" i="34"/>
  <c r="H32" i="34"/>
  <c r="U32" i="34" s="1"/>
  <c r="F32" i="34"/>
  <c r="J32" i="34"/>
  <c r="W32" i="34" s="1"/>
  <c r="H46" i="34"/>
  <c r="F46" i="34"/>
  <c r="S46" i="34" s="1"/>
  <c r="J46" i="34"/>
  <c r="H11" i="35"/>
  <c r="AB11" i="35" s="1"/>
  <c r="J11" i="35"/>
  <c r="F11" i="35"/>
  <c r="S11" i="35" s="1"/>
  <c r="J26" i="36"/>
  <c r="W26" i="36" s="1"/>
  <c r="H28" i="36"/>
  <c r="U28"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F14" i="33"/>
  <c r="H44" i="33"/>
  <c r="AB44" i="33" s="1"/>
  <c r="H13" i="34"/>
  <c r="U13" i="34" s="1"/>
  <c r="J31" i="34"/>
  <c r="J45" i="34"/>
  <c r="W45" i="34" s="1"/>
  <c r="F35" i="35"/>
  <c r="AA35" i="35" s="1"/>
  <c r="F25" i="36"/>
  <c r="S25" i="36" s="1"/>
  <c r="H13" i="37"/>
  <c r="F13" i="37"/>
  <c r="S13" i="37" s="1"/>
  <c r="J13" i="37"/>
  <c r="W13" i="37" s="1"/>
  <c r="J28" i="37"/>
  <c r="AC28" i="37" s="1"/>
  <c r="F38" i="37"/>
  <c r="S38" i="37" s="1"/>
  <c r="F43" i="39"/>
  <c r="AA43" i="39" s="1"/>
  <c r="H43" i="39"/>
  <c r="U43" i="39" s="1"/>
  <c r="J14" i="39"/>
  <c r="AC14" i="39" s="1"/>
  <c r="F14" i="39"/>
  <c r="S14" i="39" s="1"/>
  <c r="H14" i="39"/>
  <c r="AB14" i="39" s="1"/>
  <c r="F12" i="40"/>
  <c r="S12" i="40" s="1"/>
  <c r="H12" i="40"/>
  <c r="AB12" i="40" s="1"/>
  <c r="H30" i="40"/>
  <c r="AB30" i="40" s="1"/>
  <c r="J35" i="40"/>
  <c r="AC35" i="40" s="1"/>
  <c r="J37" i="40"/>
  <c r="AC37" i="40" s="1"/>
  <c r="J13" i="40"/>
  <c r="W13" i="40" s="1"/>
  <c r="F14" i="37"/>
  <c r="F27" i="37"/>
  <c r="AA27" i="37" s="1"/>
  <c r="H13" i="39"/>
  <c r="U13" i="39" s="1"/>
  <c r="H14" i="40"/>
  <c r="AB14" i="40" s="1"/>
  <c r="J14" i="37"/>
  <c r="J27" i="37"/>
  <c r="AC27" i="37"/>
  <c r="J36" i="37"/>
  <c r="AC36" i="37" s="1"/>
  <c r="J10" i="36"/>
  <c r="AC10" i="36" s="1"/>
  <c r="S45" i="33"/>
  <c r="F17" i="21"/>
  <c r="AA17" i="21" s="1"/>
  <c r="H17" i="21"/>
  <c r="AB17" i="21" s="1"/>
  <c r="F15" i="21"/>
  <c r="S15" i="21" s="1"/>
  <c r="J41" i="39"/>
  <c r="W41" i="39" s="1"/>
  <c r="G544" i="3"/>
  <c r="G536" i="3"/>
  <c r="G535" i="3"/>
  <c r="G528" i="3"/>
  <c r="G527" i="3"/>
  <c r="G514" i="3"/>
  <c r="G510" i="3"/>
  <c r="G508" i="3"/>
  <c r="G500" i="3"/>
  <c r="G496" i="3"/>
  <c r="G568" i="3"/>
  <c r="G550" i="3"/>
  <c r="BL564" i="3"/>
  <c r="BL542" i="3"/>
  <c r="BL538" i="3"/>
  <c r="BL526" i="3"/>
  <c r="BL522" i="3"/>
  <c r="BL506" i="3"/>
  <c r="BL502" i="3"/>
  <c r="BL494" i="3"/>
  <c r="BL578" i="3"/>
  <c r="BL544" i="3"/>
  <c r="BL540" i="3"/>
  <c r="BL532" i="3"/>
  <c r="G529" i="3"/>
  <c r="BL524" i="3"/>
  <c r="BL518" i="3"/>
  <c r="BL504" i="3"/>
  <c r="BL500" i="3"/>
  <c r="G493" i="3"/>
  <c r="BA574" i="3"/>
  <c r="BA558" i="3"/>
  <c r="BA548" i="3"/>
  <c r="BA542" i="3"/>
  <c r="BA540" i="3"/>
  <c r="BA534" i="3"/>
  <c r="BA530" i="3"/>
  <c r="BA524" i="3"/>
  <c r="AZ524" i="3" s="1"/>
  <c r="BA522" i="3"/>
  <c r="BA516" i="3"/>
  <c r="BA514" i="3"/>
  <c r="BA508" i="3"/>
  <c r="BA506" i="3"/>
  <c r="BA502" i="3"/>
  <c r="BA500" i="3"/>
  <c r="BA498" i="3"/>
  <c r="BA494" i="3"/>
  <c r="AZ494" i="3" s="1"/>
  <c r="BA575" i="3"/>
  <c r="BA559" i="3"/>
  <c r="BA549" i="3"/>
  <c r="BA547" i="3"/>
  <c r="BA541" i="3"/>
  <c r="BA539" i="3"/>
  <c r="BA533" i="3"/>
  <c r="BA531" i="3"/>
  <c r="BA525" i="3"/>
  <c r="BA523" i="3"/>
  <c r="BA515" i="3"/>
  <c r="BA513" i="3"/>
  <c r="BA505" i="3"/>
  <c r="BA503" i="3"/>
  <c r="BA499" i="3"/>
  <c r="BA497" i="3"/>
  <c r="BA495" i="3"/>
  <c r="G583" i="3"/>
  <c r="G573" i="3"/>
  <c r="G565" i="3"/>
  <c r="AC557" i="3"/>
  <c r="BQ557" i="3"/>
  <c r="BQ583" i="3"/>
  <c r="BL583" i="3" s="1"/>
  <c r="BQ581" i="3"/>
  <c r="BQ579" i="3"/>
  <c r="BQ577" i="3"/>
  <c r="BQ575" i="3"/>
  <c r="BQ573" i="3"/>
  <c r="BQ571" i="3"/>
  <c r="BQ569" i="3"/>
  <c r="BQ567" i="3"/>
  <c r="BQ565" i="3"/>
  <c r="BQ563" i="3"/>
  <c r="BQ561" i="3"/>
  <c r="BQ559" i="3"/>
  <c r="BL559" i="3" s="1"/>
  <c r="G549" i="3"/>
  <c r="G545" i="3"/>
  <c r="G543" i="3"/>
  <c r="G541" i="3"/>
  <c r="G537" i="3"/>
  <c r="BQ555" i="3"/>
  <c r="BL555" i="3"/>
  <c r="BQ553" i="3"/>
  <c r="BQ551" i="3"/>
  <c r="BL551" i="3" s="1"/>
  <c r="BQ549" i="3"/>
  <c r="BQ547" i="3"/>
  <c r="BQ545" i="3"/>
  <c r="BL545" i="3" s="1"/>
  <c r="BQ543" i="3"/>
  <c r="BL543" i="3" s="1"/>
  <c r="BQ541" i="3"/>
  <c r="BQ539" i="3"/>
  <c r="BL539" i="3" s="1"/>
  <c r="BQ537" i="3"/>
  <c r="BL537" i="3" s="1"/>
  <c r="BQ535" i="3"/>
  <c r="BQ533" i="3"/>
  <c r="BL533" i="3"/>
  <c r="AZ533" i="3" s="1"/>
  <c r="BQ531" i="3"/>
  <c r="BL531" i="3" s="1"/>
  <c r="BQ529" i="3"/>
  <c r="BQ527" i="3"/>
  <c r="BQ525" i="3"/>
  <c r="BL525" i="3" s="1"/>
  <c r="AZ525" i="3" s="1"/>
  <c r="BQ523" i="3"/>
  <c r="BL523" i="3" s="1"/>
  <c r="AC521" i="3"/>
  <c r="BQ521" i="3"/>
  <c r="BL521" i="3" s="1"/>
  <c r="BL520" i="3"/>
  <c r="G515" i="3"/>
  <c r="G513" i="3"/>
  <c r="BQ519" i="3"/>
  <c r="BQ517" i="3"/>
  <c r="BL517" i="3" s="1"/>
  <c r="BQ515" i="3"/>
  <c r="BL515" i="3" s="1"/>
  <c r="AZ515" i="3" s="1"/>
  <c r="BQ513" i="3"/>
  <c r="BQ511" i="3"/>
  <c r="BL511" i="3" s="1"/>
  <c r="BA509" i="3"/>
  <c r="AC509" i="3"/>
  <c r="BQ509" i="3"/>
  <c r="BL508" i="3"/>
  <c r="G507" i="3"/>
  <c r="G503" i="3"/>
  <c r="G501" i="3"/>
  <c r="G499" i="3"/>
  <c r="G495" i="3"/>
  <c r="BQ507" i="3"/>
  <c r="BQ505" i="3"/>
  <c r="BL505" i="3" s="1"/>
  <c r="AZ505" i="3" s="1"/>
  <c r="BQ503" i="3"/>
  <c r="BQ501" i="3"/>
  <c r="BL501" i="3" s="1"/>
  <c r="BQ499" i="3"/>
  <c r="BL499" i="3" s="1"/>
  <c r="BQ497" i="3"/>
  <c r="BL497" i="3" s="1"/>
  <c r="AZ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2" i="40"/>
  <c r="AB32" i="40" s="1"/>
  <c r="H19" i="37"/>
  <c r="AB19" i="37" s="1"/>
  <c r="H42" i="33"/>
  <c r="AB42" i="33" s="1"/>
  <c r="J43" i="33"/>
  <c r="AC43" i="33" s="1"/>
  <c r="S28" i="31"/>
  <c r="S27" i="31"/>
  <c r="S26" i="31"/>
  <c r="U14" i="40"/>
  <c r="U39" i="37"/>
  <c r="AA13" i="33"/>
  <c r="U19" i="21"/>
  <c r="W44" i="21"/>
  <c r="F43" i="33"/>
  <c r="AA43" i="33" s="1"/>
  <c r="W16" i="35"/>
  <c r="H37" i="21"/>
  <c r="U37" i="21" s="1"/>
  <c r="H19" i="34"/>
  <c r="AB19" i="34" s="1"/>
  <c r="F36" i="35"/>
  <c r="S36" i="35" s="1"/>
  <c r="J9" i="37"/>
  <c r="W9" i="37" s="1"/>
  <c r="H9" i="37"/>
  <c r="U9" i="37" s="1"/>
  <c r="F9" i="37"/>
  <c r="S9" i="37" s="1"/>
  <c r="H12" i="37"/>
  <c r="AB12" i="37" s="1"/>
  <c r="E71" i="37"/>
  <c r="F71" i="37" s="1"/>
  <c r="G71" i="37" s="1"/>
  <c r="F15" i="37"/>
  <c r="AA15" i="37" s="1"/>
  <c r="E94" i="37"/>
  <c r="F31" i="37"/>
  <c r="S31" i="37" s="1"/>
  <c r="F12" i="39"/>
  <c r="S12" i="39" s="1"/>
  <c r="J42" i="39"/>
  <c r="AC42" i="39" s="1"/>
  <c r="F94" i="37"/>
  <c r="G94" i="37" s="1"/>
  <c r="H94" i="37" s="1"/>
  <c r="I94" i="37" s="1"/>
  <c r="J94" i="37" s="1"/>
  <c r="K94" i="37" s="1"/>
  <c r="L94" i="37" s="1"/>
  <c r="M94" i="37" s="1"/>
  <c r="H31" i="37"/>
  <c r="U31" i="37" s="1"/>
  <c r="J15" i="37"/>
  <c r="W15" i="37" s="1"/>
  <c r="AT6" i="3"/>
  <c r="AC43" i="39"/>
  <c r="W43" i="39"/>
  <c r="H37" i="39"/>
  <c r="AB37" i="39" s="1"/>
  <c r="H25" i="39"/>
  <c r="AB25" i="39" s="1"/>
  <c r="J25" i="39"/>
  <c r="F25" i="39"/>
  <c r="AA25" i="39" s="1"/>
  <c r="F15" i="39"/>
  <c r="AA15" i="39" s="1"/>
  <c r="H15" i="39"/>
  <c r="U15" i="39" s="1"/>
  <c r="J15" i="39"/>
  <c r="W15" i="39" s="1"/>
  <c r="H41" i="39"/>
  <c r="AB41" i="39" s="1"/>
  <c r="W27" i="39"/>
  <c r="AB34" i="39"/>
  <c r="U40" i="39"/>
  <c r="S42"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BL549" i="3"/>
  <c r="AZ549" i="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AZ16" i="3" s="1"/>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AZ380" i="3" s="1"/>
  <c r="G381" i="3"/>
  <c r="BA383" i="3"/>
  <c r="BL384" i="3"/>
  <c r="G385" i="3"/>
  <c r="BA387" i="3"/>
  <c r="BL388" i="3"/>
  <c r="G389" i="3"/>
  <c r="BA391" i="3"/>
  <c r="AZ391" i="3" s="1"/>
  <c r="BL392" i="3"/>
  <c r="G393" i="3"/>
  <c r="BM5" i="3"/>
  <c r="AZ325" i="3"/>
  <c r="AZ341" i="3"/>
  <c r="AZ506" i="3"/>
  <c r="G548" i="3"/>
  <c r="G538" i="3"/>
  <c r="G520" i="3"/>
  <c r="G502" i="3"/>
  <c r="BS5" i="3"/>
  <c r="BK5" i="3"/>
  <c r="BE5" i="3"/>
  <c r="G17" i="3"/>
  <c r="BA17" i="3"/>
  <c r="AZ356" i="3"/>
  <c r="BA15" i="3"/>
  <c r="BB5" i="3"/>
  <c r="AZ392" i="3"/>
  <c r="AZ499" i="3"/>
  <c r="G509" i="3"/>
  <c r="F83" i="43"/>
  <c r="H85" i="43" s="1"/>
  <c r="F50" i="43"/>
  <c r="H54" i="43" s="1"/>
  <c r="F72" i="43"/>
  <c r="H75" i="43" s="1"/>
  <c r="U17" i="39"/>
  <c r="U43" i="21"/>
  <c r="U35" i="21"/>
  <c r="AC35" i="21"/>
  <c r="G10" i="1"/>
  <c r="AC11" i="39"/>
  <c r="W37" i="37"/>
  <c r="W44" i="34"/>
  <c r="AC44" i="34"/>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W12" i="39"/>
  <c r="BL14" i="3"/>
  <c r="AC13" i="34"/>
  <c r="W28" i="37"/>
  <c r="F12" i="33"/>
  <c r="AA12" i="33" s="1"/>
  <c r="H12" i="39"/>
  <c r="AB12" i="39" s="1"/>
  <c r="F39" i="40"/>
  <c r="S39" i="40" s="1"/>
  <c r="BA14" i="3"/>
  <c r="B12" i="1"/>
  <c r="E12" i="1" s="1"/>
  <c r="B10" i="1"/>
  <c r="E10" i="1" s="1"/>
  <c r="K12" i="1"/>
  <c r="M12" i="1" s="1"/>
  <c r="S13" i="1"/>
  <c r="AR13" i="1" s="1"/>
  <c r="R13" i="1"/>
  <c r="J51" i="67"/>
  <c r="C42" i="1"/>
  <c r="C24" i="12" s="1"/>
  <c r="AC34" i="33"/>
  <c r="AA34" i="33"/>
  <c r="B41" i="1"/>
  <c r="F48" i="9" s="1"/>
  <c r="O52" i="9" s="1"/>
  <c r="S35" i="40"/>
  <c r="U35" i="40"/>
  <c r="W38" i="40"/>
  <c r="AB27" i="40"/>
  <c r="S28" i="40"/>
  <c r="AA27" i="40"/>
  <c r="S43" i="39"/>
  <c r="F32" i="39"/>
  <c r="S32" i="39" s="1"/>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3" i="36"/>
  <c r="U26" i="36"/>
  <c r="AA26" i="36"/>
  <c r="AA34" i="36"/>
  <c r="AC26" i="36"/>
  <c r="W14" i="36"/>
  <c r="AB14" i="36"/>
  <c r="U22" i="36"/>
  <c r="S16" i="36"/>
  <c r="AA25" i="36"/>
  <c r="U24" i="36"/>
  <c r="U23" i="36"/>
  <c r="U16" i="36"/>
  <c r="S14" i="36"/>
  <c r="W24" i="35"/>
  <c r="U29" i="35"/>
  <c r="U28" i="35"/>
  <c r="U32" i="35"/>
  <c r="AA33" i="35"/>
  <c r="AC30" i="35"/>
  <c r="S32" i="35"/>
  <c r="AA36" i="35"/>
  <c r="S28" i="35"/>
  <c r="AB16" i="35"/>
  <c r="AC20" i="35"/>
  <c r="S22" i="35"/>
  <c r="U14" i="35"/>
  <c r="AA11" i="35"/>
  <c r="AC9" i="35"/>
  <c r="W9" i="35"/>
  <c r="F9" i="35"/>
  <c r="S9" i="35" s="1"/>
  <c r="H9" i="35"/>
  <c r="U9" i="35" s="1"/>
  <c r="AB40" i="37"/>
  <c r="W27" i="37"/>
  <c r="AC29" i="37"/>
  <c r="U29" i="37"/>
  <c r="AB31" i="37"/>
  <c r="S36" i="37"/>
  <c r="U32" i="37"/>
  <c r="AC35" i="37"/>
  <c r="W39" i="37"/>
  <c r="S30" i="37"/>
  <c r="S37" i="37"/>
  <c r="AC15"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AC42" i="34"/>
  <c r="AB35" i="34"/>
  <c r="U39" i="34"/>
  <c r="AB41" i="34"/>
  <c r="AA25" i="34"/>
  <c r="S17" i="34"/>
  <c r="S23" i="34"/>
  <c r="U15" i="34"/>
  <c r="H10" i="34"/>
  <c r="AB10" i="34" s="1"/>
  <c r="F11" i="34"/>
  <c r="S11" i="34" s="1"/>
  <c r="W42" i="33"/>
  <c r="S27" i="33"/>
  <c r="AA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43" i="33"/>
  <c r="F91" i="33"/>
  <c r="G91" i="33" s="1"/>
  <c r="H91" i="33" s="1"/>
  <c r="I91" i="33" s="1"/>
  <c r="J91" i="33" s="1"/>
  <c r="K91" i="33" s="1"/>
  <c r="L91" i="33" s="1"/>
  <c r="M91" i="33" s="1"/>
  <c r="H27" i="33"/>
  <c r="U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W15" i="33"/>
  <c r="J10" i="33"/>
  <c r="W10" i="33" s="1"/>
  <c r="H10" i="33"/>
  <c r="U10" i="33" s="1"/>
  <c r="AC11" i="33"/>
  <c r="AB14" i="33"/>
  <c r="W43" i="21"/>
  <c r="W36" i="21"/>
  <c r="AB39" i="21"/>
  <c r="AA43" i="21"/>
  <c r="S39" i="21"/>
  <c r="AA36" i="21"/>
  <c r="AC40" i="21"/>
  <c r="J15" i="21"/>
  <c r="W15" i="21" s="1"/>
  <c r="F23" i="21"/>
  <c r="S23" i="21" s="1"/>
  <c r="E85" i="21"/>
  <c r="D120" i="9"/>
  <c r="D121" i="9" s="1"/>
  <c r="D7" i="52" s="1"/>
  <c r="F34" i="67"/>
  <c r="F62" i="67" s="1"/>
  <c r="M20" i="67"/>
  <c r="F34" i="15"/>
  <c r="F62" i="15" s="1"/>
  <c r="G13" i="3"/>
  <c r="BA13" i="3"/>
  <c r="BL17" i="3"/>
  <c r="AZ17" i="3" s="1"/>
  <c r="J56" i="9"/>
  <c r="J57" i="9" s="1"/>
  <c r="J59" i="9" s="1"/>
  <c r="J61" i="9" s="1"/>
  <c r="A24" i="51"/>
  <c r="B18" i="72" s="1"/>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28" i="40"/>
  <c r="W28" i="40"/>
  <c r="W27" i="40"/>
  <c r="U8" i="40"/>
  <c r="S8" i="40"/>
  <c r="AA39" i="39"/>
  <c r="AC41" i="39"/>
  <c r="U42" i="39"/>
  <c r="U41" i="39"/>
  <c r="W25" i="39"/>
  <c r="AC25" i="39"/>
  <c r="AB13" i="39"/>
  <c r="AA14" i="39"/>
  <c r="AB43" i="39"/>
  <c r="AB11" i="39"/>
  <c r="U11" i="39"/>
  <c r="S27" i="39"/>
  <c r="AC17" i="39"/>
  <c r="AB39" i="39"/>
  <c r="U38" i="39"/>
  <c r="S8" i="39"/>
  <c r="S20" i="36"/>
  <c r="W29" i="36"/>
  <c r="AC20" i="36"/>
  <c r="AB28" i="36"/>
  <c r="AA13" i="36"/>
  <c r="W9" i="36"/>
  <c r="W22" i="36"/>
  <c r="AB20" i="35"/>
  <c r="U24" i="35"/>
  <c r="W35" i="35"/>
  <c r="AA16" i="35"/>
  <c r="AA35" i="37"/>
  <c r="W36" i="37"/>
  <c r="S27" i="37"/>
  <c r="W32" i="37"/>
  <c r="U36" i="37"/>
  <c r="S40" i="37"/>
  <c r="AB37" i="37"/>
  <c r="AC34" i="37"/>
  <c r="AB35" i="37"/>
  <c r="AA31" i="37"/>
  <c r="U19" i="37"/>
  <c r="AA29" i="37"/>
  <c r="U8" i="37"/>
  <c r="AA40" i="34"/>
  <c r="AB40" i="34"/>
  <c r="U19" i="34"/>
  <c r="W19" i="34"/>
  <c r="AB33" i="34"/>
  <c r="AC45" i="34"/>
  <c r="AA30" i="34"/>
  <c r="U25" i="34"/>
  <c r="W33" i="34"/>
  <c r="AC32" i="34"/>
  <c r="W29" i="34"/>
  <c r="W46" i="34"/>
  <c r="AC46" i="34"/>
  <c r="S32" i="34"/>
  <c r="AA32" i="34"/>
  <c r="U30" i="34"/>
  <c r="AB30" i="34"/>
  <c r="S37" i="34"/>
  <c r="U38" i="34"/>
  <c r="W40" i="34"/>
  <c r="AA19" i="34"/>
  <c r="S19" i="34"/>
  <c r="AA36" i="34"/>
  <c r="S36" i="34"/>
  <c r="AA8" i="34"/>
  <c r="S8" i="34"/>
  <c r="AA46" i="34"/>
  <c r="AB32" i="34"/>
  <c r="AB14" i="34"/>
  <c r="AC43" i="34"/>
  <c r="W43" i="34"/>
  <c r="AC23" i="34"/>
  <c r="AC35" i="34"/>
  <c r="W35" i="34"/>
  <c r="AC37" i="33"/>
  <c r="U39" i="33"/>
  <c r="S33" i="33"/>
  <c r="AB34" i="33"/>
  <c r="U44" i="33"/>
  <c r="AC30" i="33"/>
  <c r="S31" i="33"/>
  <c r="AA31" i="33"/>
  <c r="W13" i="33"/>
  <c r="AC13" i="33"/>
  <c r="U15" i="33"/>
  <c r="S11" i="33"/>
  <c r="U37" i="33"/>
  <c r="S28" i="33"/>
  <c r="W8" i="33"/>
  <c r="AB42" i="21"/>
  <c r="U28" i="21"/>
  <c r="I101" i="21"/>
  <c r="J101" i="21" s="1"/>
  <c r="K101" i="21" s="1"/>
  <c r="L101" i="21" s="1"/>
  <c r="M101" i="21" s="1"/>
  <c r="F33" i="21"/>
  <c r="AA33" i="21" s="1"/>
  <c r="J33" i="21"/>
  <c r="AC33" i="21" s="1"/>
  <c r="H33" i="21"/>
  <c r="AB33" i="21" s="1"/>
  <c r="F37" i="21"/>
  <c r="AA37" i="21" s="1"/>
  <c r="AA26" i="21"/>
  <c r="AB14" i="21"/>
  <c r="AB46" i="21"/>
  <c r="U40" i="21"/>
  <c r="AC15" i="21"/>
  <c r="AB13" i="21"/>
  <c r="S35" i="21"/>
  <c r="J37" i="21"/>
  <c r="W37" i="21" s="1"/>
  <c r="H15" i="21"/>
  <c r="AB15" i="21" s="1"/>
  <c r="J17" i="21"/>
  <c r="W17" i="21" s="1"/>
  <c r="AC19" i="21"/>
  <c r="W39" i="21"/>
  <c r="H45" i="21"/>
  <c r="U45" i="21" s="1"/>
  <c r="F13" i="21"/>
  <c r="AA13" i="21" s="1"/>
  <c r="AC38" i="21"/>
  <c r="H32" i="21"/>
  <c r="AB32" i="21" s="1"/>
  <c r="J9" i="21"/>
  <c r="W9" i="21" s="1"/>
  <c r="J32" i="21"/>
  <c r="W32" i="21" s="1"/>
  <c r="F32" i="21"/>
  <c r="AA32" i="21" s="1"/>
  <c r="U17" i="21"/>
  <c r="S19" i="21"/>
  <c r="AA9" i="21"/>
  <c r="K141" i="21"/>
  <c r="K144" i="21"/>
  <c r="K143" i="21"/>
  <c r="AB25" i="21"/>
  <c r="AB44" i="21"/>
  <c r="F10" i="21"/>
  <c r="AA10" i="21" s="1"/>
  <c r="K145" i="21"/>
  <c r="W31" i="21"/>
  <c r="S17" i="21"/>
  <c r="AA15" i="21"/>
  <c r="AC26" i="21"/>
  <c r="S28" i="21"/>
  <c r="AC34" i="21"/>
  <c r="AB36" i="21"/>
  <c r="C15" i="40"/>
  <c r="C21" i="40"/>
  <c r="B56" i="43"/>
  <c r="B67" i="43"/>
  <c r="B51" i="43"/>
  <c r="B54" i="43"/>
  <c r="B62" i="43"/>
  <c r="B69" i="43"/>
  <c r="E4" i="4"/>
  <c r="B5" i="62" s="1"/>
  <c r="B73" i="72" s="1"/>
  <c r="C4" i="4"/>
  <c r="F30" i="68"/>
  <c r="F48" i="68" s="1"/>
  <c r="F30" i="11"/>
  <c r="C48" i="11" s="1"/>
  <c r="F28" i="67"/>
  <c r="F31" i="12"/>
  <c r="F52" i="9"/>
  <c r="M18" i="67"/>
  <c r="F32" i="67"/>
  <c r="F60" i="67" s="1"/>
  <c r="F30" i="69"/>
  <c r="F48" i="69" s="1"/>
  <c r="F32" i="15"/>
  <c r="F60" i="15" s="1"/>
  <c r="M18" i="15"/>
  <c r="F28" i="15"/>
  <c r="S12" i="33"/>
  <c r="D68" i="9"/>
  <c r="F54" i="9"/>
  <c r="J32" i="39"/>
  <c r="W32" i="39" s="1"/>
  <c r="H32" i="39"/>
  <c r="AB32" i="39" s="1"/>
  <c r="AA32" i="39"/>
  <c r="U21" i="39"/>
  <c r="J19" i="37"/>
  <c r="W19" i="37" s="1"/>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AC32" i="33"/>
  <c r="W32" i="33"/>
  <c r="AB27" i="33"/>
  <c r="J27" i="33"/>
  <c r="W27" i="33" s="1"/>
  <c r="U25" i="33"/>
  <c r="AB25" i="33"/>
  <c r="J25" i="33"/>
  <c r="AB23" i="33"/>
  <c r="U23" i="33"/>
  <c r="F23" i="33"/>
  <c r="AA19" i="33"/>
  <c r="H19" i="33"/>
  <c r="U19" i="33" s="1"/>
  <c r="H17" i="33"/>
  <c r="U17" i="33" s="1"/>
  <c r="F17" i="33"/>
  <c r="S17" i="33" s="1"/>
  <c r="W17" i="33"/>
  <c r="AC17" i="33"/>
  <c r="S37" i="21"/>
  <c r="J23" i="21"/>
  <c r="AC23" i="21" s="1"/>
  <c r="F85" i="21"/>
  <c r="G85" i="21" s="1"/>
  <c r="H23" i="21"/>
  <c r="AB23" i="21" s="1"/>
  <c r="AP7" i="1"/>
  <c r="AB45" i="21"/>
  <c r="S32" i="21"/>
  <c r="U32" i="21"/>
  <c r="U32" i="39"/>
  <c r="J11" i="37"/>
  <c r="AC11" i="37" s="1"/>
  <c r="J11" i="34"/>
  <c r="W11" i="34" s="1"/>
  <c r="W25" i="33"/>
  <c r="AC25" i="33"/>
  <c r="AB19" i="33"/>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E9" i="76"/>
  <c r="E7" i="76"/>
  <c r="E13" i="76"/>
  <c r="M22" i="67"/>
  <c r="M9" i="15"/>
  <c r="M26" i="67"/>
  <c r="F40" i="67"/>
  <c r="B11" i="76"/>
  <c r="E10" i="76"/>
  <c r="F3" i="73"/>
  <c r="B7" i="76"/>
  <c r="F5" i="73"/>
  <c r="F20" i="31"/>
  <c r="F6" i="73"/>
  <c r="B10" i="76"/>
  <c r="F4" i="73"/>
  <c r="F7" i="73"/>
  <c r="M23" i="15"/>
  <c r="B12" i="76"/>
  <c r="AO13" i="1"/>
  <c r="B13" i="76"/>
  <c r="F42" i="15"/>
  <c r="B9" i="76"/>
  <c r="E11" i="76"/>
  <c r="L48" i="67"/>
  <c r="B8" i="76"/>
  <c r="M29" i="67"/>
  <c r="F43" i="67"/>
  <c r="F16" i="15"/>
  <c r="E8" i="76"/>
  <c r="E12" i="76"/>
  <c r="M24" i="67"/>
  <c r="F13" i="15"/>
  <c r="F38" i="67"/>
  <c r="F6" i="15"/>
  <c r="S47" i="34" l="1"/>
  <c r="AA47" i="34"/>
  <c r="S25" i="35"/>
  <c r="AA25" i="35"/>
  <c r="AA11" i="40"/>
  <c r="S11" i="40"/>
  <c r="AZ584" i="3"/>
  <c r="AA23" i="37"/>
  <c r="S21" i="39"/>
  <c r="AA39" i="40"/>
  <c r="AA33" i="34"/>
  <c r="AZ558" i="3"/>
  <c r="W31" i="34"/>
  <c r="AC31" i="34"/>
  <c r="S34" i="39"/>
  <c r="J44" i="39"/>
  <c r="AC22" i="35"/>
  <c r="W22" i="35"/>
  <c r="AC9" i="39"/>
  <c r="W9" i="39"/>
  <c r="F44" i="39"/>
  <c r="BL582" i="3"/>
  <c r="BL576" i="3"/>
  <c r="BL575" i="3"/>
  <c r="BL566" i="3"/>
  <c r="AZ566" i="3" s="1"/>
  <c r="BL561" i="3"/>
  <c r="BL560" i="3"/>
  <c r="BA557" i="3"/>
  <c r="BR5" i="3"/>
  <c r="AB36" i="33"/>
  <c r="AC32" i="39"/>
  <c r="S20" i="35"/>
  <c r="S14" i="35"/>
  <c r="AC13" i="40"/>
  <c r="G521" i="3"/>
  <c r="AC5" i="3"/>
  <c r="H31" i="21"/>
  <c r="F31" i="21"/>
  <c r="AA42" i="21"/>
  <c r="S42" i="21"/>
  <c r="AC23" i="39"/>
  <c r="W23" i="39"/>
  <c r="F84" i="40"/>
  <c r="G84" i="40" s="1"/>
  <c r="H15" i="40"/>
  <c r="AB15" i="40" s="1"/>
  <c r="J33" i="40"/>
  <c r="F33" i="40"/>
  <c r="E113" i="40"/>
  <c r="F113" i="40" s="1"/>
  <c r="G113" i="40" s="1"/>
  <c r="J36" i="40"/>
  <c r="W36" i="40" s="1"/>
  <c r="AA25" i="33"/>
  <c r="AC35" i="33"/>
  <c r="AA19" i="37"/>
  <c r="B58" i="43"/>
  <c r="C19" i="39"/>
  <c r="S46" i="21"/>
  <c r="S44" i="21"/>
  <c r="AC14" i="34"/>
  <c r="S24" i="35"/>
  <c r="S23" i="39"/>
  <c r="S31" i="40"/>
  <c r="S43" i="33"/>
  <c r="AB29" i="33"/>
  <c r="AA35" i="33"/>
  <c r="U27" i="34"/>
  <c r="W41" i="34"/>
  <c r="U23" i="37"/>
  <c r="AA38" i="37"/>
  <c r="S32" i="37"/>
  <c r="S25" i="37"/>
  <c r="W13" i="35"/>
  <c r="U22" i="35"/>
  <c r="AB27" i="35"/>
  <c r="AB20" i="36"/>
  <c r="AA22" i="36"/>
  <c r="S17" i="39"/>
  <c r="AB27" i="39"/>
  <c r="U35" i="39"/>
  <c r="S19" i="39"/>
  <c r="AZ327" i="3"/>
  <c r="AB44" i="39"/>
  <c r="AC15" i="34"/>
  <c r="U11" i="33"/>
  <c r="H33" i="40"/>
  <c r="H35" i="35"/>
  <c r="F13" i="34"/>
  <c r="J14" i="33"/>
  <c r="J13" i="21"/>
  <c r="AB8" i="39"/>
  <c r="U35" i="33"/>
  <c r="F35" i="39"/>
  <c r="AB34" i="35"/>
  <c r="U34" i="35"/>
  <c r="W14" i="35"/>
  <c r="AC14" i="35"/>
  <c r="AC24" i="36"/>
  <c r="W24" i="36"/>
  <c r="AA14" i="33"/>
  <c r="S14" i="33"/>
  <c r="AC28" i="36"/>
  <c r="W28" i="36"/>
  <c r="J11" i="36"/>
  <c r="AC11" i="36" s="1"/>
  <c r="F11" i="36"/>
  <c r="AA11" i="36" s="1"/>
  <c r="J12" i="37"/>
  <c r="F12" i="37"/>
  <c r="S12" i="37" s="1"/>
  <c r="F28" i="37"/>
  <c r="H28" i="37"/>
  <c r="J31" i="40"/>
  <c r="AC31" i="40" s="1"/>
  <c r="H31" i="40"/>
  <c r="BA583" i="3"/>
  <c r="BA569" i="3"/>
  <c r="BA564" i="3"/>
  <c r="BA562" i="3"/>
  <c r="BL556" i="3"/>
  <c r="BA556" i="3"/>
  <c r="BA555" i="3"/>
  <c r="BL554" i="3"/>
  <c r="AZ554" i="3" s="1"/>
  <c r="BP5" i="3"/>
  <c r="G29" i="6" s="1"/>
  <c r="BJ5" i="3"/>
  <c r="W17" i="34"/>
  <c r="AC17" i="34"/>
  <c r="U38" i="21"/>
  <c r="AB38" i="21"/>
  <c r="J29" i="21"/>
  <c r="H29" i="21"/>
  <c r="J45" i="21"/>
  <c r="F45" i="21"/>
  <c r="J44" i="33"/>
  <c r="F44" i="33"/>
  <c r="H47" i="34"/>
  <c r="J47" i="34"/>
  <c r="J23" i="35"/>
  <c r="F23" i="35"/>
  <c r="F13" i="40"/>
  <c r="H13" i="40"/>
  <c r="E88" i="40"/>
  <c r="F88" i="40" s="1"/>
  <c r="G88" i="40" s="1"/>
  <c r="H19" i="40"/>
  <c r="U19" i="40" s="1"/>
  <c r="F19" i="40"/>
  <c r="S19" i="40" s="1"/>
  <c r="J19" i="40"/>
  <c r="AC19" i="40" s="1"/>
  <c r="E76" i="40"/>
  <c r="F76" i="40" s="1"/>
  <c r="G76" i="40" s="1"/>
  <c r="H76" i="40" s="1"/>
  <c r="I76" i="40" s="1"/>
  <c r="J76" i="40" s="1"/>
  <c r="K76" i="40" s="1"/>
  <c r="L76" i="40" s="1"/>
  <c r="M76" i="40" s="1"/>
  <c r="H11" i="40"/>
  <c r="J11" i="40"/>
  <c r="W11" i="40" s="1"/>
  <c r="U42" i="34"/>
  <c r="AB42" i="34"/>
  <c r="U34" i="37"/>
  <c r="AB34" i="37"/>
  <c r="BA582" i="3"/>
  <c r="AZ582" i="3" s="1"/>
  <c r="BA568" i="3"/>
  <c r="BA565" i="3"/>
  <c r="BA563" i="3"/>
  <c r="BA561" i="3"/>
  <c r="BA560" i="3"/>
  <c r="AZ560" i="3" s="1"/>
  <c r="BG5" i="3"/>
  <c r="BA554" i="3"/>
  <c r="BA553" i="3"/>
  <c r="BL552" i="3"/>
  <c r="BA552" i="3"/>
  <c r="AA23" i="21"/>
  <c r="C17" i="40"/>
  <c r="AC27" i="21"/>
  <c r="W25" i="21"/>
  <c r="W42" i="21"/>
  <c r="H9" i="21"/>
  <c r="AB9" i="21" s="1"/>
  <c r="F29" i="21"/>
  <c r="AA29" i="21" s="1"/>
  <c r="U38" i="33"/>
  <c r="AB36" i="34"/>
  <c r="AA31" i="34"/>
  <c r="S35" i="35"/>
  <c r="W34" i="39"/>
  <c r="AA38" i="21"/>
  <c r="W41" i="21"/>
  <c r="S15" i="33"/>
  <c r="S32" i="33"/>
  <c r="U28" i="34"/>
  <c r="W38" i="37"/>
  <c r="W30" i="37"/>
  <c r="S23" i="36"/>
  <c r="U37" i="39"/>
  <c r="S17" i="40"/>
  <c r="BC5" i="3"/>
  <c r="BO5" i="3"/>
  <c r="AZ357" i="3"/>
  <c r="S11" i="39"/>
  <c r="AA11" i="39"/>
  <c r="AA41" i="39"/>
  <c r="W37" i="39"/>
  <c r="W40" i="37"/>
  <c r="BL569" i="3"/>
  <c r="AZ569" i="3" s="1"/>
  <c r="AZ500" i="3"/>
  <c r="F13" i="39"/>
  <c r="H38" i="37"/>
  <c r="AB13" i="37"/>
  <c r="U13" i="37"/>
  <c r="H31" i="34"/>
  <c r="U26" i="33"/>
  <c r="AB26" i="33"/>
  <c r="AC28" i="35"/>
  <c r="W28" i="35"/>
  <c r="AC31" i="35"/>
  <c r="H12" i="36"/>
  <c r="J12" i="36"/>
  <c r="H25" i="36"/>
  <c r="J25" i="36"/>
  <c r="F32" i="36"/>
  <c r="H32" i="36"/>
  <c r="AZ326" i="3"/>
  <c r="AZ310" i="3"/>
  <c r="AZ313" i="3"/>
  <c r="AZ320" i="3"/>
  <c r="AZ498" i="3"/>
  <c r="AZ542" i="3"/>
  <c r="BL546" i="3"/>
  <c r="BA546" i="3"/>
  <c r="BA545" i="3"/>
  <c r="BA544" i="3"/>
  <c r="AZ544" i="3" s="1"/>
  <c r="BA543" i="3"/>
  <c r="BL541" i="3"/>
  <c r="AZ541" i="3" s="1"/>
  <c r="BA538" i="3"/>
  <c r="AZ538" i="3" s="1"/>
  <c r="BA537" i="3"/>
  <c r="BL536" i="3"/>
  <c r="BA536" i="3"/>
  <c r="AZ536" i="3" s="1"/>
  <c r="BA535" i="3"/>
  <c r="BL534" i="3"/>
  <c r="BA532" i="3"/>
  <c r="AZ532" i="3" s="1"/>
  <c r="BL530" i="3"/>
  <c r="AZ530" i="3" s="1"/>
  <c r="BA529" i="3"/>
  <c r="BL528" i="3"/>
  <c r="BA528" i="3"/>
  <c r="BA527" i="3"/>
  <c r="BA526" i="3"/>
  <c r="BA521" i="3"/>
  <c r="BA520" i="3"/>
  <c r="BA519" i="3"/>
  <c r="BA518" i="3"/>
  <c r="BA517" i="3"/>
  <c r="BL516" i="3"/>
  <c r="BL514" i="3"/>
  <c r="AZ514" i="3" s="1"/>
  <c r="BL513" i="3"/>
  <c r="AZ513" i="3" s="1"/>
  <c r="BL512" i="3"/>
  <c r="BA512" i="3"/>
  <c r="BA511" i="3"/>
  <c r="AZ511" i="3" s="1"/>
  <c r="BL510" i="3"/>
  <c r="BA510" i="3"/>
  <c r="BA507" i="3"/>
  <c r="BA504" i="3"/>
  <c r="AZ504" i="3" s="1"/>
  <c r="BA501" i="3"/>
  <c r="AZ501" i="3" s="1"/>
  <c r="BL498" i="3"/>
  <c r="BL496" i="3"/>
  <c r="BA496" i="3"/>
  <c r="AZ496" i="3" s="1"/>
  <c r="BA493" i="3"/>
  <c r="AZ493" i="3" s="1"/>
  <c r="AZ378" i="3"/>
  <c r="BL581" i="3"/>
  <c r="AZ534" i="3"/>
  <c r="AZ522" i="3"/>
  <c r="G586" i="3"/>
  <c r="H12" i="35"/>
  <c r="BL419" i="3"/>
  <c r="BA452" i="3"/>
  <c r="BA456" i="3"/>
  <c r="BA457" i="3"/>
  <c r="BL458" i="3"/>
  <c r="BA461" i="3"/>
  <c r="BL219" i="3"/>
  <c r="BA227" i="3"/>
  <c r="AZ227" i="3" s="1"/>
  <c r="BL141" i="3"/>
  <c r="BL158" i="3"/>
  <c r="BL161" i="3"/>
  <c r="BL177" i="3"/>
  <c r="BA22" i="3"/>
  <c r="BL24" i="3"/>
  <c r="BL29" i="3"/>
  <c r="BA73" i="3"/>
  <c r="BL96" i="3"/>
  <c r="BA98" i="3"/>
  <c r="BL100" i="3"/>
  <c r="BA106" i="3"/>
  <c r="BL108" i="3"/>
  <c r="W18" i="36"/>
  <c r="B57" i="43"/>
  <c r="C74" i="71"/>
  <c r="D74" i="71" s="1"/>
  <c r="D80" i="71"/>
  <c r="D72" i="71"/>
  <c r="E67" i="71"/>
  <c r="AA38" i="71"/>
  <c r="S68" i="71"/>
  <c r="V68" i="71"/>
  <c r="BL580" i="3"/>
  <c r="BA580" i="3"/>
  <c r="G580" i="3"/>
  <c r="BA579" i="3"/>
  <c r="BA578" i="3"/>
  <c r="BA577" i="3"/>
  <c r="BA576" i="3"/>
  <c r="G575" i="3"/>
  <c r="BL574" i="3"/>
  <c r="AZ574" i="3" s="1"/>
  <c r="BA573" i="3"/>
  <c r="BL572" i="3"/>
  <c r="AZ572" i="3" s="1"/>
  <c r="BA572" i="3"/>
  <c r="BA571" i="3"/>
  <c r="BL570" i="3"/>
  <c r="BA570" i="3"/>
  <c r="BA400" i="3"/>
  <c r="BL402" i="3"/>
  <c r="BL406" i="3"/>
  <c r="AZ406" i="3" s="1"/>
  <c r="G411" i="3"/>
  <c r="BL411" i="3"/>
  <c r="G415" i="3"/>
  <c r="G428" i="3"/>
  <c r="G432" i="3"/>
  <c r="G437" i="3"/>
  <c r="BA437" i="3"/>
  <c r="G451" i="3"/>
  <c r="BA463" i="3"/>
  <c r="BL469" i="3"/>
  <c r="G470" i="3"/>
  <c r="G474" i="3"/>
  <c r="BL475" i="3"/>
  <c r="BL479" i="3"/>
  <c r="G482" i="3"/>
  <c r="BL350" i="3"/>
  <c r="G387" i="3"/>
  <c r="G213" i="3"/>
  <c r="BL222" i="3"/>
  <c r="G223" i="3"/>
  <c r="G228" i="3"/>
  <c r="G232" i="3"/>
  <c r="BA235" i="3"/>
  <c r="BL235" i="3"/>
  <c r="BL236" i="3"/>
  <c r="G237" i="3"/>
  <c r="BL267" i="3"/>
  <c r="G284" i="3"/>
  <c r="G292" i="3"/>
  <c r="G302" i="3"/>
  <c r="G115" i="3"/>
  <c r="BA125" i="3"/>
  <c r="BA133" i="3"/>
  <c r="G158" i="3"/>
  <c r="BA162" i="3"/>
  <c r="G190" i="3"/>
  <c r="G202" i="3"/>
  <c r="BL205" i="3"/>
  <c r="G206" i="3"/>
  <c r="BA207" i="3"/>
  <c r="G34" i="3"/>
  <c r="G38" i="3"/>
  <c r="G42" i="3"/>
  <c r="BA47" i="3"/>
  <c r="G50" i="3"/>
  <c r="BA50" i="3"/>
  <c r="BA51" i="3"/>
  <c r="G54" i="3"/>
  <c r="G55" i="3"/>
  <c r="G79" i="3"/>
  <c r="G80" i="3"/>
  <c r="G92" i="3"/>
  <c r="C21" i="68"/>
  <c r="BL316" i="3"/>
  <c r="BL254" i="3"/>
  <c r="BA256" i="3"/>
  <c r="AZ256" i="3" s="1"/>
  <c r="BL256" i="3"/>
  <c r="BA260" i="3"/>
  <c r="BA95" i="3"/>
  <c r="X31" i="71"/>
  <c r="F35" i="71"/>
  <c r="F36" i="71" s="1"/>
  <c r="V36" i="71" s="1"/>
  <c r="B63" i="71"/>
  <c r="B64" i="71" s="1"/>
  <c r="S64" i="71" s="1"/>
  <c r="S76" i="71"/>
  <c r="C18" i="9"/>
  <c r="D18" i="9" s="1"/>
  <c r="G401" i="3"/>
  <c r="BA406" i="3"/>
  <c r="BA410" i="3"/>
  <c r="G421" i="3"/>
  <c r="G426" i="3"/>
  <c r="G434" i="3"/>
  <c r="G464" i="3"/>
  <c r="G477" i="3"/>
  <c r="G480" i="3"/>
  <c r="G481" i="3"/>
  <c r="G484" i="3"/>
  <c r="BL487" i="3"/>
  <c r="G488" i="3"/>
  <c r="G489" i="3"/>
  <c r="G318" i="3"/>
  <c r="G343" i="3"/>
  <c r="G347" i="3"/>
  <c r="G351" i="3"/>
  <c r="BL383" i="3"/>
  <c r="AZ383" i="3" s="1"/>
  <c r="G215" i="3"/>
  <c r="G234" i="3"/>
  <c r="BA240" i="3"/>
  <c r="BL242" i="3"/>
  <c r="BL243" i="3"/>
  <c r="G244" i="3"/>
  <c r="G249" i="3"/>
  <c r="BA250" i="3"/>
  <c r="BA252" i="3"/>
  <c r="AZ252" i="3" s="1"/>
  <c r="G254" i="3"/>
  <c r="G286" i="3"/>
  <c r="G295" i="3"/>
  <c r="BA120" i="3"/>
  <c r="AZ120" i="3" s="1"/>
  <c r="BA148" i="3"/>
  <c r="AZ148" i="3" s="1"/>
  <c r="G163" i="3"/>
  <c r="BA168" i="3"/>
  <c r="AZ168" i="3" s="1"/>
  <c r="G184" i="3"/>
  <c r="BA189" i="3"/>
  <c r="G205" i="3"/>
  <c r="G18" i="3"/>
  <c r="BA33" i="3"/>
  <c r="BL34" i="3"/>
  <c r="G35" i="3"/>
  <c r="BA40" i="3"/>
  <c r="G51" i="3"/>
  <c r="G52" i="3"/>
  <c r="G65" i="3"/>
  <c r="BL76" i="3"/>
  <c r="BA78" i="3"/>
  <c r="G93" i="3"/>
  <c r="G111" i="3"/>
  <c r="C40" i="68"/>
  <c r="C40" i="69"/>
  <c r="AC21" i="37"/>
  <c r="U25" i="40"/>
  <c r="S25" i="40"/>
  <c r="AB35" i="71"/>
  <c r="U15" i="21"/>
  <c r="AZ369" i="3"/>
  <c r="AZ390" i="3"/>
  <c r="AZ351" i="3"/>
  <c r="W12" i="37"/>
  <c r="AC12" i="37"/>
  <c r="AZ559" i="3"/>
  <c r="BA587" i="3"/>
  <c r="BA586" i="3"/>
  <c r="J14" i="21"/>
  <c r="F14" i="21"/>
  <c r="H30" i="21"/>
  <c r="F30" i="21"/>
  <c r="J30" i="21"/>
  <c r="AC33" i="33"/>
  <c r="W33" i="33"/>
  <c r="BL567" i="3"/>
  <c r="BL563" i="3"/>
  <c r="AZ563" i="3" s="1"/>
  <c r="AZ556" i="3"/>
  <c r="H5" i="3"/>
  <c r="AZ543" i="3"/>
  <c r="AZ528" i="3"/>
  <c r="AZ512" i="3"/>
  <c r="AZ510" i="3"/>
  <c r="S44" i="33"/>
  <c r="AA44" i="33"/>
  <c r="W11" i="35"/>
  <c r="AC11" i="35"/>
  <c r="U46" i="34"/>
  <c r="AB46" i="34"/>
  <c r="W45" i="33"/>
  <c r="AC45" i="33"/>
  <c r="W28" i="21"/>
  <c r="AC28" i="21"/>
  <c r="AB34" i="21"/>
  <c r="U34" i="21"/>
  <c r="H33" i="36"/>
  <c r="J33" i="36"/>
  <c r="AC33" i="36" s="1"/>
  <c r="AB38" i="40"/>
  <c r="U38" i="40"/>
  <c r="J14" i="40"/>
  <c r="F14" i="40"/>
  <c r="J32" i="40"/>
  <c r="F32" i="40"/>
  <c r="BA581" i="3"/>
  <c r="AZ570" i="3"/>
  <c r="AC17" i="21"/>
  <c r="U12" i="39"/>
  <c r="AZ345" i="3"/>
  <c r="AZ389" i="3"/>
  <c r="AZ336" i="3"/>
  <c r="AZ376" i="3"/>
  <c r="AZ309" i="3"/>
  <c r="F9" i="33"/>
  <c r="AA9" i="33" s="1"/>
  <c r="H9" i="33"/>
  <c r="H28" i="33"/>
  <c r="J28" i="33"/>
  <c r="AB34" i="34"/>
  <c r="U34" i="34"/>
  <c r="H36" i="35"/>
  <c r="J36" i="35"/>
  <c r="AC36" i="35" s="1"/>
  <c r="W27" i="35"/>
  <c r="AC27" i="35"/>
  <c r="W23" i="21"/>
  <c r="S15" i="37"/>
  <c r="AZ372" i="3"/>
  <c r="AZ347" i="3"/>
  <c r="S12" i="36"/>
  <c r="AA12" i="36"/>
  <c r="B97" i="43"/>
  <c r="B75" i="43"/>
  <c r="AB40" i="33"/>
  <c r="U40" i="33"/>
  <c r="J12" i="33"/>
  <c r="H12" i="33"/>
  <c r="U12" i="33" s="1"/>
  <c r="H30" i="33"/>
  <c r="F30" i="33"/>
  <c r="J46" i="33"/>
  <c r="F46" i="33"/>
  <c r="H46" i="33"/>
  <c r="F29" i="34"/>
  <c r="H29" i="34"/>
  <c r="F45" i="34"/>
  <c r="H45" i="34"/>
  <c r="H13" i="35"/>
  <c r="F13" i="35"/>
  <c r="H25" i="35"/>
  <c r="J25" i="35"/>
  <c r="U12" i="36"/>
  <c r="AB12" i="36"/>
  <c r="H45" i="39"/>
  <c r="F45" i="39"/>
  <c r="AB9" i="40"/>
  <c r="U9" i="40"/>
  <c r="AZ521" i="3"/>
  <c r="AZ516" i="3"/>
  <c r="AZ552" i="3"/>
  <c r="G582" i="3"/>
  <c r="G574" i="3"/>
  <c r="AZ342" i="3"/>
  <c r="AZ337" i="3"/>
  <c r="BL509" i="3"/>
  <c r="AZ509" i="3" s="1"/>
  <c r="BL519" i="3"/>
  <c r="AZ519" i="3" s="1"/>
  <c r="BL527" i="3"/>
  <c r="BL565" i="3"/>
  <c r="AZ565" i="3" s="1"/>
  <c r="BL571" i="3"/>
  <c r="BL577" i="3"/>
  <c r="AZ577" i="3" s="1"/>
  <c r="BL557" i="3"/>
  <c r="AZ557" i="3" s="1"/>
  <c r="C25" i="39"/>
  <c r="J25" i="37"/>
  <c r="BL495" i="3"/>
  <c r="BL503" i="3"/>
  <c r="AZ503" i="3" s="1"/>
  <c r="BL529" i="3"/>
  <c r="BL535" i="3"/>
  <c r="BL547" i="3"/>
  <c r="AZ547" i="3" s="1"/>
  <c r="BL553" i="3"/>
  <c r="AZ553" i="3" s="1"/>
  <c r="BL573" i="3"/>
  <c r="BL579" i="3"/>
  <c r="AZ579" i="3" s="1"/>
  <c r="G557" i="3"/>
  <c r="F24" i="36"/>
  <c r="F37" i="39"/>
  <c r="H36" i="40"/>
  <c r="AB36" i="40" s="1"/>
  <c r="J35" i="39"/>
  <c r="AC35" i="39" s="1"/>
  <c r="W41" i="33"/>
  <c r="AC41" i="33"/>
  <c r="BA585" i="3"/>
  <c r="F9" i="1"/>
  <c r="G9" i="1" s="1"/>
  <c r="B11" i="78"/>
  <c r="F11" i="78" s="1"/>
  <c r="BP14" i="81"/>
  <c r="BL400" i="3"/>
  <c r="G403" i="3"/>
  <c r="G408" i="3"/>
  <c r="G409" i="3"/>
  <c r="BL412" i="3"/>
  <c r="G413" i="3"/>
  <c r="G419" i="3"/>
  <c r="BA419" i="3"/>
  <c r="AZ419" i="3" s="1"/>
  <c r="BA424" i="3"/>
  <c r="BL427" i="3"/>
  <c r="G429" i="3"/>
  <c r="BL433" i="3"/>
  <c r="BL434" i="3"/>
  <c r="G436" i="3"/>
  <c r="G441" i="3"/>
  <c r="BA448" i="3"/>
  <c r="BL455" i="3"/>
  <c r="BL462" i="3"/>
  <c r="AZ462" i="3" s="1"/>
  <c r="BA465" i="3"/>
  <c r="AZ465" i="3" s="1"/>
  <c r="BL472" i="3"/>
  <c r="BA473" i="3"/>
  <c r="BA477" i="3"/>
  <c r="BA481" i="3"/>
  <c r="BA489" i="3"/>
  <c r="BA225" i="3"/>
  <c r="BA228" i="3"/>
  <c r="BL230" i="3"/>
  <c r="G231" i="3"/>
  <c r="BL237" i="3"/>
  <c r="BL238" i="3"/>
  <c r="G239" i="3"/>
  <c r="G246" i="3"/>
  <c r="BA254" i="3"/>
  <c r="AZ254" i="3" s="1"/>
  <c r="G256" i="3"/>
  <c r="BA257" i="3"/>
  <c r="G260" i="3"/>
  <c r="BL399" i="3"/>
  <c r="G400" i="3"/>
  <c r="BA402" i="3"/>
  <c r="AZ402" i="3" s="1"/>
  <c r="G407" i="3"/>
  <c r="BL408" i="3"/>
  <c r="BA413" i="3"/>
  <c r="BL416" i="3"/>
  <c r="G417" i="3"/>
  <c r="BL417" i="3"/>
  <c r="BL418" i="3"/>
  <c r="BL420" i="3"/>
  <c r="G422" i="3"/>
  <c r="BA431" i="3"/>
  <c r="BL431" i="3"/>
  <c r="G433" i="3"/>
  <c r="BL440" i="3"/>
  <c r="BA441" i="3"/>
  <c r="G444" i="3"/>
  <c r="G445" i="3"/>
  <c r="BL445" i="3"/>
  <c r="BA451" i="3"/>
  <c r="BA458" i="3"/>
  <c r="AZ458" i="3" s="1"/>
  <c r="BA462" i="3"/>
  <c r="G466" i="3"/>
  <c r="G471" i="3"/>
  <c r="BL471" i="3"/>
  <c r="BA476" i="3"/>
  <c r="G479" i="3"/>
  <c r="BA480" i="3"/>
  <c r="BA487" i="3"/>
  <c r="BA488" i="3"/>
  <c r="AZ488" i="3" s="1"/>
  <c r="G492" i="3"/>
  <c r="BL340" i="3"/>
  <c r="AZ340" i="3" s="1"/>
  <c r="BA348" i="3"/>
  <c r="BA350" i="3"/>
  <c r="BA354" i="3"/>
  <c r="BL381" i="3"/>
  <c r="AZ381" i="3" s="1"/>
  <c r="BA214" i="3"/>
  <c r="BL216" i="3"/>
  <c r="AZ400" i="3"/>
  <c r="BL490" i="3"/>
  <c r="BA491" i="3"/>
  <c r="BA331" i="3"/>
  <c r="AZ331" i="3" s="1"/>
  <c r="BA335" i="3"/>
  <c r="AZ335" i="3" s="1"/>
  <c r="BA339" i="3"/>
  <c r="AZ339" i="3" s="1"/>
  <c r="BL359" i="3"/>
  <c r="AZ359" i="3" s="1"/>
  <c r="BL367" i="3"/>
  <c r="BL375" i="3"/>
  <c r="AZ375" i="3" s="1"/>
  <c r="BL386" i="3"/>
  <c r="G392" i="3"/>
  <c r="BL395" i="3"/>
  <c r="G396" i="3"/>
  <c r="BA397" i="3"/>
  <c r="AZ397" i="3" s="1"/>
  <c r="BL397" i="3"/>
  <c r="BL214" i="3"/>
  <c r="G216" i="3"/>
  <c r="G218" i="3"/>
  <c r="G227" i="3"/>
  <c r="G229" i="3"/>
  <c r="BA233" i="3"/>
  <c r="AZ233" i="3" s="1"/>
  <c r="BL233" i="3"/>
  <c r="BA249" i="3"/>
  <c r="BL249" i="3"/>
  <c r="G255" i="3"/>
  <c r="BA255" i="3"/>
  <c r="G258" i="3"/>
  <c r="BL259" i="3"/>
  <c r="BL262" i="3"/>
  <c r="BA269" i="3"/>
  <c r="AZ269" i="3" s="1"/>
  <c r="BA276" i="3"/>
  <c r="BL280" i="3"/>
  <c r="BH5" i="3"/>
  <c r="BD5" i="3"/>
  <c r="BT5" i="3"/>
  <c r="A15" i="62"/>
  <c r="B61" i="72" s="1"/>
  <c r="G398" i="3"/>
  <c r="G399" i="3"/>
  <c r="BL409" i="3"/>
  <c r="BL413" i="3"/>
  <c r="G416" i="3"/>
  <c r="BA420" i="3"/>
  <c r="BL423" i="3"/>
  <c r="G424" i="3"/>
  <c r="G438" i="3"/>
  <c r="BA443" i="3"/>
  <c r="AZ443" i="3" s="1"/>
  <c r="G448" i="3"/>
  <c r="BA449" i="3"/>
  <c r="BL451" i="3"/>
  <c r="G452" i="3"/>
  <c r="G453" i="3"/>
  <c r="BL453" i="3"/>
  <c r="BL454" i="3"/>
  <c r="G459" i="3"/>
  <c r="BA459" i="3"/>
  <c r="G463" i="3"/>
  <c r="BA470" i="3"/>
  <c r="G478" i="3"/>
  <c r="BA478" i="3"/>
  <c r="BL484" i="3"/>
  <c r="G486" i="3"/>
  <c r="G490" i="3"/>
  <c r="G307" i="3"/>
  <c r="BA319" i="3"/>
  <c r="AZ319" i="3" s="1"/>
  <c r="BL324" i="3"/>
  <c r="AZ324" i="3" s="1"/>
  <c r="BL328" i="3"/>
  <c r="AZ328" i="3" s="1"/>
  <c r="G329" i="3"/>
  <c r="G349" i="3"/>
  <c r="BA366" i="3"/>
  <c r="AZ366" i="3" s="1"/>
  <c r="BA385" i="3"/>
  <c r="BL385" i="3"/>
  <c r="BL208" i="3"/>
  <c r="G209" i="3"/>
  <c r="BA210" i="3"/>
  <c r="AZ210" i="3" s="1"/>
  <c r="BL210" i="3"/>
  <c r="BA212" i="3"/>
  <c r="BL212" i="3"/>
  <c r="G214" i="3"/>
  <c r="BA217" i="3"/>
  <c r="G220" i="3"/>
  <c r="G221" i="3"/>
  <c r="BL224" i="3"/>
  <c r="G225" i="3"/>
  <c r="BA229" i="3"/>
  <c r="BL229" i="3"/>
  <c r="BA231" i="3"/>
  <c r="BL231" i="3"/>
  <c r="G233" i="3"/>
  <c r="G241" i="3"/>
  <c r="G247" i="3"/>
  <c r="BA248" i="3"/>
  <c r="G251" i="3"/>
  <c r="BA258" i="3"/>
  <c r="BA291" i="3"/>
  <c r="BA296" i="3"/>
  <c r="BA302" i="3"/>
  <c r="BL122" i="3"/>
  <c r="BA126" i="3"/>
  <c r="BA145" i="3"/>
  <c r="BL146" i="3"/>
  <c r="BL157" i="3"/>
  <c r="BL159" i="3"/>
  <c r="AZ159" i="3" s="1"/>
  <c r="BA177" i="3"/>
  <c r="BL198" i="3"/>
  <c r="BA62" i="3"/>
  <c r="BL64" i="3"/>
  <c r="BA67" i="3"/>
  <c r="BA77" i="3"/>
  <c r="BA80" i="3"/>
  <c r="BL84" i="3"/>
  <c r="BL91" i="3"/>
  <c r="BA94" i="3"/>
  <c r="BL103" i="3"/>
  <c r="AZ103" i="3" s="1"/>
  <c r="BA104" i="3"/>
  <c r="BL110" i="3"/>
  <c r="BL111" i="3"/>
  <c r="C60" i="71"/>
  <c r="Y26" i="71"/>
  <c r="Z26" i="71" s="1"/>
  <c r="AB36" i="71"/>
  <c r="AA37" i="71"/>
  <c r="BA263" i="3"/>
  <c r="G268" i="3"/>
  <c r="G276" i="3"/>
  <c r="BA281" i="3"/>
  <c r="G285" i="3"/>
  <c r="BL289" i="3"/>
  <c r="G290" i="3"/>
  <c r="G291" i="3"/>
  <c r="BL127" i="3"/>
  <c r="AZ127" i="3" s="1"/>
  <c r="G128" i="3"/>
  <c r="BA129" i="3"/>
  <c r="G138" i="3"/>
  <c r="G146" i="3"/>
  <c r="BL163" i="3"/>
  <c r="AZ163" i="3" s="1"/>
  <c r="BL169" i="3"/>
  <c r="G170" i="3"/>
  <c r="BL173" i="3"/>
  <c r="BL183" i="3"/>
  <c r="AZ183" i="3" s="1"/>
  <c r="BA186" i="3"/>
  <c r="BA190" i="3"/>
  <c r="G199" i="3"/>
  <c r="BL201" i="3"/>
  <c r="BL203" i="3"/>
  <c r="AZ203" i="3" s="1"/>
  <c r="BA204" i="3"/>
  <c r="AZ204" i="3" s="1"/>
  <c r="BA18" i="3"/>
  <c r="G21" i="3"/>
  <c r="BL21" i="3"/>
  <c r="G23" i="3"/>
  <c r="G26" i="3"/>
  <c r="G27" i="3"/>
  <c r="G31" i="3"/>
  <c r="BL35" i="3"/>
  <c r="G36" i="3"/>
  <c r="G37" i="3"/>
  <c r="G40" i="3"/>
  <c r="G41" i="3"/>
  <c r="G45" i="3"/>
  <c r="G56" i="3"/>
  <c r="BL56" i="3"/>
  <c r="BA58" i="3"/>
  <c r="BL59" i="3"/>
  <c r="BL60" i="3"/>
  <c r="BA61" i="3"/>
  <c r="G69" i="3"/>
  <c r="BA70" i="3"/>
  <c r="G78" i="3"/>
  <c r="BL86" i="3"/>
  <c r="G87" i="3"/>
  <c r="G88" i="3"/>
  <c r="BA89" i="3"/>
  <c r="G98" i="3"/>
  <c r="G102" i="3"/>
  <c r="G103" i="3"/>
  <c r="BA103" i="3"/>
  <c r="G110" i="3"/>
  <c r="AA3" i="71"/>
  <c r="AA34" i="71"/>
  <c r="C43" i="71"/>
  <c r="E51" i="71"/>
  <c r="E52" i="71" s="1"/>
  <c r="U52" i="71" s="1"/>
  <c r="C51" i="71"/>
  <c r="B71" i="71"/>
  <c r="B70" i="71" s="1"/>
  <c r="F79" i="71"/>
  <c r="F78" i="71" s="1"/>
  <c r="P27" i="6"/>
  <c r="BA265" i="3"/>
  <c r="BA267" i="3"/>
  <c r="AZ267" i="3" s="1"/>
  <c r="G269" i="3"/>
  <c r="BA271" i="3"/>
  <c r="BL271" i="3"/>
  <c r="BA275" i="3"/>
  <c r="BA279" i="3"/>
  <c r="G282" i="3"/>
  <c r="BA283" i="3"/>
  <c r="BA286" i="3"/>
  <c r="AZ286" i="3" s="1"/>
  <c r="BL286" i="3"/>
  <c r="G294" i="3"/>
  <c r="BL298" i="3"/>
  <c r="G116" i="3"/>
  <c r="BA117" i="3"/>
  <c r="BL133" i="3"/>
  <c r="AZ133" i="3" s="1"/>
  <c r="G143" i="3"/>
  <c r="G150" i="3"/>
  <c r="G154" i="3"/>
  <c r="BL166" i="3"/>
  <c r="G167" i="3"/>
  <c r="G172" i="3"/>
  <c r="BL181" i="3"/>
  <c r="BL186" i="3"/>
  <c r="BA188" i="3"/>
  <c r="AZ188" i="3" s="1"/>
  <c r="BL195" i="3"/>
  <c r="AZ195" i="3" s="1"/>
  <c r="G196" i="3"/>
  <c r="BA197" i="3"/>
  <c r="BA201" i="3"/>
  <c r="BL23" i="3"/>
  <c r="G48" i="3"/>
  <c r="BL48" i="3"/>
  <c r="G59" i="3"/>
  <c r="G62" i="3"/>
  <c r="G63" i="3"/>
  <c r="BL65" i="3"/>
  <c r="BL66" i="3"/>
  <c r="G68" i="3"/>
  <c r="BA72" i="3"/>
  <c r="BL74" i="3"/>
  <c r="G75" i="3"/>
  <c r="BL79" i="3"/>
  <c r="G89" i="3"/>
  <c r="BA92" i="3"/>
  <c r="BL93" i="3"/>
  <c r="G95" i="3"/>
  <c r="BL99" i="3"/>
  <c r="BA105" i="3"/>
  <c r="BA109" i="3"/>
  <c r="U21" i="34"/>
  <c r="Y27" i="71"/>
  <c r="Z27" i="71" s="1"/>
  <c r="Y29" i="71"/>
  <c r="Z29" i="71" s="1"/>
  <c r="C31" i="71"/>
  <c r="D31" i="71" s="1"/>
  <c r="X25" i="71"/>
  <c r="AA35" i="71"/>
  <c r="Y35" i="71"/>
  <c r="Z35" i="71" s="1"/>
  <c r="X36" i="71"/>
  <c r="F37" i="40"/>
  <c r="AA37" i="40" s="1"/>
  <c r="AC36" i="40"/>
  <c r="W37" i="40"/>
  <c r="AB37" i="40"/>
  <c r="U36" i="40"/>
  <c r="U30" i="40"/>
  <c r="S30" i="40"/>
  <c r="W30" i="40"/>
  <c r="AC25" i="40"/>
  <c r="F92" i="40"/>
  <c r="J23" i="40"/>
  <c r="F90" i="40"/>
  <c r="G90" i="40" s="1"/>
  <c r="J21" i="40"/>
  <c r="H21" i="40"/>
  <c r="F21" i="40"/>
  <c r="AA21" i="40" s="1"/>
  <c r="AA15" i="40"/>
  <c r="AC17" i="40"/>
  <c r="AB17" i="40"/>
  <c r="U15" i="40"/>
  <c r="AB19" i="40"/>
  <c r="AA19" i="40"/>
  <c r="W19" i="40"/>
  <c r="AC15" i="40"/>
  <c r="C23" i="40"/>
  <c r="C29" i="39"/>
  <c r="B68" i="43"/>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75" i="3"/>
  <c r="U33" i="40"/>
  <c r="AB33" i="40"/>
  <c r="AC36" i="34"/>
  <c r="W36" i="34"/>
  <c r="S29" i="35"/>
  <c r="AA29" i="35"/>
  <c r="AB26" i="37"/>
  <c r="U26" i="37"/>
  <c r="AZ523"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360" i="3"/>
  <c r="AZ539" i="3"/>
  <c r="AZ529" i="3"/>
  <c r="AZ537" i="3"/>
  <c r="AZ518" i="3"/>
  <c r="AZ526" i="3"/>
  <c r="AZ546" i="3"/>
  <c r="AZ564" i="3"/>
  <c r="AZ580" i="3"/>
  <c r="S11" i="36"/>
  <c r="H27" i="21"/>
  <c r="W8" i="34"/>
  <c r="F33" i="36"/>
  <c r="J31" i="39"/>
  <c r="U33" i="33"/>
  <c r="B79" i="43"/>
  <c r="J9" i="33"/>
  <c r="H9" i="34"/>
  <c r="F12" i="34"/>
  <c r="S12" i="34" s="1"/>
  <c r="H23" i="35"/>
  <c r="J23" i="36"/>
  <c r="H25" i="37"/>
  <c r="G566" i="3"/>
  <c r="G585" i="3"/>
  <c r="BL587" i="3"/>
  <c r="AZ587" i="3" s="1"/>
  <c r="BL586" i="3"/>
  <c r="AZ586" i="3" s="1"/>
  <c r="J9" i="34"/>
  <c r="H12" i="34"/>
  <c r="J39" i="40"/>
  <c r="H39" i="40"/>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AZ436" i="3" s="1"/>
  <c r="BA439" i="3"/>
  <c r="BA440" i="3"/>
  <c r="BA442" i="3"/>
  <c r="BA445" i="3"/>
  <c r="AZ445" i="3" s="1"/>
  <c r="BL459" i="3"/>
  <c r="AZ459" i="3" s="1"/>
  <c r="G462" i="3"/>
  <c r="G551" i="3"/>
  <c r="BL550" i="3"/>
  <c r="G542" i="3"/>
  <c r="BL398" i="3"/>
  <c r="G402" i="3"/>
  <c r="BL403" i="3"/>
  <c r="G405" i="3"/>
  <c r="G406" i="3"/>
  <c r="BA408" i="3"/>
  <c r="BA409" i="3"/>
  <c r="AZ409" i="3" s="1"/>
  <c r="BA411" i="3"/>
  <c r="AZ411" i="3" s="1"/>
  <c r="BL414" i="3"/>
  <c r="BL415" i="3"/>
  <c r="BA417" i="3"/>
  <c r="BL421" i="3"/>
  <c r="BL422" i="3"/>
  <c r="BL425" i="3"/>
  <c r="BL426" i="3"/>
  <c r="BA428" i="3"/>
  <c r="BA429" i="3"/>
  <c r="BA430" i="3"/>
  <c r="AZ430" i="3" s="1"/>
  <c r="BA432" i="3"/>
  <c r="BA434" i="3"/>
  <c r="AZ434" i="3" s="1"/>
  <c r="BA436" i="3"/>
  <c r="BA438" i="3"/>
  <c r="G442" i="3"/>
  <c r="G443" i="3"/>
  <c r="BA446" i="3"/>
  <c r="BA450" i="3"/>
  <c r="BA453" i="3"/>
  <c r="AZ453" i="3" s="1"/>
  <c r="BA455" i="3"/>
  <c r="AZ455" i="3" s="1"/>
  <c r="BL457" i="3"/>
  <c r="AZ457" i="3" s="1"/>
  <c r="BL460" i="3"/>
  <c r="BL461" i="3"/>
  <c r="AZ461" i="3" s="1"/>
  <c r="BL463" i="3"/>
  <c r="AZ463" i="3" s="1"/>
  <c r="G465" i="3"/>
  <c r="BA469" i="3"/>
  <c r="AZ469" i="3" s="1"/>
  <c r="BA471" i="3"/>
  <c r="AZ471" i="3" s="1"/>
  <c r="BL15" i="3"/>
  <c r="AZ15" i="3" s="1"/>
  <c r="BA398" i="3"/>
  <c r="BA399" i="3"/>
  <c r="BL401" i="3"/>
  <c r="BL404" i="3"/>
  <c r="BL405" i="3"/>
  <c r="BL407" i="3"/>
  <c r="AZ407" i="3" s="1"/>
  <c r="BA412" i="3"/>
  <c r="AZ412" i="3" s="1"/>
  <c r="BA414" i="3"/>
  <c r="AZ414" i="3" s="1"/>
  <c r="BA415" i="3"/>
  <c r="AZ415" i="3" s="1"/>
  <c r="BA416" i="3"/>
  <c r="AZ416" i="3" s="1"/>
  <c r="BA418" i="3"/>
  <c r="AZ418" i="3" s="1"/>
  <c r="BA421" i="3"/>
  <c r="BA423" i="3"/>
  <c r="AZ423" i="3" s="1"/>
  <c r="BA425" i="3"/>
  <c r="BA426" i="3"/>
  <c r="BA427" i="3"/>
  <c r="BA433" i="3"/>
  <c r="AZ433" i="3" s="1"/>
  <c r="BA435" i="3"/>
  <c r="BL437" i="3"/>
  <c r="AZ437" i="3" s="1"/>
  <c r="BL441" i="3"/>
  <c r="BL442" i="3"/>
  <c r="BL444" i="3"/>
  <c r="AZ444" i="3" s="1"/>
  <c r="G446" i="3"/>
  <c r="BL448" i="3"/>
  <c r="AZ448" i="3" s="1"/>
  <c r="G450" i="3"/>
  <c r="BA454" i="3"/>
  <c r="BA460" i="3"/>
  <c r="BL464" i="3"/>
  <c r="BL466" i="3"/>
  <c r="AZ466" i="3" s="1"/>
  <c r="G467" i="3"/>
  <c r="BL467" i="3"/>
  <c r="BA401" i="3"/>
  <c r="BA403" i="3"/>
  <c r="BA404" i="3"/>
  <c r="AZ404" i="3" s="1"/>
  <c r="BA405" i="3"/>
  <c r="BL410" i="3"/>
  <c r="G412" i="3"/>
  <c r="G418" i="3"/>
  <c r="BA422" i="3"/>
  <c r="AZ422" i="3" s="1"/>
  <c r="BL438" i="3"/>
  <c r="BL439" i="3"/>
  <c r="BL446" i="3"/>
  <c r="AZ446" i="3" s="1"/>
  <c r="BL449" i="3"/>
  <c r="BL450" i="3"/>
  <c r="BL452" i="3"/>
  <c r="G454" i="3"/>
  <c r="G455" i="3"/>
  <c r="BL456" i="3"/>
  <c r="BA464" i="3"/>
  <c r="BA467" i="3"/>
  <c r="AZ467" i="3" s="1"/>
  <c r="BA468" i="3"/>
  <c r="BL468" i="3"/>
  <c r="BL470" i="3"/>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A216" i="3"/>
  <c r="AZ216" i="3" s="1"/>
  <c r="BA218" i="3"/>
  <c r="BL218" i="3"/>
  <c r="BL220" i="3"/>
  <c r="BL221" i="3"/>
  <c r="G222" i="3"/>
  <c r="BL223" i="3"/>
  <c r="G224" i="3"/>
  <c r="BA247" i="3"/>
  <c r="BL247" i="3"/>
  <c r="BA251" i="3"/>
  <c r="BL251" i="3"/>
  <c r="BA253" i="3"/>
  <c r="BL260" i="3"/>
  <c r="G262" i="3"/>
  <c r="BL263" i="3"/>
  <c r="G264" i="3"/>
  <c r="BL270" i="3"/>
  <c r="AZ270" i="3" s="1"/>
  <c r="BA272" i="3"/>
  <c r="AZ272" i="3" s="1"/>
  <c r="BL275" i="3"/>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AZ238" i="3" s="1"/>
  <c r="BA243" i="3"/>
  <c r="AZ243" i="3" s="1"/>
  <c r="BL248" i="3"/>
  <c r="AZ248" i="3" s="1"/>
  <c r="G250" i="3"/>
  <c r="BL250" i="3"/>
  <c r="AZ250" i="3" s="1"/>
  <c r="G252" i="3"/>
  <c r="BA259" i="3"/>
  <c r="AZ259" i="3" s="1"/>
  <c r="BL261" i="3"/>
  <c r="G299" i="3"/>
  <c r="BL300" i="3"/>
  <c r="G468" i="3"/>
  <c r="G469" i="3"/>
  <c r="BL476" i="3"/>
  <c r="AZ476" i="3" s="1"/>
  <c r="BL477" i="3"/>
  <c r="BL478" i="3"/>
  <c r="BL480" i="3"/>
  <c r="AZ480" i="3" s="1"/>
  <c r="BA483" i="3"/>
  <c r="BL483" i="3"/>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BL258" i="3"/>
  <c r="G259" i="3"/>
  <c r="BA262" i="3"/>
  <c r="BL265" i="3"/>
  <c r="BA273" i="3"/>
  <c r="BA278" i="3"/>
  <c r="AZ278" i="3" s="1"/>
  <c r="BA280" i="3"/>
  <c r="AZ280" i="3" s="1"/>
  <c r="BL283" i="3"/>
  <c r="BL284" i="3"/>
  <c r="G288" i="3"/>
  <c r="BA124" i="3"/>
  <c r="AZ124" i="3" s="1"/>
  <c r="BA134" i="3"/>
  <c r="C47" i="71"/>
  <c r="D47" i="71" s="1"/>
  <c r="D46" i="71"/>
  <c r="BL292" i="3"/>
  <c r="BA294" i="3"/>
  <c r="BL295" i="3"/>
  <c r="BA298" i="3"/>
  <c r="AZ298" i="3" s="1"/>
  <c r="BL301" i="3"/>
  <c r="BL302" i="3"/>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C55" i="71"/>
  <c r="D54" i="71"/>
  <c r="N67" i="71"/>
  <c r="B66" i="71"/>
  <c r="F66" i="71"/>
  <c r="Q66" i="71" s="1"/>
  <c r="Q67" i="71"/>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G61" i="3"/>
  <c r="BL61" i="3"/>
  <c r="AZ61" i="3" s="1"/>
  <c r="G64" i="3"/>
  <c r="BL67" i="3"/>
  <c r="AZ67" i="3" s="1"/>
  <c r="C44" i="71"/>
  <c r="D43" i="71"/>
  <c r="C52" i="71"/>
  <c r="D51" i="71"/>
  <c r="V24" i="71"/>
  <c r="E23" i="71"/>
  <c r="E22" i="71" s="1"/>
  <c r="E21" i="71" s="1"/>
  <c r="E20" i="71" s="1"/>
  <c r="V20" i="71" s="1"/>
  <c r="BA64" i="3"/>
  <c r="AZ64" i="3" s="1"/>
  <c r="G67" i="3"/>
  <c r="BL68" i="3"/>
  <c r="BA69" i="3"/>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AZ66" i="3" s="1"/>
  <c r="BA71" i="3"/>
  <c r="G76" i="3"/>
  <c r="BL77" i="3"/>
  <c r="AZ77" i="3" s="1"/>
  <c r="BA79" i="3"/>
  <c r="G82" i="3"/>
  <c r="G83" i="3"/>
  <c r="BA84" i="3"/>
  <c r="AZ84" i="3" s="1"/>
  <c r="BL88" i="3"/>
  <c r="AZ88" i="3" s="1"/>
  <c r="G90" i="3"/>
  <c r="BL90" i="3"/>
  <c r="BL92" i="3"/>
  <c r="G101" i="3"/>
  <c r="BA101" i="3"/>
  <c r="G108" i="3"/>
  <c r="G109" i="3"/>
  <c r="BL112" i="3"/>
  <c r="AB21" i="33"/>
  <c r="S21" i="34"/>
  <c r="B88" i="43"/>
  <c r="BL70" i="3"/>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9" i="3"/>
  <c r="AZ452" i="3"/>
  <c r="AZ456" i="3"/>
  <c r="AZ468" i="3"/>
  <c r="AZ470" i="3"/>
  <c r="W35" i="39"/>
  <c r="F27" i="34"/>
  <c r="C21" i="39"/>
  <c r="U9" i="36"/>
  <c r="U14" i="37"/>
  <c r="H12" i="21"/>
  <c r="G526" i="3"/>
  <c r="AZ420" i="3"/>
  <c r="AZ424" i="3"/>
  <c r="AZ438" i="3"/>
  <c r="AZ450" i="3"/>
  <c r="G28" i="6"/>
  <c r="U26" i="21"/>
  <c r="W36" i="39"/>
  <c r="AA39" i="37"/>
  <c r="AC16" i="36"/>
  <c r="AB12" i="33"/>
  <c r="C27" i="39"/>
  <c r="U40" i="40"/>
  <c r="AC9" i="40"/>
  <c r="W36" i="35"/>
  <c r="J12" i="21"/>
  <c r="B73" i="43"/>
  <c r="B76" i="43"/>
  <c r="F9" i="36"/>
  <c r="J40" i="40"/>
  <c r="G562" i="3"/>
  <c r="AZ426"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J53" i="67"/>
  <c r="J57" i="67"/>
  <c r="J55" i="67" s="1"/>
  <c r="J58" i="67" s="1"/>
  <c r="Q50" i="67" s="1"/>
  <c r="L56" i="67"/>
  <c r="I54" i="67"/>
  <c r="F66" i="67"/>
  <c r="F71" i="67"/>
  <c r="B13" i="70"/>
  <c r="F68" i="67"/>
  <c r="D9" i="69"/>
  <c r="C36" i="69"/>
  <c r="F8" i="67"/>
  <c r="C76" i="67"/>
  <c r="M8" i="67"/>
  <c r="F42" i="67"/>
  <c r="M29" i="15"/>
  <c r="F7" i="67"/>
  <c r="F7" i="15"/>
  <c r="F37" i="15"/>
  <c r="J15" i="15"/>
  <c r="F36" i="15"/>
  <c r="M22" i="15"/>
  <c r="C16" i="15"/>
  <c r="D5" i="73"/>
  <c r="F9" i="15"/>
  <c r="J15" i="67"/>
  <c r="F36" i="67"/>
  <c r="F16" i="67"/>
  <c r="M9" i="67"/>
  <c r="M23" i="67"/>
  <c r="L48" i="15"/>
  <c r="F43" i="15"/>
  <c r="M26" i="15"/>
  <c r="D9" i="68"/>
  <c r="F26" i="15"/>
  <c r="D4" i="73"/>
  <c r="F8" i="15"/>
  <c r="M8" i="15"/>
  <c r="C76" i="15"/>
  <c r="F13" i="67"/>
  <c r="M6" i="67"/>
  <c r="M28" i="67"/>
  <c r="F38" i="15"/>
  <c r="L47" i="67"/>
  <c r="F6" i="67"/>
  <c r="D6" i="73"/>
  <c r="F9" i="67"/>
  <c r="F37" i="67"/>
  <c r="M24" i="15"/>
  <c r="F26" i="67"/>
  <c r="M6" i="15"/>
  <c r="L47" i="15"/>
  <c r="F40" i="15"/>
  <c r="M28" i="15"/>
  <c r="D3" i="73"/>
  <c r="D7" i="73"/>
  <c r="M59" i="15" l="1"/>
  <c r="L59" i="15"/>
  <c r="N59" i="15"/>
  <c r="L58" i="15"/>
  <c r="Q60" i="15" s="1"/>
  <c r="C27" i="67"/>
  <c r="F65" i="67"/>
  <c r="C6" i="67"/>
  <c r="M59" i="67"/>
  <c r="N59" i="67"/>
  <c r="L59" i="67"/>
  <c r="L58" i="67"/>
  <c r="F66" i="15"/>
  <c r="F71" i="15"/>
  <c r="J53" i="15"/>
  <c r="L56" i="15" s="1"/>
  <c r="J57" i="15"/>
  <c r="J55" i="15" s="1"/>
  <c r="J58" i="15" s="1"/>
  <c r="Q50" i="15" s="1"/>
  <c r="I54" i="15"/>
  <c r="F64" i="67"/>
  <c r="M7" i="67"/>
  <c r="J6" i="67" s="1"/>
  <c r="F50" i="67"/>
  <c r="Q71" i="67"/>
  <c r="F51" i="67"/>
  <c r="E29" i="6"/>
  <c r="K15" i="1" s="1"/>
  <c r="G30" i="6"/>
  <c r="G31" i="6" s="1"/>
  <c r="U12" i="35"/>
  <c r="AB12" i="35"/>
  <c r="AB25" i="36"/>
  <c r="U25" i="36"/>
  <c r="AA13" i="39"/>
  <c r="S13" i="39"/>
  <c r="AC23" i="35"/>
  <c r="W23" i="35"/>
  <c r="W44" i="33"/>
  <c r="AC44" i="33"/>
  <c r="AC29" i="21"/>
  <c r="W29" i="21"/>
  <c r="U31" i="40"/>
  <c r="AB31" i="40"/>
  <c r="H113" i="40"/>
  <c r="I113" i="40" s="1"/>
  <c r="J113" i="40" s="1"/>
  <c r="K113" i="40" s="1"/>
  <c r="L113" i="40" s="1"/>
  <c r="M113" i="40" s="1"/>
  <c r="F36" i="40"/>
  <c r="AA44" i="39"/>
  <c r="S44" i="39"/>
  <c r="AZ90" i="3"/>
  <c r="C32" i="71"/>
  <c r="AZ484" i="3"/>
  <c r="AZ177" i="3"/>
  <c r="AZ350" i="3"/>
  <c r="AZ235" i="3"/>
  <c r="E66" i="71"/>
  <c r="P67" i="71"/>
  <c r="AB32" i="36"/>
  <c r="U32" i="36"/>
  <c r="W12" i="36"/>
  <c r="AC12" i="36"/>
  <c r="U13" i="40"/>
  <c r="AB13" i="40"/>
  <c r="W47" i="34"/>
  <c r="AC47" i="34"/>
  <c r="AA45" i="21"/>
  <c r="S45" i="21"/>
  <c r="AC13" i="21"/>
  <c r="W13" i="21"/>
  <c r="AA33" i="40"/>
  <c r="S33" i="40"/>
  <c r="S31" i="21"/>
  <c r="AA31" i="21"/>
  <c r="AC44" i="39"/>
  <c r="W44" i="39"/>
  <c r="AZ83" i="3"/>
  <c r="AZ266" i="3"/>
  <c r="E19" i="71"/>
  <c r="E18" i="71" s="1"/>
  <c r="E17" i="71" s="1"/>
  <c r="E16" i="71" s="1"/>
  <c r="AZ302" i="3"/>
  <c r="AZ294" i="3"/>
  <c r="AZ283" i="3"/>
  <c r="AZ265" i="3"/>
  <c r="AZ367" i="3"/>
  <c r="AZ405" i="3"/>
  <c r="AZ427" i="3"/>
  <c r="AZ440" i="3"/>
  <c r="S21" i="40"/>
  <c r="AZ214" i="3"/>
  <c r="AZ487" i="3"/>
  <c r="AZ413" i="3"/>
  <c r="AZ573" i="3"/>
  <c r="AA32" i="36"/>
  <c r="S32" i="36"/>
  <c r="AA13" i="40"/>
  <c r="S13" i="40"/>
  <c r="U47" i="34"/>
  <c r="AB47" i="34"/>
  <c r="W45" i="21"/>
  <c r="AC45" i="21"/>
  <c r="AA35" i="39"/>
  <c r="S35" i="39"/>
  <c r="W14" i="33"/>
  <c r="AC14" i="33"/>
  <c r="W33" i="40"/>
  <c r="AC33" i="40"/>
  <c r="U31" i="21"/>
  <c r="AB31" i="21"/>
  <c r="AZ460" i="3"/>
  <c r="AZ428" i="3"/>
  <c r="AZ439" i="3"/>
  <c r="AZ527" i="3"/>
  <c r="W25" i="36"/>
  <c r="AC25" i="36"/>
  <c r="AB38" i="37"/>
  <c r="U38" i="37"/>
  <c r="AB11" i="40"/>
  <c r="U11" i="40"/>
  <c r="AA23" i="35"/>
  <c r="S23" i="35"/>
  <c r="U29" i="21"/>
  <c r="AB29" i="21"/>
  <c r="AA28" i="37"/>
  <c r="S28" i="37"/>
  <c r="AA13" i="34"/>
  <c r="S13" i="34"/>
  <c r="AZ561" i="3"/>
  <c r="T60" i="71"/>
  <c r="D60" i="71"/>
  <c r="AZ451" i="3"/>
  <c r="C18" i="78"/>
  <c r="C15" i="78"/>
  <c r="B15" i="78"/>
  <c r="B18" i="78"/>
  <c r="AA24" i="36"/>
  <c r="S24" i="36"/>
  <c r="U13" i="35"/>
  <c r="AB13" i="35"/>
  <c r="S29" i="34"/>
  <c r="AA29" i="34"/>
  <c r="S30" i="33"/>
  <c r="AA30" i="33"/>
  <c r="AC32" i="40"/>
  <c r="W32" i="40"/>
  <c r="U30" i="21"/>
  <c r="AB30" i="21"/>
  <c r="Q65" i="71"/>
  <c r="AZ333" i="3"/>
  <c r="AZ101" i="3"/>
  <c r="AZ75" i="3"/>
  <c r="AZ69" i="3"/>
  <c r="AZ173" i="3"/>
  <c r="AZ273" i="3"/>
  <c r="AZ218" i="3"/>
  <c r="AZ454" i="3"/>
  <c r="AZ435" i="3"/>
  <c r="AZ425" i="3"/>
  <c r="AZ399" i="3"/>
  <c r="AZ417" i="3"/>
  <c r="AZ201" i="3"/>
  <c r="AZ229" i="3"/>
  <c r="S45" i="39"/>
  <c r="AA45" i="39"/>
  <c r="W25" i="35"/>
  <c r="AC25" i="35"/>
  <c r="U45" i="34"/>
  <c r="AB45" i="34"/>
  <c r="AB46" i="33"/>
  <c r="U46" i="33"/>
  <c r="AB30" i="33"/>
  <c r="U30" i="33"/>
  <c r="W28" i="33"/>
  <c r="AC28" i="33"/>
  <c r="S14" i="21"/>
  <c r="AA14" i="21"/>
  <c r="F15" i="71"/>
  <c r="F14" i="71" s="1"/>
  <c r="F13" i="71" s="1"/>
  <c r="F12" i="71" s="1"/>
  <c r="F11" i="71" s="1"/>
  <c r="F10" i="71" s="1"/>
  <c r="F9" i="71" s="1"/>
  <c r="F8" i="71" s="1"/>
  <c r="F7" i="71" s="1"/>
  <c r="F6" i="71" s="1"/>
  <c r="F5" i="71" s="1"/>
  <c r="M23" i="43"/>
  <c r="AZ37" i="3"/>
  <c r="AZ215" i="3"/>
  <c r="AZ70" i="3"/>
  <c r="AZ79" i="3"/>
  <c r="AZ257" i="3"/>
  <c r="AZ483" i="3"/>
  <c r="AZ223" i="3"/>
  <c r="AZ301" i="3"/>
  <c r="AZ401" i="3"/>
  <c r="AZ398" i="3"/>
  <c r="AZ408" i="3"/>
  <c r="AZ271" i="3"/>
  <c r="AZ186" i="3"/>
  <c r="AZ249" i="3"/>
  <c r="AC25" i="37"/>
  <c r="W25" i="37"/>
  <c r="U45" i="39"/>
  <c r="AB45" i="39"/>
  <c r="AB25" i="35"/>
  <c r="U25" i="35"/>
  <c r="S45" i="34"/>
  <c r="AA45" i="34"/>
  <c r="AA46" i="33"/>
  <c r="S46" i="33"/>
  <c r="AB36" i="35"/>
  <c r="U36" i="35"/>
  <c r="U28" i="33"/>
  <c r="AB28" i="33"/>
  <c r="W14" i="40"/>
  <c r="AC14" i="40"/>
  <c r="AB33" i="36"/>
  <c r="U33" i="36"/>
  <c r="W30" i="21"/>
  <c r="AC30" i="21"/>
  <c r="W14" i="21"/>
  <c r="AC14" i="21"/>
  <c r="AZ138" i="3"/>
  <c r="AZ268" i="3"/>
  <c r="AZ59" i="3"/>
  <c r="AZ62" i="3"/>
  <c r="AZ262" i="3"/>
  <c r="AZ275" i="3"/>
  <c r="AZ263" i="3"/>
  <c r="AZ441" i="3"/>
  <c r="AA37" i="39"/>
  <c r="S37" i="39"/>
  <c r="AB29" i="34"/>
  <c r="U29" i="34"/>
  <c r="AC46" i="33"/>
  <c r="W46" i="33"/>
  <c r="W12" i="33"/>
  <c r="AC12" i="33"/>
  <c r="AB9" i="33"/>
  <c r="U9" i="33"/>
  <c r="S32" i="40"/>
  <c r="AA32" i="40"/>
  <c r="S30" i="21"/>
  <c r="AA30" i="21"/>
  <c r="S37" i="40"/>
  <c r="AC23" i="40"/>
  <c r="W23" i="40"/>
  <c r="G92" i="40"/>
  <c r="H23" i="40"/>
  <c r="F23" i="40"/>
  <c r="AB21" i="40"/>
  <c r="U21" i="40"/>
  <c r="W21" i="40"/>
  <c r="AC21" i="40"/>
  <c r="F26" i="43"/>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73" i="15"/>
  <c r="Q61" i="67"/>
  <c r="Q74" i="67"/>
  <c r="Q74" i="15"/>
  <c r="Q61" i="15"/>
  <c r="AE11" i="1"/>
  <c r="AE9" i="1"/>
  <c r="AE7" i="1"/>
  <c r="AE8" i="1"/>
  <c r="AE12" i="1"/>
  <c r="AE10" i="1"/>
  <c r="C16" i="67"/>
  <c r="F41" i="67"/>
  <c r="G1" i="73"/>
  <c r="F27" i="68"/>
  <c r="AE6" i="1"/>
  <c r="E30" i="6" l="1"/>
  <c r="AA36" i="40"/>
  <c r="S36" i="40"/>
  <c r="AB7" i="36"/>
  <c r="T36" i="36" s="1"/>
  <c r="G36" i="36" s="1"/>
  <c r="AZ5" i="3"/>
  <c r="P65" i="71"/>
  <c r="P66" i="71"/>
  <c r="S7" i="36"/>
  <c r="D26" i="43"/>
  <c r="C25" i="43" s="1"/>
  <c r="K26" i="6"/>
  <c r="M26" i="6" s="1"/>
  <c r="I26" i="6" s="1"/>
  <c r="S26" i="6" s="1"/>
  <c r="J10" i="15"/>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D3" i="21" s="1"/>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F41" i="15"/>
  <c r="M27" i="67"/>
  <c r="M27" i="15"/>
  <c r="D3" i="33" l="1"/>
  <c r="D3" i="34"/>
  <c r="E6" i="6"/>
  <c r="B1" i="74"/>
  <c r="B14" i="74"/>
  <c r="D33" i="43"/>
  <c r="D1" i="43" s="1"/>
  <c r="C34" i="40"/>
  <c r="AC6" i="3"/>
  <c r="H6" i="3"/>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C17" i="15"/>
  <c r="C17" i="67"/>
  <c r="C14" i="67"/>
  <c r="D10" i="68"/>
  <c r="C14" i="74" l="1"/>
  <c r="B2" i="74" s="1"/>
  <c r="H34" i="40"/>
  <c r="J34" i="40"/>
  <c r="F34" i="40"/>
  <c r="E6" i="3"/>
  <c r="H21" i="6"/>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36" i="68"/>
  <c r="C14" i="15"/>
  <c r="C34" i="68"/>
  <c r="D8" i="74" l="1"/>
  <c r="D7" i="74"/>
  <c r="AC34" i="40"/>
  <c r="W34" i="40"/>
  <c r="AB34" i="40"/>
  <c r="U34" i="40"/>
  <c r="AA34" i="40"/>
  <c r="S34" i="40"/>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E2" i="68"/>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AO7"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C19" i="9"/>
  <c r="B3" i="68"/>
  <c r="D34" i="9"/>
  <c r="C20" i="9"/>
  <c r="D35" i="9"/>
  <c r="C21" i="9" l="1"/>
  <c r="G19" i="9"/>
  <c r="G21" i="9" s="1"/>
  <c r="D22" i="9"/>
  <c r="C102" i="9"/>
  <c r="C103" i="9"/>
  <c r="G20" i="9"/>
  <c r="C32" i="9" l="1"/>
  <c r="C35" i="9" s="1"/>
  <c r="C34" i="9" s="1"/>
  <c r="D118" i="9" s="1"/>
  <c r="D119" i="9" s="1"/>
  <c r="D5" i="52" s="1"/>
  <c r="B49" i="72" s="1"/>
  <c r="H118" i="9"/>
  <c r="D14" i="74" s="1"/>
  <c r="G14" i="74" s="1"/>
  <c r="B6" i="74" s="1"/>
  <c r="D6" i="74" s="1"/>
  <c r="F118" i="9"/>
  <c r="F4" i="52" s="1"/>
  <c r="B51" i="72" s="1"/>
  <c r="D4" i="52" l="1"/>
  <c r="B47" i="72" s="1"/>
  <c r="H119" i="9"/>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C96" i="9" s="1"/>
  <c r="E96" i="9" s="1"/>
  <c r="E97" i="9" s="1"/>
  <c r="B30" i="72"/>
  <c r="D14" i="53"/>
  <c r="B32" i="72"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<sst xmlns="http://schemas.openxmlformats.org/spreadsheetml/2006/main" count="8155" uniqueCount="3589">
  <si>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</si>
  <si>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</si>
  <si>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</si>
  <si>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</si>
  <si>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</si>
  <si>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</si>
  <si>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</si>
  <si>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</si>
  <si>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</si>
  <si>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</si>
  <si>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</si>
  <si>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</si>
  <si>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</si>
  <si>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</si>
  <si>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</si>
  <si>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</si>
  <si>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</si>
  <si>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</si>
  <si>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</si>
  <si>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</si>
  <si>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</si>
  <si>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</si>
  <si>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</si>
  <si>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</si>
  <si>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</si>
  <si>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</si>
  <si>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</si>
  <si>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</si>
  <si>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</si>
  <si>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</si>
  <si>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</si>
  <si>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</si>
  <si>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</si>
  <si>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</si>
  <si>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</si>
  <si>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</si>
  <si>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</si>
  <si>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</si>
  <si>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</si>
  <si>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</si>
  <si>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</si>
  <si>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</si>
  <si>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</si>
  <si>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</si>
  <si>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</si>
  <si>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</si>
  <si>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</si>
  <si>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</si>
  <si>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</si>
  <si>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</si>
  <si>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</si>
  <si>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</si>
  <si>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</si>
  <si>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</si>
  <si>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</si>
  <si>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</si>
  <si>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</si>
  <si>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</si>
  <si>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</si>
  <si>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</si>
  <si>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</si>
  <si>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</si>
  <si>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</si>
  <si>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</si>
  <si>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</si>
  <si>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</si>
  <si>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</si>
  <si>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</si>
  <si>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</si>
  <si>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</si>
  <si>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</si>
  <si>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</si>
  <si>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</si>
  <si>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</si>
  <si>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</si>
  <si>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</si>
  <si>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</si>
  <si>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</si>
  <si>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</si>
  <si>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</si>
  <si>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</si>
  <si>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</si>
  <si>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</si>
  <si>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</si>
  <si>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</si>
  <si>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</si>
  <si>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</si>
  <si>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</si>
  <si>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</si>
  <si>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</si>
  <si>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</si>
  <si>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</si>
  <si>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</si>
  <si>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</si>
  <si>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</si>
  <si>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</si>
  <si>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</si>
  <si>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</si>
  <si>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</si>
  <si>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</si>
  <si>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</si>
  <si>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</si>
  <si>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</si>
  <si>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</si>
  <si>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</si>
  <si>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</si>
  <si>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</si>
  <si>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</si>
  <si>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</si>
  <si>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</si>
  <si>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</si>
  <si>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</si>
  <si>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</si>
  <si>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</si>
  <si>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</si>
  <si>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</si>
  <si>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</si>
  <si>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</si>
  <si>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</si>
  <si>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</si>
  <si>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</si>
  <si>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</si>
  <si>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</si>
  <si>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</si>
  <si>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</si>
  <si>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</si>
  <si>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</si>
  <si>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</si>
  <si>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</si>
  <si>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</si>
  <si>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</si>
  <si>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</si>
  <si>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</si>
  <si>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</si>
  <si>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</si>
  <si>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</si>
  <si>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</si>
  <si>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</si>
  <si>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</si>
  <si>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</si>
  <si>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</si>
  <si>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</si>
  <si>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</si>
  <si>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</si>
  <si>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</si>
  <si>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</si>
  <si>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</si>
  <si>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</si>
  <si>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</si>
  <si>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</si>
  <si>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</si>
  <si>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</si>
  <si>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</si>
  <si>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</si>
  <si>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</si>
  <si>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</si>
  <si>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</si>
  <si>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</si>
  <si>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</si>
  <si>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</si>
  <si>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</si>
  <si>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</si>
  <si>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</si>
  <si>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</si>
  <si>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</si>
  <si>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</si>
  <si>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</si>
  <si>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</si>
  <si>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</si>
  <si>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</si>
  <si>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</si>
  <si>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</si>
  <si>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</si>
  <si>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</si>
  <si>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</si>
  <si>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</si>
  <si>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</si>
  <si>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</si>
  <si>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</si>
  <si>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</si>
  <si>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</si>
  <si>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</si>
  <si>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</si>
  <si>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</si>
  <si>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</si>
  <si>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</si>
  <si>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</si>
  <si>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</si>
  <si>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</si>
  <si>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</si>
  <si>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</si>
  <si>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</si>
  <si>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</si>
  <si>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</si>
  <si>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</si>
  <si>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</si>
  <si>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</si>
  <si>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</si>
  <si>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</si>
  <si>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</si>
  <si>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</si>
  <si>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</si>
  <si>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</si>
  <si>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</si>
  <si>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</si>
  <si>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</si>
  <si>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</si>
  <si>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</si>
  <si>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</si>
  <si>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</si>
  <si>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</si>
  <si>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</si>
  <si>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</si>
  <si>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</si>
  <si>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</si>
  <si>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</si>
  <si>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</si>
  <si>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</si>
  <si>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</si>
  <si>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</si>
  <si>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</si>
  <si>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</si>
  <si>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</si>
  <si>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</si>
  <si>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</si>
  <si>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</si>
  <si>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</si>
  <si>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</si>
  <si>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</si>
  <si>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</si>
  <si>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</si>
  <si>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</si>
  <si>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</si>
  <si>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</si>
  <si>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</si>
  <si>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</si>
  <si>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</si>
  <si>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</si>
  <si>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</si>
  <si>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</si>
  <si>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</si>
  <si>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</si>
  <si>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</si>
  <si>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</si>
  <si>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</si>
  <si>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</si>
  <si>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</si>
  <si>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</si>
  <si>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</si>
  <si>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</si>
  <si>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</si>
  <si>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</si>
  <si>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</si>
  <si>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</si>
  <si>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</si>
  <si>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</si>
  <si>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</si>
  <si>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</si>
  <si>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</si>
  <si>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</si>
  <si>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</si>
  <si>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</si>
  <si>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</si>
  <si>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</si>
  <si>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</si>
  <si>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</si>
  <si>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</si>
  <si>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</si>
  <si>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</si>
  <si>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</si>
  <si>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</si>
  <si>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</si>
  <si>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</si>
  <si>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</si>
  <si>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</si>
  <si>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</si>
  <si>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</si>
  <si>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</si>
  <si>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</si>
  <si>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</si>
  <si>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</si>
  <si>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</si>
  <si>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</si>
  <si>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</si>
  <si>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</si>
  <si>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</si>
  <si>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</si>
  <si>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</si>
  <si>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</si>
  <si>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</si>
  <si>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</si>
  <si>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</si>
  <si>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</si>
  <si>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</si>
  <si>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</si>
  <si>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</si>
  <si>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</si>
  <si>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</si>
  <si>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</si>
  <si>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</si>
  <si>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</si>
  <si>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</si>
  <si>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</si>
  <si>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</si>
  <si>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</si>
  <si>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</si>
  <si>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</si>
  <si>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</si>
  <si>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</si>
  <si>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</si>
  <si>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</si>
  <si>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</si>
  <si>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</si>
  <si>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</si>
  <si>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</si>
  <si>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</si>
  <si>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</si>
  <si>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</si>
  <si>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</si>
  <si>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</si>
  <si>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</si>
  <si>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</si>
  <si>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</si>
  <si>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</si>
  <si>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</si>
  <si>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</si>
  <si>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</si>
  <si>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</si>
  <si>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</si>
  <si>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</si>
  <si>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</si>
  <si>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</si>
  <si>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</si>
  <si>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</si>
  <si>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</si>
  <si>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</si>
  <si>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</si>
  <si>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</si>
  <si>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</si>
  <si>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</si>
  <si>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</si>
  <si>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</si>
  <si>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</si>
  <si>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</si>
  <si>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</si>
  <si>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</si>
  <si>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</si>
  <si>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</si>
  <si>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</si>
  <si>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</si>
  <si>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</si>
  <si>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</si>
  <si>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</si>
  <si>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</si>
  <si>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</si>
  <si>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</si>
  <si>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</si>
  <si>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</si>
  <si>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</si>
  <si>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</si>
  <si>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</si>
  <si>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</si>
  <si>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</si>
  <si>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</si>
  <si>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</si>
  <si>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</si>
  <si>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</si>
  <si>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</si>
  <si>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</si>
  <si>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</si>
  <si>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</si>
  <si>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</si>
  <si>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</si>
  <si>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</si>
  <si>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</si>
  <si>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</si>
  <si>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</si>
  <si>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</si>
  <si>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</si>
  <si>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</si>
  <si>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</si>
  <si>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</si>
  <si>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</si>
  <si>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</si>
  <si>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</si>
  <si>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</si>
  <si>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</si>
  <si>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</si>
  <si>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</si>
  <si>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</si>
  <si>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</si>
  <si>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</si>
  <si>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</si>
  <si>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</si>
  <si>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</si>
  <si>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</si>
  <si>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</si>
  <si>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</si>
  <si>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</si>
  <si>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</si>
  <si>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</si>
  <si>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</si>
  <si>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</si>
  <si>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</si>
  <si>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</si>
  <si>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</si>
  <si>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</si>
  <si>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</si>
  <si>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</si>
  <si>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</si>
  <si>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</si>
  <si>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</si>
  <si>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</si>
  <si>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</si>
  <si>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</si>
  <si>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</si>
  <si>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</si>
  <si>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</si>
  <si>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</si>
  <si>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</si>
  <si>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</si>
  <si>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</si>
  <si>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</si>
  <si>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</si>
  <si>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</si>
  <si>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</si>
  <si>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</si>
  <si>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</si>
  <si>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</si>
  <si>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</si>
  <si>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</si>
  <si>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</si>
  <si>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</si>
  <si>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</si>
  <si>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</si>
  <si>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</si>
  <si>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</si>
  <si>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</si>
  <si>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</si>
  <si>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</si>
  <si>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</si>
  <si>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</si>
  <si>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</si>
  <si>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</si>
  <si>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</si>
  <si>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</si>
  <si>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</si>
  <si>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</si>
  <si>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</si>
  <si>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</si>
  <si>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</si>
  <si>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</si>
  <si>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</si>
  <si>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</si>
  <si>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</si>
  <si>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</si>
  <si>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</si>
  <si>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</si>
  <si>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</si>
  <si>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</si>
  <si>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</si>
  <si>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</si>
  <si>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</si>
  <si>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</si>
  <si>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</si>
  <si>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</si>
  <si>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</si>
  <si>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</si>
  <si>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</si>
  <si>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</si>
  <si>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</si>
  <si>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</si>
  <si>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</si>
  <si>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</si>
  <si>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</si>
  <si>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</si>
  <si>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</si>
  <si>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</si>
  <si>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</si>
  <si>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</si>
  <si>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</si>
  <si>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</si>
  <si>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</si>
  <si>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</si>
  <si>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</si>
  <si>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</si>
  <si>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</si>
  <si>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</si>
  <si>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</si>
  <si>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</si>
  <si>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</si>
  <si>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</si>
  <si>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</si>
  <si>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</si>
  <si>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</si>
  <si>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</si>
  <si>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</si>
  <si>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</si>
  <si>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</si>
  <si>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</si>
  <si>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</si>
  <si>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</si>
  <si>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</si>
  <si>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</si>
  <si>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</si>
  <si>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</si>
  <si>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</si>
  <si>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</si>
  <si>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</si>
  <si>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</si>
  <si>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</si>
  <si>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</si>
  <si>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</si>
  <si>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</si>
  <si>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</si>
  <si>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</si>
  <si>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</si>
  <si>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</si>
  <si>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</si>
  <si>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</si>
  <si>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</si>
  <si>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</si>
  <si>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</si>
  <si>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</si>
  <si>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</si>
  <si>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</si>
  <si>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</si>
  <si>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</si>
  <si>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</si>
  <si>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</si>
  <si>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</si>
  <si>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</si>
  <si>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</si>
  <si>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</si>
  <si>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</si>
  <si>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</si>
  <si>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</si>
  <si>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</si>
  <si>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</si>
  <si>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</si>
  <si>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</si>
  <si>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</si>
  <si>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</si>
  <si>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</si>
  <si>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</si>
  <si>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</si>
  <si>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</si>
  <si>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</si>
  <si>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</si>
  <si>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</si>
  <si>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</si>
  <si>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</si>
  <si>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</si>
  <si>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</si>
  <si>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</si>
  <si>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</si>
  <si>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</si>
  <si>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</si>
  <si>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</si>
  <si>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</si>
  <si>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</si>
  <si>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</si>
  <si>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</si>
  <si>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</si>
  <si>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</si>
  <si>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</si>
  <si>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</si>
  <si>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</si>
  <si>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</si>
  <si>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</si>
  <si>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</si>
  <si>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</si>
  <si>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</si>
  <si>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</si>
  <si>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</si>
  <si>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</si>
  <si>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</si>
  <si>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</si>
  <si>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</si>
  <si>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</si>
  <si>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</si>
  <si>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</si>
  <si>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</si>
  <si>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</si>
  <si>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</si>
  <si>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</si>
  <si>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</si>
  <si>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</si>
  <si>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</si>
  <si>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</si>
  <si>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</si>
  <si>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</si>
  <si>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</si>
  <si>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</si>
  <si>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</si>
  <si>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</si>
  <si>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</si>
  <si>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</si>
  <si>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</si>
  <si>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</si>
  <si>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</si>
  <si>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</si>
  <si>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</si>
  <si>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</si>
  <si>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</si>
  <si>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</si>
  <si>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</si>
  <si>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</si>
  <si>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</si>
  <si>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</si>
  <si>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</si>
  <si>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</si>
  <si>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</si>
  <si>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</si>
  <si>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</si>
  <si>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</si>
  <si>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</si>
  <si>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</si>
  <si>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</si>
  <si>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</si>
  <si>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</si>
  <si>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</si>
  <si>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</si>
  <si>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</si>
  <si>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</si>
  <si>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</si>
  <si>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</si>
  <si>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</si>
  <si>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</si>
  <si>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</si>
  <si>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</si>
  <si>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</si>
  <si>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</si>
  <si>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</si>
  <si>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</si>
  <si>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</si>
  <si>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</si>
  <si>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</si>
  <si>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</si>
  <si>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</si>
  <si>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</si>
  <si>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</si>
  <si>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</si>
  <si>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</si>
  <si>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</si>
  <si>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</si>
  <si>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</si>
  <si>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</si>
  <si>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</si>
  <si>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</si>
  <si>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</si>
  <si>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</si>
  <si>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</si>
  <si>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</si>
  <si>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</si>
  <si>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</si>
  <si>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</si>
  <si>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</si>
  <si>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</si>
  <si>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</si>
  <si>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</si>
  <si>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</si>
  <si>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</si>
  <si>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</si>
  <si>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</si>
  <si>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</si>
  <si>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</si>
  <si>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</si>
  <si>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</si>
  <si>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</si>
  <si>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</si>
  <si>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</si>
  <si>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</si>
  <si>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</si>
  <si>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</si>
  <si>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</si>
  <si>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</si>
  <si>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</si>
  <si>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</si>
  <si>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</si>
  <si>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</si>
  <si>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</si>
  <si>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</si>
  <si>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</si>
  <si>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</si>
  <si>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</si>
  <si>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</si>
  <si>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</si>
  <si>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</si>
  <si>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</si>
  <si>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</si>
  <si>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</si>
  <si>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</si>
  <si>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</si>
  <si>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</si>
  <si>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</si>
  <si>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</si>
  <si>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</si>
  <si>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</si>
  <si>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</si>
  <si>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</si>
  <si>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</si>
  <si>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</si>
  <si>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</si>
  <si>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</si>
  <si>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</si>
  <si>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</si>
  <si>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</si>
  <si>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</si>
  <si>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</si>
  <si>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</si>
  <si>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</si>
  <si>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</si>
  <si>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</si>
  <si>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</si>
  <si>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</si>
  <si>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</si>
  <si>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</si>
  <si>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</si>
  <si>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</si>
  <si>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</si>
  <si>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</si>
  <si>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</si>
  <si>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</si>
  <si>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</si>
  <si>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</si>
  <si>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</si>
  <si>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</si>
  <si>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</si>
  <si>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</si>
  <si>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</si>
  <si>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</si>
  <si>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</si>
  <si>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</si>
  <si>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</si>
  <si>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</si>
  <si>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</si>
  <si>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</si>
  <si>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</si>
  <si>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</si>
  <si>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</si>
  <si>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</si>
  <si>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</si>
  <si>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</si>
  <si>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</si>
  <si>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</si>
  <si>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</si>
  <si>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</si>
  <si>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</si>
  <si>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</si>
  <si>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</si>
  <si>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</si>
  <si>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</si>
  <si>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</si>
  <si>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</si>
  <si>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</si>
  <si>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</si>
  <si>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</si>
  <si>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</si>
  <si>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</si>
  <si>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</si>
  <si>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</si>
  <si>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</si>
  <si>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</si>
  <si>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</si>
  <si>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</si>
  <si>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</si>
  <si>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</si>
  <si>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</si>
  <si>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</si>
  <si>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</si>
  <si>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</si>
  <si>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</si>
  <si>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</si>
  <si>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</si>
  <si>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</si>
  <si>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</si>
  <si>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</si>
  <si>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</si>
  <si>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</si>
  <si>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</si>
  <si>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</si>
  <si>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</si>
  <si>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</si>
  <si>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</si>
  <si>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</si>
  <si>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</si>
  <si>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</si>
  <si>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</si>
  <si>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</si>
  <si>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</si>
  <si>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</si>
  <si>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</si>
  <si>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</si>
  <si>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</si>
  <si>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</si>
  <si>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</si>
  <si>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</si>
  <si>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</si>
  <si>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</si>
  <si>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</si>
  <si>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</si>
  <si>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</si>
  <si>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</si>
  <si>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</si>
  <si>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</si>
  <si>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</si>
  <si>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</si>
  <si>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</si>
  <si>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</si>
  <si>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</si>
  <si>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</si>
  <si>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</si>
  <si>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</si>
  <si>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</si>
  <si>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</si>
  <si>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</si>
  <si>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</si>
  <si>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</si>
  <si>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</si>
  <si>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</si>
  <si>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</si>
  <si>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</si>
  <si>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</si>
  <si>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</si>
  <si>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</si>
  <si>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</si>
  <si>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</si>
  <si>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</si>
  <si>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</si>
  <si>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</si>
  <si>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</si>
  <si>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</si>
  <si>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</si>
  <si>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</si>
  <si>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</si>
  <si>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</si>
  <si>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</si>
  <si>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</si>
  <si>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</si>
  <si>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</si>
  <si>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</si>
  <si>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</si>
  <si>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</si>
  <si>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</si>
  <si>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</si>
  <si>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</si>
  <si>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</si>
  <si>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</si>
  <si>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</si>
  <si>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</si>
  <si>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</si>
  <si>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</si>
  <si>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</si>
  <si>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</si>
  <si>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</si>
  <si>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</si>
  <si>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</si>
  <si>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</si>
  <si>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</si>
  <si>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</si>
  <si>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</si>
  <si>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</si>
  <si>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</si>
  <si>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</si>
  <si>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</si>
  <si>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</si>
  <si>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</si>
  <si>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</si>
  <si>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</si>
  <si>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</si>
  <si>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</si>
  <si>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</si>
  <si>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</si>
  <si>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</si>
  <si>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</si>
  <si>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</si>
  <si>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</si>
  <si>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</si>
  <si>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</si>
  <si>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</si>
  <si>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</si>
  <si>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</si>
  <si>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</si>
  <si>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</si>
  <si>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</si>
  <si>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</si>
  <si>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</si>
  <si>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</si>
  <si>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</si>
  <si>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</si>
  <si>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</si>
  <si>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</si>
  <si>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</si>
  <si>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</si>
  <si>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</si>
  <si>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</si>
  <si>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</si>
  <si>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</si>
  <si>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</si>
  <si>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</si>
  <si>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</si>
  <si>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</si>
  <si>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</si>
  <si>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</si>
  <si>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</si>
  <si>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</si>
  <si>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</si>
  <si>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</si>
  <si>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</si>
  <si>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</si>
  <si>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</si>
  <si>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</si>
  <si>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</si>
  <si>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</si>
  <si>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</si>
  <si>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</si>
  <si>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</si>
  <si>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</si>
  <si>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</si>
  <si>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</si>
  <si>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</si>
  <si>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</si>
  <si>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</si>
  <si>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</si>
  <si>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</si>
  <si>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</si>
  <si>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</si>
  <si>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</si>
  <si>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</si>
  <si>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</si>
  <si>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</si>
  <si>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</si>
  <si>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</si>
  <si>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</si>
  <si>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</si>
  <si>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</si>
  <si>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</si>
  <si>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</si>
  <si>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</si>
  <si>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</si>
  <si>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</si>
  <si>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</si>
  <si>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</si>
  <si>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</si>
  <si>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</si>
  <si>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</si>
  <si>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</si>
  <si>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</si>
  <si>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</si>
  <si>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</si>
  <si>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</si>
  <si>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</si>
  <si>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</si>
  <si>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</si>
  <si>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</si>
  <si>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</si>
  <si>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</si>
  <si>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</si>
  <si>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</si>
  <si>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</si>
  <si>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</si>
  <si>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</si>
  <si>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</si>
  <si>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</si>
  <si>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</si>
  <si>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</si>
  <si>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</si>
  <si>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</si>
  <si>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</si>
  <si>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</si>
  <si>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</si>
  <si>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</si>
  <si>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</si>
  <si>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</si>
  <si>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</si>
  <si>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</si>
  <si>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</si>
  <si>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</si>
  <si>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</si>
  <si>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</si>
  <si>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</si>
  <si>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</si>
  <si>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</si>
  <si>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</si>
  <si>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</si>
  <si>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</si>
  <si>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</si>
  <si>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</si>
  <si>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</si>
  <si>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</si>
  <si>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</si>
  <si>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</si>
  <si>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</si>
  <si>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</si>
  <si>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</si>
  <si>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</si>
  <si>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</si>
  <si>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</si>
  <si>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</si>
  <si>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</si>
  <si>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</si>
  <si>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</si>
  <si>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</si>
  <si>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</si>
  <si>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</si>
  <si>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</si>
  <si>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</si>
  <si>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</si>
  <si>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</si>
  <si>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</si>
  <si>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</si>
  <si>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</si>
  <si>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</si>
  <si>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</si>
  <si>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</si>
  <si>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</si>
  <si>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</si>
  <si>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</si>
  <si>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</si>
  <si>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</si>
  <si>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</si>
  <si>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</si>
  <si>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</si>
  <si>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</si>
  <si>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</si>
  <si>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</si>
  <si>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</si>
  <si>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</si>
  <si>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</si>
  <si>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</si>
  <si>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</si>
  <si>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</si>
  <si>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</si>
  <si>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</si>
  <si>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</si>
  <si>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</si>
  <si>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</si>
  <si>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</si>
  <si>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</si>
  <si>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</si>
  <si>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</si>
  <si>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</si>
  <si>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</si>
  <si>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</si>
  <si>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</si>
  <si>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</si>
  <si>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</si>
  <si>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</si>
  <si>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</si>
  <si>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</si>
  <si>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</si>
  <si>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</si>
  <si>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</si>
  <si>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</si>
  <si>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</si>
  <si>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</si>
  <si>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</si>
  <si>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</si>
  <si>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</si>
  <si>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</si>
  <si>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</si>
  <si>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</si>
  <si>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</si>
  <si>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</si>
  <si>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</si>
  <si>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</si>
  <si>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</si>
  <si>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</si>
  <si>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</si>
  <si>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</si>
  <si>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</si>
  <si>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</si>
  <si>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</si>
  <si>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</si>
  <si>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</si>
  <si>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</si>
  <si>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</si>
  <si>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</si>
  <si>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</si>
  <si>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</si>
  <si>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</si>
  <si>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</si>
  <si>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</si>
  <si>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</si>
  <si>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</si>
  <si>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</si>
  <si>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</si>
  <si>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</si>
  <si>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</si>
  <si>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</si>
  <si>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</si>
  <si>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</si>
  <si>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</si>
  <si>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</si>
  <si>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</si>
  <si>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</si>
  <si>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</si>
  <si>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</si>
  <si>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</si>
  <si>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</si>
  <si>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</si>
  <si>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</si>
  <si>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</si>
  <si>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</si>
  <si>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</si>
  <si>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</si>
  <si>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</si>
  <si>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</si>
  <si>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</si>
  <si>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</si>
  <si>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</si>
  <si>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</si>
  <si>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</si>
  <si>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</si>
  <si>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</si>
  <si>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</si>
  <si>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</si>
  <si>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</si>
  <si>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</si>
  <si>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</si>
  <si>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</si>
  <si>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</si>
  <si>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</si>
  <si>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</si>
  <si>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</si>
  <si>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</si>
  <si>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</si>
  <si>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</si>
  <si>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</si>
  <si>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</si>
  <si>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</si>
  <si>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</si>
  <si>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</si>
  <si>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</si>
  <si>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</si>
  <si>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</si>
  <si>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</si>
  <si>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</si>
  <si>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</si>
  <si>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</si>
  <si>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</si>
  <si>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</si>
  <si>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</si>
  <si>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</si>
  <si>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</si>
  <si>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</si>
  <si>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</si>
  <si>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</si>
  <si>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</si>
  <si>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</si>
  <si>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</si>
  <si>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</si>
  <si>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</si>
  <si>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</si>
  <si>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</si>
  <si>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</si>
  <si>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</si>
  <si>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</si>
  <si>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</si>
  <si>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</si>
  <si>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</si>
  <si>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</si>
  <si>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</si>
  <si>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</si>
  <si>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</si>
  <si>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</si>
  <si>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</si>
  <si>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</si>
  <si>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</si>
  <si>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</si>
  <si>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</si>
  <si>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</si>
  <si>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</si>
  <si>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</si>
  <si>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</si>
  <si>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</si>
  <si>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</si>
  <si>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</si>
  <si>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</si>
  <si>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</si>
  <si>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</si>
  <si>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</si>
  <si>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</si>
  <si>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</si>
  <si>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</si>
  <si>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</si>
  <si>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</si>
  <si>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</si>
  <si>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</si>
  <si>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</si>
  <si>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</si>
  <si>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</si>
  <si>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</si>
  <si>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</si>
  <si>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</si>
  <si>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</si>
  <si>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</si>
  <si>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</si>
  <si>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</si>
  <si>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</si>
  <si>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</si>
  <si>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</si>
  <si>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</si>
  <si>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</si>
  <si>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</si>
  <si>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</si>
  <si>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</si>
  <si>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</si>
  <si>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</si>
  <si>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</si>
  <si>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</si>
  <si>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</si>
  <si>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</si>
  <si>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</si>
  <si>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</si>
  <si>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</si>
  <si>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</si>
  <si>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</si>
  <si>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</si>
  <si>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</si>
  <si>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</si>
  <si>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</si>
  <si>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</si>
  <si>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</si>
  <si>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</si>
  <si>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</si>
  <si>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</si>
  <si>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</si>
  <si>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</si>
  <si>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</si>
  <si>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</si>
  <si>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</si>
  <si>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</si>
  <si>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</si>
  <si>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</si>
  <si>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</si>
  <si>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</si>
  <si>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</si>
  <si>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</si>
  <si>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</si>
  <si>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</si>
  <si>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</si>
  <si>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</si>
  <si>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</si>
  <si>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</si>
  <si>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</si>
  <si>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</si>
  <si>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</si>
  <si>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</si>
  <si>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</si>
  <si>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</si>
  <si>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</si>
  <si>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</si>
  <si>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</si>
  <si>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</si>
  <si>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</si>
  <si>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</si>
  <si>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</si>
  <si>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</si>
  <si>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</si>
  <si>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</si>
  <si>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</si>
  <si>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</si>
  <si>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</si>
  <si>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</si>
  <si>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</si>
  <si>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</si>
  <si>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</si>
  <si>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</si>
  <si>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</si>
  <si>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</si>
  <si>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</si>
  <si>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</si>
  <si>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</si>
  <si>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</si>
  <si>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</si>
  <si>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</si>
  <si>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</si>
  <si>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</si>
  <si>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</si>
  <si>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</si>
  <si>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</si>
  <si>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</si>
  <si>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</si>
  <si>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</si>
  <si>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</si>
  <si>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</si>
  <si>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</si>
  <si>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</si>
  <si>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</si>
  <si>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</si>
  <si>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</si>
  <si>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</si>
  <si>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</si>
  <si>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</si>
  <si>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</si>
  <si>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</si>
  <si>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</si>
  <si>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</si>
  <si>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</si>
  <si>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</si>
  <si>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</si>
  <si>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</si>
  <si>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</si>
  <si>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</si>
  <si>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</si>
  <si>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</si>
  <si>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</si>
  <si>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</si>
  <si>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</si>
  <si>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</si>
  <si>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</si>
  <si>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</si>
  <si>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</si>
  <si>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</si>
  <si>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</si>
  <si>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</si>
  <si>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</si>
  <si>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</si>
  <si>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</si>
  <si>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</si>
  <si>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</si>
  <si>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</si>
  <si>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</si>
  <si>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</si>
  <si>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</si>
  <si>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</si>
  <si>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</si>
  <si>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</si>
  <si>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</si>
  <si>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</si>
  <si>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</si>
  <si>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</si>
  <si>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</si>
  <si>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</si>
  <si>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</si>
  <si>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</si>
  <si>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</si>
  <si>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</si>
  <si>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</si>
  <si>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</si>
  <si>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</si>
  <si>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</si>
  <si>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</si>
  <si>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</si>
  <si>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</si>
  <si>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</si>
  <si>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</si>
  <si>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</si>
  <si>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</si>
  <si>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</si>
  <si>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</si>
  <si>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</si>
  <si>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</si>
  <si>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</si>
  <si>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</si>
  <si>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</si>
  <si>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</si>
  <si>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</si>
  <si>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</si>
  <si>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</si>
  <si>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</si>
  <si>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</si>
  <si>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</si>
  <si>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</si>
  <si>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</si>
  <si>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</si>
  <si>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</si>
  <si>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</si>
  <si>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</si>
  <si>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</si>
  <si>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</si>
  <si>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</si>
  <si>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</si>
  <si>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</si>
  <si>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</si>
  <si>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</si>
  <si>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</si>
  <si>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</si>
  <si>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</si>
  <si>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</si>
  <si>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</si>
  <si>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</si>
  <si>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</si>
  <si>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</si>
  <si>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</si>
  <si>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</si>
  <si>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</si>
  <si>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</si>
  <si>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</si>
  <si>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</si>
  <si>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</si>
  <si>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</si>
  <si>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</si>
  <si>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</si>
  <si>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</si>
  <si>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</si>
  <si>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</si>
  <si>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</si>
  <si>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</si>
  <si>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</si>
  <si>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</si>
  <si>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</si>
  <si>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</si>
  <si>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</si>
  <si>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</si>
  <si>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</si>
  <si>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</si>
  <si>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</si>
  <si>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</si>
  <si>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</si>
  <si>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</si>
  <si>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</si>
  <si>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</si>
  <si>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</si>
  <si>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</si>
  <si>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</si>
  <si>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</si>
  <si>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</si>
  <si>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</si>
  <si>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</si>
  <si>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</si>
  <si>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</si>
  <si>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</si>
  <si>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</si>
  <si>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</si>
  <si>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</si>
  <si>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</si>
  <si>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</si>
  <si>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</si>
  <si>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</si>
  <si>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</si>
  <si>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</si>
  <si>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</si>
  <si>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</si>
  <si>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</si>
  <si>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</si>
  <si>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</si>
  <si>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</si>
  <si>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</si>
  <si>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</si>
  <si>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</si>
  <si>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</si>
  <si>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</si>
  <si>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</si>
  <si>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</si>
  <si>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</si>
  <si>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</si>
  <si>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</si>
  <si>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</si>
  <si>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</si>
  <si>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</si>
  <si>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</si>
  <si>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</si>
  <si>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</si>
  <si>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</si>
  <si>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</si>
  <si>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</si>
  <si>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</si>
  <si>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</si>
  <si>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</si>
  <si>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</si>
  <si>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</si>
  <si>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</si>
  <si>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</si>
  <si>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</si>
  <si>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</si>
  <si>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</si>
  <si>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</si>
  <si>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</si>
  <si>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</si>
  <si>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</si>
  <si>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</si>
  <si>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</si>
  <si>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</si>
  <si>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</si>
  <si>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</si>
  <si>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</si>
  <si>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</si>
  <si>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</si>
  <si>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</si>
  <si>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</si>
  <si>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</si>
  <si>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</si>
  <si>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</si>
  <si>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</si>
  <si>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</si>
  <si>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</si>
  <si>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</si>
  <si>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</si>
  <si>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</si>
  <si>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</si>
  <si>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</si>
  <si>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</si>
  <si>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</si>
  <si>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</si>
  <si>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</si>
  <si>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</si>
  <si>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</si>
  <si>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</si>
  <si>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</si>
  <si>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</si>
  <si>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</si>
  <si>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</si>
  <si>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</si>
  <si>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</si>
  <si>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</si>
  <si>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</si>
  <si>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</si>
  <si>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</si>
  <si>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</si>
  <si>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</si>
  <si>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</si>
  <si>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</si>
  <si>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</si>
  <si>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</si>
  <si>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</si>
  <si>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</si>
  <si>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</si>
  <si>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</si>
  <si>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</si>
  <si>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</si>
  <si>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</si>
  <si>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</si>
  <si>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</si>
  <si>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</si>
  <si>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</si>
  <si>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</si>
  <si>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</si>
  <si>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</si>
  <si>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</si>
  <si>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</si>
  <si>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</si>
  <si>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</si>
  <si>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</si>
  <si>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</si>
  <si>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</si>
  <si>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</si>
  <si>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</si>
  <si>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</si>
  <si>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</si>
  <si>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</si>
  <si>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</si>
  <si>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</si>
  <si>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</si>
  <si>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</si>
  <si>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</si>
  <si>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</si>
  <si>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</si>
  <si>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</si>
  <si>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</si>
  <si>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</si>
  <si>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</si>
  <si>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</si>
  <si>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</si>
  <si>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</si>
  <si>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</si>
  <si>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</si>
  <si>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</si>
  <si>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</si>
  <si>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</si>
  <si>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</si>
  <si>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</si>
  <si>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</si>
  <si>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</si>
  <si>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</si>
  <si>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</si>
  <si>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</si>
  <si>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</si>
  <si>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</si>
  <si>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</si>
  <si>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</si>
  <si>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</si>
  <si>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</si>
  <si>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</si>
  <si>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</si>
  <si>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</si>
  <si>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</si>
  <si>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</si>
  <si>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</si>
  <si>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</si>
  <si>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</si>
  <si>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</si>
  <si>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</si>
  <si>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</si>
  <si>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</si>
  <si>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</si>
  <si>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</si>
  <si>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</si>
  <si>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</si>
  <si>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</si>
  <si>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</si>
  <si>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</si>
  <si>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</si>
  <si>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</si>
  <si>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</si>
  <si>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</si>
  <si>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</si>
  <si>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</si>
  <si>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</si>
  <si>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</si>
  <si>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</si>
  <si>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</si>
  <si>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</si>
  <si>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</si>
  <si>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</si>
  <si>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</si>
  <si>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</si>
  <si>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</si>
  <si>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</si>
  <si>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</si>
  <si>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</si>
  <si>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</si>
  <si>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</si>
  <si>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</si>
  <si>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</si>
  <si>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</si>
  <si>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</si>
  <si>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</si>
  <si>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</si>
  <si>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</si>
  <si>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</si>
  <si>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</si>
  <si>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</si>
  <si>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</si>
  <si>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</si>
  <si>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</si>
  <si>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</si>
  <si>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</si>
  <si>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</si>
  <si>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</si>
  <si>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</si>
  <si>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</si>
  <si>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</si>
  <si>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</si>
  <si>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</si>
  <si>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</si>
  <si>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</si>
  <si>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</si>
  <si>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</si>
  <si>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</si>
  <si>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</si>
  <si>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</si>
  <si>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</si>
  <si>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</si>
  <si>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</si>
  <si>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</si>
  <si>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</si>
  <si>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</si>
  <si>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</si>
  <si>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</si>
  <si>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</si>
  <si>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</si>
  <si>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</si>
  <si>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</si>
  <si>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</si>
  <si>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</si>
  <si>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</si>
  <si>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</si>
  <si>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</si>
  <si>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</si>
  <si>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</si>
  <si>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</si>
  <si>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</si>
  <si>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</si>
  <si>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</si>
  <si>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</si>
  <si>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</si>
  <si>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</si>
  <si>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</si>
  <si>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</si>
  <si>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</si>
  <si>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</si>
  <si>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</si>
  <si>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</si>
  <si>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</si>
  <si>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</si>
  <si>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</si>
  <si>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</si>
  <si>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</si>
  <si>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</si>
  <si>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</si>
  <si>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</si>
  <si>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</si>
  <si>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</si>
  <si>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</si>
  <si>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</si>
  <si>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</si>
  <si>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</si>
  <si>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</si>
  <si>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</si>
  <si>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</si>
  <si>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</si>
  <si>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</si>
  <si>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</si>
  <si>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</si>
  <si>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</si>
  <si>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</si>
  <si>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</si>
  <si>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</si>
  <si>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</si>
  <si>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</si>
  <si>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</si>
  <si>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</si>
  <si>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</si>
  <si>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</si>
  <si>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</si>
  <si>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</si>
  <si>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</si>
  <si>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</si>
  <si>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</si>
  <si>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</si>
  <si>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</si>
  <si>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</si>
  <si>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</si>
  <si>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</si>
  <si>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</si>
  <si>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</si>
  <si>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</si>
  <si>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</si>
  <si>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</si>
  <si>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</si>
  <si>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</si>
  <si>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</si>
  <si>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</si>
  <si>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</si>
  <si>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</si>
  <si>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</si>
  <si>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</si>
  <si>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</si>
  <si>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</si>
  <si>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</si>
  <si>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</si>
  <si>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</si>
  <si>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</si>
  <si>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</si>
  <si>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</si>
  <si>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</si>
  <si>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</si>
  <si>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</si>
  <si>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</si>
  <si>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</si>
  <si>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</si>
  <si>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</si>
  <si>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</si>
  <si>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</si>
  <si>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</si>
  <si>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</si>
  <si>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</si>
  <si>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</si>
  <si>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</si>
  <si>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</si>
  <si>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</si>
  <si>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</si>
  <si>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</si>
  <si>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</si>
  <si>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</si>
  <si>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</si>
  <si>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</si>
  <si>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</si>
  <si>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</si>
  <si>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</si>
  <si>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</si>
  <si>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</si>
  <si>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</si>
  <si>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</si>
  <si>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</si>
  <si>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</si>
  <si>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</si>
  <si>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</si>
  <si>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</si>
  <si>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</si>
  <si>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</si>
  <si>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</si>
  <si>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</si>
  <si>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</si>
  <si>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</si>
  <si>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</si>
  <si>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</si>
  <si>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</si>
  <si>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</si>
  <si>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</si>
  <si>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</si>
  <si>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</si>
  <si>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</si>
  <si>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</si>
  <si>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</si>
  <si>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</si>
  <si>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</si>
  <si>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</si>
  <si>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</si>
  <si>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</si>
  <si>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</si>
  <si>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</si>
  <si>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</si>
  <si>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</si>
  <si>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</si>
  <si>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</si>
  <si>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</si>
  <si>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</si>
  <si>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</si>
  <si>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</si>
  <si>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</si>
  <si>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</si>
  <si>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</si>
  <si>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</si>
  <si>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</si>
  <si>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</si>
  <si>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</si>
  <si>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</si>
  <si>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</si>
  <si>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</si>
  <si>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</si>
  <si>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</si>
  <si>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</si>
  <si>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</si>
  <si>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</si>
  <si>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</si>
  <si>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</si>
  <si>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</si>
  <si>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</si>
  <si>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</si>
  <si>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</si>
  <si>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</si>
  <si>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</si>
  <si>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</si>
  <si>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</si>
  <si>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</si>
  <si>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</si>
  <si>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</si>
  <si>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</si>
  <si>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</si>
  <si>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</si>
  <si>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</si>
  <si>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</si>
  <si>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</si>
  <si>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</si>
  <si>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</si>
  <si>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</si>
  <si>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</si>
  <si>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</si>
  <si>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</si>
  <si>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</si>
  <si>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</si>
  <si>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</si>
  <si>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</si>
  <si>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</si>
  <si>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</si>
  <si>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</si>
  <si>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</si>
  <si>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</si>
  <si>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</si>
  <si>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</si>
  <si>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</si>
  <si>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</si>
  <si>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</si>
  <si>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</si>
  <si>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</si>
  <si>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</si>
  <si>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</si>
  <si>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</si>
  <si>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</si>
  <si>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</si>
  <si>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</si>
  <si>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</si>
  <si>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</si>
  <si>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</si>
  <si>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</si>
  <si>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</si>
  <si>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</si>
  <si>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</si>
  <si>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</si>
  <si>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</si>
  <si>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</si>
  <si>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</si>
  <si>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</si>
  <si>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</si>
  <si>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</si>
  <si>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</si>
  <si>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</si>
  <si>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</si>
  <si>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</si>
  <si>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</si>
  <si>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</si>
  <si>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</si>
  <si>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</si>
  <si>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</si>
  <si>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</si>
  <si>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</si>
  <si>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</si>
  <si>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</si>
  <si>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</si>
  <si>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</si>
  <si>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</si>
  <si>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</si>
  <si>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</si>
  <si>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</si>
  <si>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</si>
  <si>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</si>
  <si>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</si>
  <si>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</si>
  <si>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</si>
  <si>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</si>
  <si>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</si>
  <si>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</si>
  <si>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</si>
  <si>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</si>
  <si>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</si>
  <si>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</si>
  <si>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</si>
  <si>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</si>
  <si>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</si>
  <si>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</si>
  <si>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</si>
  <si>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</si>
  <si>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</si>
  <si>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</si>
  <si>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</si>
  <si>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</si>
  <si>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</si>
  <si>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</si>
  <si>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</si>
  <si>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</si>
  <si>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</si>
  <si>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</si>
  <si>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</si>
  <si>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</si>
  <si>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</si>
  <si>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</si>
  <si>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</si>
  <si>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</si>
  <si>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</si>
  <si>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</si>
  <si>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</si>
  <si>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</si>
  <si>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</si>
  <si>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</si>
  <si>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</si>
  <si>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</si>
  <si>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</si>
  <si>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</si>
  <si>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</si>
  <si>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</si>
  <si>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</si>
  <si>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</si>
  <si>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</si>
  <si>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</si>
  <si>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</si>
  <si>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</si>
  <si>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</si>
  <si>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</si>
  <si>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</si>
  <si>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</si>
  <si>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</si>
  <si>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</si>
  <si>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</si>
  <si>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</si>
  <si>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</si>
  <si>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</si>
  <si>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</si>
  <si>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</si>
  <si>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</si>
  <si>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</si>
  <si>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</si>
  <si>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</si>
  <si>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</si>
  <si>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</si>
  <si>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</si>
  <si>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</si>
  <si>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</si>
  <si>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</si>
  <si>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</si>
  <si>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</si>
  <si>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</si>
  <si>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</si>
  <si>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</si>
  <si>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</si>
  <si>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</si>
  <si>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</si>
  <si>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</si>
  <si>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</si>
  <si>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</si>
  <si>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</si>
  <si>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</si>
  <si>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</si>
  <si>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</si>
  <si>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</si>
  <si>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</si>
  <si>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</si>
  <si>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</si>
  <si>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</si>
  <si>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</si>
  <si>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</si>
  <si>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</si>
  <si>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</si>
  <si>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</si>
  <si>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</si>
  <si>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</si>
  <si>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</si>
  <si>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</si>
  <si>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</si>
  <si>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</si>
  <si>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</si>
  <si>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</si>
  <si>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</si>
  <si>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</si>
  <si>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</si>
  <si>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</si>
  <si>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</si>
  <si>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</si>
  <si>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</si>
  <si>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</si>
  <si>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</si>
  <si>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</si>
  <si>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</si>
  <si>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</si>
  <si>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</si>
  <si>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</si>
  <si>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</si>
  <si>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</si>
  <si>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</si>
  <si>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</si>
  <si>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</si>
  <si>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</si>
  <si>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</si>
  <si>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</si>
  <si>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</si>
  <si>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</si>
  <si>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</si>
  <si>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</si>
  <si>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</si>
  <si>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</si>
  <si>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</si>
  <si>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</si>
  <si>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</si>
  <si>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</si>
  <si>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</si>
  <si>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</si>
  <si>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</si>
  <si>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</si>
  <si>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</si>
  <si>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</si>
  <si>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</si>
  <si>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</si>
  <si>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</si>
  <si>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</si>
  <si>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</si>
  <si>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</si>
  <si>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</si>
  <si>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</si>
  <si>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</si>
  <si>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</si>
  <si>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</si>
  <si>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</si>
  <si>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</si>
  <si>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</si>
  <si>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</si>
  <si>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</si>
  <si>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</si>
  <si>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</si>
  <si>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</si>
  <si>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</si>
  <si>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</si>
  <si>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</si>
  <si>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</si>
  <si>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</si>
  <si>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</si>
  <si>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</si>
  <si>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</si>
  <si>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</si>
  <si>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</si>
  <si>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</si>
  <si>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</si>
  <si>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</si>
  <si>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</si>
  <si>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</si>
  <si>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</si>
  <si>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</si>
  <si>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</si>
  <si>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</si>
  <si>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</si>
  <si>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</si>
  <si>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</si>
  <si>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</si>
  <si>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</si>
  <si>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</si>
  <si>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</si>
  <si>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</si>
  <si>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</si>
  <si>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</si>
  <si>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</si>
  <si>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</si>
  <si>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</si>
  <si>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</si>
  <si>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</si>
  <si>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</si>
  <si>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</si>
  <si>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</si>
  <si>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</si>
  <si>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</si>
  <si>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</si>
  <si>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</si>
  <si>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</si>
  <si>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</si>
  <si>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</si>
  <si>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</si>
  <si>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</si>
  <si>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</si>
  <si>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</si>
  <si>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</si>
  <si>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</si>
  <si>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</si>
  <si>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</si>
  <si>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</si>
  <si>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</si>
  <si>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</si>
  <si>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</si>
  <si>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</si>
  <si>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</si>
  <si>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</si>
  <si>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</si>
  <si>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</si>
  <si>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</si>
  <si>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</si>
  <si>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</si>
  <si>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</si>
  <si>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</si>
  <si>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</si>
  <si>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</si>
  <si>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</si>
  <si>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</si>
  <si>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</si>
  <si>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</si>
  <si>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</si>
  <si>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</si>
  <si>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</si>
  <si>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</si>
  <si>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</si>
  <si>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</si>
  <si>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</si>
  <si>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</si>
  <si>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</si>
  <si>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</si>
  <si>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</si>
  <si>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</si>
  <si>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</si>
  <si>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</si>
  <si>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</si>
  <si>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</si>
  <si>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</si>
  <si>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</si>
  <si>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</si>
  <si>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</si>
  <si>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</si>
  <si>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</si>
  <si>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</si>
  <si>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</si>
  <si>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</si>
  <si>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</si>
  <si>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</si>
  <si>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</si>
  <si>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</si>
  <si>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</si>
  <si>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</si>
  <si>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</si>
  <si>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</si>
  <si>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</si>
  <si>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</si>
  <si>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</si>
  <si>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</si>
  <si>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</si>
  <si>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</si>
  <si>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</si>
  <si>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</si>
  <si>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</si>
  <si>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</si>
  <si>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</si>
  <si>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</si>
  <si>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</si>
  <si>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</si>
  <si>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</si>
  <si>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</si>
  <si>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</si>
  <si>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</si>
  <si>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</si>
  <si>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</si>
  <si>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</si>
  <si>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</si>
  <si>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</si>
  <si>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</si>
  <si>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</si>
  <si>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</si>
  <si>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</si>
  <si>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</si>
  <si>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</si>
  <si>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</si>
  <si>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</si>
  <si>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</si>
  <si>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</si>
  <si>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</si>
  <si>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</si>
  <si>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</si>
  <si>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</si>
  <si>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</si>
  <si>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</si>
  <si>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</si>
  <si>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</si>
  <si>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</si>
  <si>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</si>
  <si>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</si>
  <si>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</si>
  <si>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</si>
  <si>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</si>
  <si>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</si>
  <si>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</si>
  <si>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</si>
  <si>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</si>
  <si>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</si>
  <si>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</si>
  <si>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</si>
  <si>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</si>
  <si>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</si>
  <si>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</si>
  <si>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</si>
  <si>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</si>
  <si>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</si>
  <si>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</si>
  <si>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</si>
  <si>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</si>
  <si>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</si>
  <si>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</si>
  <si>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</si>
  <si>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</si>
  <si>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</si>
  <si>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</si>
  <si>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</si>
  <si>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</si>
  <si>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</si>
  <si>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</si>
  <si>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</si>
  <si>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</si>
  <si>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</si>
  <si>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</si>
  <si>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</si>
  <si>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</si>
  <si>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</si>
  <si>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</si>
  <si>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</si>
  <si>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</si>
  <si>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</si>
  <si>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</si>
  <si>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</si>
  <si>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</si>
  <si>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</si>
  <si>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</si>
  <si>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</si>
  <si>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</si>
  <si>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</si>
  <si>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</si>
  <si>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</si>
  <si>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</si>
  <si>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</si>
  <si>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</si>
  <si>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</si>
  <si>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</si>
  <si>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</si>
  <si>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</si>
  <si>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</si>
  <si>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</si>
  <si>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</si>
  <si>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</si>
  <si>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</si>
  <si>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</si>
  <si>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</si>
  <si>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</si>
  <si>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</si>
  <si>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</si>
  <si>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</si>
  <si>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</si>
  <si>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</si>
  <si>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</si>
  <si>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</si>
  <si>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</si>
  <si>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</si>
  <si>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</si>
  <si>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</si>
  <si>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</si>
  <si>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</si>
  <si>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</si>
  <si>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</si>
  <si>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</si>
  <si>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</si>
  <si>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</si>
  <si>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</si>
  <si>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</si>
  <si>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</si>
  <si>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</si>
  <si>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</si>
  <si>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</si>
  <si>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</si>
  <si>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</si>
  <si>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</si>
  <si>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</si>
  <si>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</si>
  <si>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</si>
  <si>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</si>
  <si>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</si>
  <si>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</si>
  <si>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</si>
  <si>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</si>
  <si>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</si>
  <si>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</si>
  <si>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</si>
  <si>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</si>
  <si>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</si>
  <si>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</si>
  <si>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</si>
  <si>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</si>
  <si>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</si>
  <si>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</si>
  <si>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</si>
  <si>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</si>
  <si>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</si>
  <si>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</si>
  <si>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</si>
  <si>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</si>
  <si>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</si>
  <si>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</si>
  <si>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</si>
  <si>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</si>
  <si>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</si>
  <si>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</si>
  <si>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</si>
  <si>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</si>
  <si>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</si>
  <si>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</si>
  <si>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</si>
  <si>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</si>
  <si>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</si>
  <si>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</si>
  <si>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</si>
  <si>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</si>
  <si>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</si>
  <si>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</si>
  <si>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</si>
  <si>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</si>
  <si>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</si>
  <si>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</si>
  <si>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</si>
  <si>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</si>
  <si>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</si>
  <si>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</si>
  <si>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</si>
  <si>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</si>
  <si>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</si>
  <si>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</si>
  <si>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</si>
  <si>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</si>
  <si>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</si>
  <si>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</si>
  <si>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</si>
  <si>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</si>
  <si>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</si>
  <si>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</si>
  <si>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</si>
  <si>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</si>
  <si>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</si>
  <si>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</si>
  <si>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</si>
  <si>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</si>
  <si>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</si>
  <si>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</si>
  <si>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</si>
  <si>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</si>
  <si>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</si>
  <si>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</si>
  <si>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</si>
  <si>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</si>
  <si>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</si>
  <si>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</si>
  <si>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</si>
  <si>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</si>
  <si>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</si>
  <si>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</si>
  <si>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</si>
  <si>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</si>
  <si>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</si>
  <si>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</si>
  <si>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</si>
  <si>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</si>
  <si>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</si>
  <si>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</si>
  <si>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</si>
  <si>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</si>
  <si>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</si>
  <si>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</si>
  <si>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</si>
  <si>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</si>
  <si>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</si>
  <si>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</si>
  <si>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</si>
  <si>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</si>
  <si>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</si>
  <si>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</si>
  <si>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</si>
  <si>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</si>
  <si>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</si>
  <si>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</si>
  <si>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</si>
  <si>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</si>
  <si>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</si>
  <si>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</si>
  <si>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</si>
  <si>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</si>
  <si>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</si>
  <si>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</si>
  <si>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</si>
  <si>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</si>
  <si>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</si>
  <si>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</si>
  <si>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</si>
  <si>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</si>
  <si>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</si>
  <si>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</si>
  <si>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</si>
  <si>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</si>
  <si>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</si>
  <si>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</si>
  <si>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</si>
  <si>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</si>
  <si>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</si>
  <si>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</si>
  <si>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</si>
  <si>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</si>
  <si>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</si>
  <si>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</si>
  <si>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</si>
  <si>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</si>
  <si>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</si>
  <si>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</si>
  <si>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</si>
  <si>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</si>
  <si>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</si>
  <si>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</si>
  <si>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</si>
  <si>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</si>
  <si>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</si>
  <si>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</si>
  <si>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</si>
  <si>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</si>
  <si>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</si>
  <si>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</si>
  <si>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</si>
  <si>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</si>
  <si>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</si>
  <si>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</si>
  <si>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</si>
  <si>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</si>
  <si>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</si>
  <si>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</si>
  <si>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</si>
  <si>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</si>
  <si>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</si>
  <si>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</si>
  <si>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</si>
  <si>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</si>
  <si>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</si>
  <si>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</si>
  <si>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</si>
  <si>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</si>
  <si>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</si>
  <si>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</si>
  <si>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</si>
  <si>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</si>
  <si>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</si>
  <si>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</si>
  <si>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</si>
  <si>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</si>
  <si>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</si>
  <si>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</si>
  <si>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</si>
  <si>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</si>
  <si>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</si>
  <si>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</si>
  <si>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</si>
  <si>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</si>
  <si>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</si>
  <si>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</si>
  <si>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</si>
  <si>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</si>
  <si>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</si>
  <si>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</si>
  <si>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</si>
  <si>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</si>
  <si>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</si>
  <si>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</si>
  <si>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</si>
  <si>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</si>
  <si>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</si>
  <si>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</si>
  <si>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</si>
  <si>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</si>
  <si>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</si>
  <si>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</si>
  <si>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</si>
  <si>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</si>
  <si>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</si>
  <si>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</si>
  <si>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</si>
  <si>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</si>
  <si>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</si>
  <si>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</si>
  <si>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</si>
  <si>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</si>
  <si>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</si>
  <si>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</si>
  <si>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</si>
  <si>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</si>
  <si>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</si>
  <si>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</si>
  <si>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</si>
  <si>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</si>
  <si>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</si>
  <si>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</si>
  <si>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</si>
  <si>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</si>
  <si>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</si>
  <si>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</si>
  <si>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</si>
  <si>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</si>
  <si>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</si>
  <si>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</si>
  <si>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</si>
  <si>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</si>
  <si>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</si>
  <si>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</si>
  <si>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</si>
  <si>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</si>
  <si>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</si>
  <si>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</si>
  <si>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</si>
  <si>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</si>
  <si>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</si>
  <si>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</si>
  <si>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</si>
  <si>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</si>
  <si>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</si>
  <si>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</si>
  <si>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</si>
  <si>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</si>
  <si>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</si>
  <si>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</si>
  <si>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</si>
  <si>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</si>
  <si>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</si>
  <si>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</si>
  <si>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</si>
  <si>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</si>
  <si>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</si>
  <si>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</si>
  <si>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</si>
  <si>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</si>
  <si>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</si>
  <si>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</si>
  <si>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</si>
  <si>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</si>
  <si>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</si>
  <si>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</si>
  <si>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</si>
  <si>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</si>
  <si>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</si>
  <si>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</si>
  <si>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</si>
  <si>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</si>
  <si>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</si>
  <si>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</si>
  <si>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</si>
  <si>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</si>
  <si>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</si>
  <si>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</si>
  <si>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</si>
  <si>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</si>
  <si>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</si>
  <si>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</si>
  <si>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</si>
  <si>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</si>
  <si>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</si>
  <si>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</si>
  <si>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</si>
  <si>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</si>
  <si>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</si>
  <si>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</si>
  <si>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</si>
  <si>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</si>
  <si>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</si>
  <si>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</si>
  <si>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</si>
  <si>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</si>
  <si>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</si>
  <si>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</si>
  <si>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</si>
  <si>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</si>
  <si>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</si>
  <si>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</si>
  <si>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</si>
  <si>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</si>
  <si>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</si>
  <si>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</si>
  <si>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</si>
  <si>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</si>
  <si>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</si>
  <si>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</si>
  <si>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</si>
  <si>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</si>
  <si>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</si>
  <si>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</si>
  <si>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</si>
  <si>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</si>
  <si>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</si>
  <si>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</si>
  <si>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</si>
  <si>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</si>
  <si>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</si>
  <si>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</si>
  <si>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</si>
  <si>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</si>
  <si>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</si>
  <si>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</si>
  <si>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</si>
  <si>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</si>
  <si>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</si>
  <si>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</si>
  <si>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</si>
  <si>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</si>
  <si>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</si>
  <si>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</si>
  <si>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</si>
  <si>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</si>
  <si>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</si>
  <si>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</si>
  <si>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</si>
  <si>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</si>
  <si>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</si>
  <si>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</si>
  <si>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</si>
  <si>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</si>
  <si>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</si>
  <si>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</si>
  <si>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</si>
  <si>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</si>
  <si>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</si>
  <si>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</si>
  <si>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</si>
  <si>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</si>
  <si>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</si>
  <si>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</si>
  <si>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</si>
  <si>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</si>
  <si>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</si>
  <si>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</si>
  <si>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</si>
  <si>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</si>
  <si>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</si>
  <si>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</si>
  <si>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</si>
  <si>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</si>
  <si>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</si>
  <si>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</si>
  <si>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</si>
  <si>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</si>
  <si>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</si>
  <si>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</si>
  <si>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</si>
  <si>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</si>
  <si>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</si>
  <si>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</si>
  <si>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</si>
  <si>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</si>
  <si>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</si>
  <si>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</si>
  <si>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</si>
  <si>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</si>
  <si>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</si>
  <si>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</si>
  <si>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</si>
  <si>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</si>
  <si>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</si>
  <si>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</si>
  <si>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</si>
  <si>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</si>
  <si>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</si>
  <si>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</si>
  <si>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</si>
  <si>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</si>
  <si>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</si>
  <si>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</si>
  <si>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</si>
  <si>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</si>
  <si>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</si>
  <si>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</si>
  <si>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</si>
  <si>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</si>
  <si>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</si>
  <si>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</si>
  <si>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</si>
  <si>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</si>
  <si>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</si>
  <si>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</si>
  <si>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</si>
  <si>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</si>
  <si>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</si>
  <si>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</si>
  <si>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</si>
  <si>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</si>
  <si>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</si>
  <si>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</si>
  <si>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</si>
  <si>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</si>
  <si>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</si>
  <si>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</si>
  <si>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</si>
  <si>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</si>
  <si>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</si>
  <si>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</si>
  <si>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</si>
  <si>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</si>
  <si>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</si>
  <si>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</si>
  <si>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</si>
  <si>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</si>
  <si>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</si>
  <si>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</si>
  <si>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</si>
  <si>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</si>
  <si>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</si>
  <si>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</si>
  <si>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</si>
  <si>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</si>
  <si>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</si>
  <si>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</si>
  <si>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</si>
  <si>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</si>
  <si>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</si>
  <si>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</si>
  <si>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</si>
  <si>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</si>
  <si>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</si>
  <si>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</si>
  <si>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</si>
  <si>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</si>
  <si>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</si>
  <si>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</si>
  <si>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</si>
  <si>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</si>
  <si>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</si>
  <si>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</si>
  <si>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</si>
  <si>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</si>
  <si>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</si>
  <si>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</si>
  <si>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</si>
  <si>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</si>
  <si>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</si>
  <si>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</si>
  <si>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</si>
  <si>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</si>
  <si>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</si>
  <si>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</si>
  <si>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</si>
  <si>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</si>
  <si>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</si>
  <si>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</si>
  <si>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</si>
  <si>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</si>
  <si>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</si>
  <si>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</si>
  <si>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</si>
  <si>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</si>
  <si>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</si>
  <si>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</si>
  <si>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</si>
  <si>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</si>
  <si>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</si>
  <si>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</si>
  <si>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</si>
  <si>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</si>
  <si>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</si>
  <si>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</si>
  <si>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</si>
  <si>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</si>
  <si>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</si>
  <si>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</si>
  <si>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</si>
  <si>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</si>
  <si>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</si>
  <si>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</si>
  <si>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</si>
  <si>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</si>
  <si>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</si>
  <si>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</si>
  <si>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</si>
  <si>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</si>
  <si>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</si>
  <si>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</si>
  <si>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</si>
  <si>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</si>
  <si>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</si>
  <si>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</si>
  <si>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</si>
  <si>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</si>
  <si>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</si>
  <si>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</si>
  <si>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</si>
  <si>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</si>
  <si>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</si>
  <si>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</si>
  <si>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</si>
  <si>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</si>
  <si>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</si>
  <si>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</si>
  <si>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</si>
  <si>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</si>
  <si>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</si>
  <si>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</si>
  <si>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</si>
  <si>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</si>
  <si>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</si>
  <si>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</si>
  <si>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</si>
  <si>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</si>
  <si>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</si>
  <si>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</si>
  <si>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</si>
  <si>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</si>
  <si>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</si>
  <si>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</si>
  <si>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</si>
  <si>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</si>
  <si>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</si>
  <si>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</si>
  <si>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</si>
  <si>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</si>
  <si>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</si>
  <si>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</si>
  <si>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</si>
  <si>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</si>
  <si>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</si>
  <si>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</si>
  <si>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</si>
  <si>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</si>
  <si>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</si>
  <si>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</si>
  <si>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</si>
  <si>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</si>
  <si>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</si>
  <si>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</si>
  <si>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</si>
  <si>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</si>
  <si>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</si>
  <si>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</si>
  <si>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</si>
  <si>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</si>
  <si>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</si>
  <si>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</si>
  <si>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</si>
  <si>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</si>
  <si>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</si>
  <si>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</si>
  <si>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</si>
  <si>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</si>
  <si>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</si>
  <si>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</si>
  <si>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</si>
  <si>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</si>
  <si>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</si>
  <si>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</si>
  <si>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</si>
  <si>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</si>
  <si>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</si>
  <si>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</si>
  <si>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</si>
  <si>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</si>
  <si>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</si>
  <si>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</si>
  <si>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</si>
  <si>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</si>
  <si>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</si>
  <si>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</si>
  <si>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</si>
  <si>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</si>
  <si>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</si>
  <si>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</si>
  <si>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</si>
  <si>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</si>
  <si>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</si>
  <si>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</si>
  <si>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</si>
  <si>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</si>
  <si>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</si>
  <si>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</si>
  <si>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</si>
  <si>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</si>
  <si>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</si>
  <si>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</si>
  <si>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</si>
  <si>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</si>
  <si>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</si>
  <si>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</si>
  <si>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</si>
  <si>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</si>
  <si>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</si>
  <si>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</si>
  <si>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</si>
  <si>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</si>
  <si>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</si>
  <si>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</si>
  <si>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</si>
  <si>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</si>
  <si>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</si>
  <si>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</si>
  <si>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</si>
  <si>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</si>
  <si>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</si>
  <si>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</si>
  <si>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</si>
  <si>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</si>
  <si>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</si>
  <si>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</si>
  <si>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</si>
  <si>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</si>
  <si>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</si>
  <si>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</si>
  <si>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</si>
  <si>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</si>
  <si>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</si>
  <si>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</si>
  <si>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</si>
  <si>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</si>
  <si>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</si>
  <si>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</si>
  <si>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</si>
  <si>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</si>
  <si>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</si>
  <si>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</si>
  <si>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</si>
  <si>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</si>
  <si>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</si>
  <si>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</si>
  <si>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</si>
  <si>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</si>
  <si>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</si>
  <si>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</si>
  <si>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</si>
  <si>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</si>
  <si>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</si>
  <si>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</si>
  <si>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</si>
  <si>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</si>
  <si>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</si>
  <si>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</si>
  <si>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</si>
  <si>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</si>
  <si>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</si>
  <si>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</si>
  <si>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</si>
  <si>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</si>
  <si>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</si>
  <si>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</si>
  <si>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</si>
  <si>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</si>
  <si>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</si>
  <si>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</si>
  <si>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</si>
  <si>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</si>
  <si>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</si>
  <si>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</si>
  <si>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</si>
  <si>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</si>
  <si>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</si>
  <si>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</si>
  <si>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</si>
  <si>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</si>
  <si>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</si>
  <si>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</si>
  <si>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</si>
  <si>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</si>
  <si>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</si>
  <si>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</si>
  <si>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</si>
  <si>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</si>
  <si>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</si>
  <si>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</si>
  <si>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</si>
  <si>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</si>
  <si>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</si>
  <si>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</si>
  <si>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</si>
  <si>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</si>
  <si>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</si>
  <si>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</si>
  <si>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</si>
  <si>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</si>
  <si>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</si>
  <si>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</si>
  <si>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</si>
  <si>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</si>
  <si>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</si>
  <si>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</si>
  <si>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</si>
  <si>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</si>
  <si>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</si>
  <si>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</si>
  <si>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</si>
  <si>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</si>
  <si>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</si>
  <si>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</si>
  <si>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</si>
  <si>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</si>
  <si>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</si>
  <si>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</si>
  <si>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</si>
  <si>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</si>
  <si>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</si>
  <si>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</si>
  <si>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</si>
  <si>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</si>
  <si>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</si>
  <si>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</si>
  <si>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</si>
  <si>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</si>
  <si>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</si>
  <si>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</si>
  <si>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</si>
  <si>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</si>
  <si>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</si>
  <si>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</si>
  <si>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</si>
  <si>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</si>
  <si>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</si>
  <si>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</si>
  <si>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</si>
  <si>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</si>
  <si>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</si>
  <si>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</si>
  <si>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</si>
  <si>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</si>
  <si>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</si>
  <si>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</si>
  <si>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</si>
  <si>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</si>
  <si>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</si>
  <si>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</si>
  <si>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</si>
  <si>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</si>
  <si>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</si>
  <si>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</si>
  <si>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</si>
  <si>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</si>
  <si>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</si>
  <si>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</si>
  <si>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</si>
  <si>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</si>
  <si>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</si>
  <si>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</si>
  <si>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</si>
  <si>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</si>
  <si>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</si>
  <si>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</si>
  <si>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</si>
  <si>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</si>
  <si>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</si>
  <si>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</si>
  <si>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</si>
  <si>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</si>
  <si>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</si>
  <si>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</si>
  <si>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</si>
  <si>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</si>
  <si>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</si>
  <si>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</si>
  <si>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</si>
  <si>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</si>
  <si>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</si>
  <si>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</si>
  <si>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</si>
  <si>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</si>
  <si>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</si>
  <si>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</si>
  <si>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</si>
  <si>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</si>
  <si>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</si>
  <si>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</si>
  <si>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</si>
  <si>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</si>
  <si>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</si>
  <si>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</si>
  <si>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</si>
  <si>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</si>
  <si>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</si>
  <si>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</si>
  <si>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</si>
  <si>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</si>
  <si>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</si>
  <si>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</si>
  <si>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</si>
  <si>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</si>
  <si>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</si>
  <si>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</si>
  <si>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</si>
  <si>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</si>
  <si>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</si>
  <si>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</si>
  <si>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</si>
  <si>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</si>
  <si>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</si>
  <si>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</si>
  <si>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</si>
  <si>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</si>
  <si>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</si>
  <si>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</si>
  <si>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</si>
  <si>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</si>
  <si>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</si>
  <si>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</si>
  <si>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</si>
  <si>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</si>
  <si>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</si>
  <si>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</si>
  <si>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</si>
  <si>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</si>
  <si>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</si>
  <si>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</si>
  <si>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</si>
  <si>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</si>
  <si>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</si>
  <si>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</si>
  <si>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</si>
  <si>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</si>
  <si>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</si>
  <si>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</si>
  <si>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</si>
  <si>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</si>
  <si>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</si>
  <si>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</si>
  <si>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</si>
  <si>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</si>
  <si>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</si>
  <si>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</si>
  <si>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</si>
  <si>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</si>
  <si>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</si>
  <si>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</si>
  <si>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</si>
  <si>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</si>
  <si>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</si>
  <si>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</si>
  <si>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</si>
  <si>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</si>
  <si>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</si>
  <si>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</si>
  <si>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</si>
  <si>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</si>
  <si>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</si>
  <si>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</si>
  <si>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</si>
  <si>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</si>
  <si>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</si>
  <si>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</si>
  <si>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</si>
  <si>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</si>
  <si>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</si>
  <si>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</si>
  <si>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</si>
  <si>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</si>
  <si>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</si>
  <si>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</si>
  <si>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</si>
  <si>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</si>
  <si>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</si>
  <si>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</si>
  <si>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</si>
  <si>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</si>
  <si>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</si>
  <si>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</si>
  <si>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</si>
  <si>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</si>
  <si>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</si>
  <si>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</si>
  <si>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</si>
  <si>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</si>
  <si>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</si>
  <si>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</si>
  <si>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</si>
  <si>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</si>
  <si>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</si>
  <si>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</si>
  <si>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</si>
  <si>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</si>
  <si>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</si>
  <si>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</si>
  <si>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</si>
  <si>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</si>
  <si>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</si>
  <si>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</si>
  <si>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</si>
  <si>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</si>
  <si>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</si>
  <si>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</si>
  <si>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</si>
  <si>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</si>
  <si>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</si>
  <si>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</si>
  <si>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</si>
  <si>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</si>
  <si>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</si>
  <si>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</si>
  <si>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</si>
  <si>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</si>
  <si>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</si>
  <si>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</si>
  <si>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</si>
  <si>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</si>
  <si>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</si>
  <si>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</si>
  <si>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</si>
  <si>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</si>
  <si>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</si>
  <si>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</si>
  <si>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</si>
  <si>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</si>
  <si>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</si>
  <si>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</si>
  <si>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</si>
  <si>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</si>
  <si>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</si>
  <si>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</si>
  <si>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</si>
  <si>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</si>
  <si>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</si>
  <si>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</si>
  <si>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</si>
  <si>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</si>
  <si>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</si>
  <si>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</si>
  <si>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</si>
  <si>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</si>
  <si>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</si>
  <si>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</si>
  <si>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</si>
  <si>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</si>
  <si>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</si>
  <si>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</si>
  <si>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</si>
  <si>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</si>
  <si>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</si>
  <si>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</si>
  <si>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</si>
  <si>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</si>
  <si>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</si>
  <si>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</si>
  <si>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</si>
  <si>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</si>
  <si>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</si>
  <si>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</si>
  <si>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</si>
  <si>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</si>
  <si>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</si>
  <si>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</si>
  <si>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</si>
  <si>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</si>
  <si>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</si>
  <si>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</si>
  <si>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</si>
  <si>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</si>
  <si>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</si>
  <si>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</si>
  <si>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</si>
  <si>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</si>
  <si>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</si>
  <si>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</si>
  <si>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</si>
  <si>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</si>
  <si>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</si>
  <si>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</si>
  <si>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</si>
  <si>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</si>
  <si>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</si>
  <si>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</si>
  <si>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</si>
  <si>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</si>
  <si>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</si>
  <si>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</si>
  <si>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</si>
  <si>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</si>
  <si>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</si>
  <si>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</si>
  <si>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</si>
  <si>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</si>
  <si>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</si>
  <si>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</si>
  <si>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</si>
  <si>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</si>
  <si>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</si>
  <si>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</si>
  <si>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</si>
  <si>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</si>
  <si>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</si>
  <si>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</si>
  <si>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</si>
  <si>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</si>
  <si>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</si>
  <si>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</si>
  <si>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</si>
  <si>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</si>
  <si>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</si>
  <si>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</si>
  <si>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</si>
  <si>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</si>
  <si>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</si>
  <si>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</si>
  <si>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</si>
  <si>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</si>
  <si>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</si>
  <si>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</si>
  <si>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</si>
  <si>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</si>
  <si>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</si>
  <si>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</si>
  <si>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</si>
  <si>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</si>
  <si>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</si>
  <si>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</si>
  <si>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</si>
  <si>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</si>
  <si>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</si>
  <si>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</si>
  <si>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</si>
  <si>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</si>
  <si>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</si>
  <si>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</si>
  <si>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</si>
  <si>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</si>
  <si>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</si>
  <si>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</si>
  <si>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</si>
  <si>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</si>
  <si>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</si>
  <si>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</si>
  <si>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</si>
  <si>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</si>
  <si>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</si>
  <si>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</si>
  <si>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</si>
  <si>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</si>
  <si>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</si>
  <si>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</si>
  <si>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</si>
  <si>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</si>
  <si>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</si>
  <si>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</si>
  <si>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</si>
  <si>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</si>
  <si>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</si>
  <si>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</si>
  <si>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</si>
  <si>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</si>
  <si>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</si>
  <si>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</si>
  <si>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</si>
  <si>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</si>
  <si>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</si>
  <si>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</si>
  <si>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</si>
  <si>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</si>
  <si>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</si>
  <si>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</si>
  <si>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</si>
  <si>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</si>
  <si>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</si>
  <si>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</si>
  <si>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</si>
  <si>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</si>
  <si>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</si>
  <si>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</si>
  <si>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</si>
  <si>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</si>
  <si>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</si>
  <si>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</si>
  <si>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</si>
  <si>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</si>
  <si>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</si>
  <si>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</si>
  <si>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</si>
  <si>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</si>
  <si>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</si>
  <si>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</si>
  <si>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</si>
  <si>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</si>
  <si>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</si>
  <si>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</si>
  <si>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</si>
  <si>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</si>
  <si>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</si>
  <si>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</si>
  <si>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</si>
  <si>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</si>
  <si>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</si>
  <si>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</si>
  <si>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</si>
  <si>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</si>
  <si>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</si>
  <si>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</si>
  <si>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</si>
  <si>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</si>
  <si>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</si>
  <si>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</si>
  <si>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</si>
  <si>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</si>
  <si>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</si>
  <si>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</si>
  <si>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</si>
  <si>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</si>
  <si>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</si>
  <si>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</si>
  <si>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</si>
  <si>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</si>
  <si>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</si>
  <si>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</si>
  <si>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</si>
  <si>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</si>
  <si>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</si>
  <si>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</si>
  <si>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</si>
  <si>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</si>
  <si>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</si>
  <si>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</si>
  <si>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</si>
  <si>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</si>
  <si>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</si>
  <si>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</si>
  <si>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</si>
  <si>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</si>
  <si>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</si>
  <si>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</si>
  <si>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</si>
  <si>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</si>
  <si>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</si>
  <si>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</si>
  <si>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</si>
  <si>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</si>
  <si>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</si>
  <si>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</si>
  <si>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</si>
  <si>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</si>
  <si>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</si>
  <si>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</si>
  <si>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</si>
  <si>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</si>
  <si>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</si>
  <si>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</si>
  <si>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</si>
  <si>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</si>
  <si>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</si>
  <si>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</si>
  <si>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</si>
  <si>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</si>
  <si>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</si>
  <si>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</si>
  <si>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</si>
  <si>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</si>
  <si>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</si>
  <si>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</si>
  <si>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</si>
  <si>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</si>
  <si>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</si>
  <si>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</si>
  <si>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</si>
  <si>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</si>
  <si>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</si>
  <si>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</si>
  <si>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</si>
  <si>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</si>
  <si>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</si>
  <si>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</si>
  <si>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</si>
  <si>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</si>
  <si>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</si>
  <si>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</si>
  <si>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</si>
  <si>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</si>
  <si>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</si>
  <si>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</si>
  <si>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</si>
  <si>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</si>
  <si>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</si>
  <si>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</si>
  <si>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</si>
  <si>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</si>
  <si>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</si>
  <si>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</si>
  <si>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</si>
  <si>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</si>
  <si>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</si>
  <si>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</si>
  <si>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</si>
  <si>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</si>
  <si>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</si>
  <si>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</si>
  <si>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</si>
  <si>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</si>
  <si>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</si>
  <si>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</si>
  <si>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</si>
  <si>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</si>
  <si>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</si>
  <si>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</si>
  <si>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</si>
  <si>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</si>
  <si>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</si>
  <si>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</si>
  <si>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</si>
  <si>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</si>
  <si>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</si>
  <si>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</si>
  <si>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</si>
  <si>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</si>
  <si>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</si>
  <si>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</si>
  <si>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</si>
  <si>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</si>
  <si>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</si>
  <si>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</si>
  <si>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</si>
  <si>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</si>
  <si>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</si>
  <si>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</si>
  <si>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</si>
  <si>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</si>
  <si>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</si>
  <si>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</si>
  <si>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</si>
  <si>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</si>
  <si>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</si>
  <si>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</si>
  <si>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</si>
  <si>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</si>
  <si>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</si>
  <si>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</si>
  <si>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</si>
  <si>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</si>
  <si>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</si>
  <si>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</si>
  <si>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</si>
  <si>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</si>
  <si>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</si>
  <si>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</si>
  <si>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</si>
  <si>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</si>
  <si>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</si>
  <si>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</si>
  <si>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</si>
  <si>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</si>
  <si>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</si>
  <si>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</si>
  <si>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</si>
  <si>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</si>
  <si>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</si>
  <si>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</si>
  <si>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</si>
  <si>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</si>
  <si>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</si>
  <si>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</si>
  <si>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</si>
  <si>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</si>
  <si>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</si>
  <si>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</si>
  <si>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</si>
  <si>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</si>
  <si>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</si>
  <si>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</si>
  <si>
    <t>9级</t>
    <phoneticPr fontId="134" type="noConversion"/>
  </si>
  <si>
    <t>7级</t>
    <phoneticPr fontId="134" type="noConversion"/>
  </si>
  <si>
    <t>建安</t>
    <phoneticPr fontId="134" type="noConversion"/>
  </si>
  <si>
    <t>幢号</t>
  </si>
  <si>
    <t>1幢</t>
  </si>
  <si>
    <t>建安</t>
  </si>
  <si>
    <t>总价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</si>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</sst>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9" fontId="47" fillId="22" borderId="5" xfId="0" applyNumberFormat="1" applyFont="1" applyFill="1" applyBorder="1" applyAlignment="1" applyProtection="1">
      <alignment horizontal="center" vertical="center"/>
      <protection locked="0"/>
    </xf>
    <xf numFmtId="0" fontId="44" fillId="22" borderId="3" xfId="0" applyFont="1" applyFill="1" applyBorder="1" applyProtection="1">
      <alignment vertical="center"/>
      <protection locked="0"/>
    </xf>
    <xf numFmtId="0" fontId="107" fillId="22" borderId="0" xfId="0" applyFont="1" applyFill="1" applyAlignment="1">
      <alignment horizontal="left" vertical="center"/>
    </xf>
    <xf numFmtId="0" fontId="54" fillId="22" borderId="24" xfId="0" applyFont="1" applyFill="1" applyBorder="1" applyAlignment="1" applyProtection="1">
      <alignment horizontal="center" vertical="center"/>
      <protection locked="0"/>
    </xf>
    <xf numFmtId="0" fontId="95" fillId="0" borderId="1" xfId="10" applyBorder="1">
      <alignment vertical="center"/>
    </xf>
    <xf numFmtId="180" fontId="47" fillId="18"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ccd9767f-cc1e-40ea-b667-70a8a2bae556\&#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2378</v>
      </c>
    </row>
    <row r="21" spans="1:2">
      <c r="A21" s="1118" t="s">
        <v>537</v>
      </c>
      <c r="B21" s="1119">
        <f ca="1">'预评函-2'!D7</f>
        <v>9983</v>
      </c>
    </row>
    <row r="22" spans="1:2">
      <c r="A22" s="1118" t="s">
        <v>538</v>
      </c>
      <c r="B22" s="1119" t="str">
        <f ca="1">'预评函-2'!D6</f>
        <v>贰仟叁佰柒拾捌万元整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2378</v>
      </c>
    </row>
    <row r="31" spans="1:2">
      <c r="A31" s="1118" t="s">
        <v>576</v>
      </c>
      <c r="B31" s="1119">
        <f ca="1">'预评函-2'!D15</f>
        <v>9983</v>
      </c>
    </row>
    <row r="32" spans="1:2">
      <c r="A32" s="1118" t="s">
        <v>543</v>
      </c>
      <c r="B32" s="1119" t="str">
        <f ca="1">'预评函-2'!D14</f>
        <v>贰仟叁佰柒拾捌万元整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1936</v>
      </c>
    </row>
    <row r="48" spans="1:2">
      <c r="A48" s="1118" t="s">
        <v>549</v>
      </c>
      <c r="B48" s="1119">
        <f ca="1">'预评函-3'!E4</f>
        <v>8127</v>
      </c>
    </row>
    <row r="49" spans="1:2">
      <c r="A49" s="1118" t="s">
        <v>550</v>
      </c>
      <c r="B49" s="1119" t="str">
        <f ca="1">'预评函-3'!D5</f>
        <v>壹仟玖佰叁拾陆万元整</v>
      </c>
    </row>
    <row r="50" spans="1:2">
      <c r="A50" s="1118" t="s">
        <v>574</v>
      </c>
      <c r="B50" s="1119" t="str">
        <f>'预评函-3'!F2</f>
        <v>在建建筑物价值</v>
      </c>
    </row>
    <row r="51" spans="1:2">
      <c r="A51" s="1118" t="s">
        <v>551</v>
      </c>
      <c r="B51" s="1119">
        <f ca="1">'预评函-3'!F4</f>
        <v>442</v>
      </c>
    </row>
    <row r="52" spans="1:2">
      <c r="A52" s="1118" t="s">
        <v>552</v>
      </c>
      <c r="B52" s="1119">
        <f ca="1">'预评函-3'!G4</f>
        <v>1856</v>
      </c>
    </row>
    <row r="53" spans="1:2">
      <c r="A53" s="1118" t="s">
        <v>580</v>
      </c>
      <c r="B53" s="1119" t="str">
        <f ca="1">'预评函-3'!F5</f>
        <v>肆佰肆拾贰万元整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M36" sqref="M3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24" t="s">
        <v>2572</v>
      </c>
      <c r="J2" s="3224"/>
      <c r="K2" s="3224"/>
      <c r="L2" s="3224"/>
      <c r="M2" s="3224"/>
      <c r="N2" s="3224"/>
      <c r="O2" s="3224"/>
      <c r="P2" s="3224"/>
      <c r="Q2" s="3224"/>
      <c r="R2" s="3224"/>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7" sqref="L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5"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26"/>
      <c r="D1" s="3226"/>
      <c r="E1" s="3226"/>
      <c r="F1" s="3226"/>
      <c r="G1" s="3226"/>
      <c r="H1" s="3226"/>
      <c r="I1" s="322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28"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29"/>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35"/>
      <c r="C16" s="3236"/>
      <c r="D16" s="3237"/>
      <c r="E16" s="2221" t="s">
        <v>2193</v>
      </c>
      <c r="F16" s="3238"/>
      <c r="G16" s="3239"/>
      <c r="H16" s="3239"/>
      <c r="I16" s="3240"/>
      <c r="J16" s="2244"/>
      <c r="K16" s="2400"/>
      <c r="L16" s="1669"/>
      <c r="M16" s="1669"/>
      <c r="N16" s="2244"/>
      <c r="O16" s="1669"/>
      <c r="P16" s="2244"/>
      <c r="Q16" s="2244"/>
      <c r="R16" s="2244"/>
    </row>
    <row r="17" spans="1:28">
      <c r="A17" s="305" t="s">
        <v>2194</v>
      </c>
      <c r="B17" s="294" t="s">
        <v>2195</v>
      </c>
      <c r="C17" s="8">
        <f>'数据-汇总表'!E3</f>
        <v>2382.1000000000004</v>
      </c>
      <c r="D17" s="1255" t="s">
        <v>2196</v>
      </c>
      <c r="E17" s="3241" t="s">
        <v>2197</v>
      </c>
      <c r="F17" s="3242"/>
      <c r="G17" s="3242"/>
      <c r="H17" s="3242"/>
      <c r="I17" s="3243"/>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44" t="s">
        <v>2201</v>
      </c>
      <c r="F18" s="3245"/>
      <c r="G18" s="3245"/>
      <c r="H18" s="3245"/>
      <c r="I18" s="3246"/>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31" t="s">
        <v>2205</v>
      </c>
      <c r="C20" s="3232"/>
      <c r="D20" s="3233" t="s">
        <v>2206</v>
      </c>
      <c r="E20" s="3234"/>
      <c r="F20" s="2427" t="s">
        <v>1056</v>
      </c>
      <c r="G20" s="2438"/>
      <c r="H20" s="2438"/>
      <c r="I20" s="2438"/>
      <c r="J20" s="2244"/>
      <c r="K20" s="323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48"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48"/>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48"/>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49"/>
      <c r="B30" s="294" t="s">
        <v>2217</v>
      </c>
      <c r="C30" s="3250"/>
      <c r="D30" s="3251"/>
      <c r="E30" s="2438"/>
      <c r="F30" s="2438"/>
      <c r="G30" s="2438"/>
      <c r="H30" s="2438"/>
      <c r="I30" s="2438"/>
      <c r="J30" s="2244"/>
      <c r="K30" s="2399"/>
      <c r="L30" s="2396"/>
      <c r="M30" s="2396"/>
      <c r="N30" s="2244"/>
      <c r="O30" s="1669"/>
      <c r="P30" s="2244"/>
      <c r="Q30" s="2244"/>
      <c r="R30" s="2244"/>
      <c r="S30" s="2244"/>
      <c r="T30" s="2244"/>
      <c r="U30" s="2244"/>
      <c r="V30" s="2244"/>
    </row>
    <row r="31" spans="1:28">
      <c r="A31" s="3252"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53"/>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53"/>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47" t="s">
        <v>2227</v>
      </c>
      <c r="T34" s="315" t="str">
        <f>NUMBERSTRING(7-K34,1)&amp;"通"</f>
        <v>七通</v>
      </c>
      <c r="U34" s="2244"/>
      <c r="V34" s="2244"/>
    </row>
    <row r="35" spans="1:30">
      <c r="A35" s="2235"/>
      <c r="B35" s="3247" t="s">
        <v>2228</v>
      </c>
      <c r="C35" s="3247"/>
      <c r="D35" s="3247"/>
      <c r="E35" s="3247"/>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47"/>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V51"/>
  <sheetViews>
    <sheetView workbookViewId="0">
      <selection activeCell="O15" sqref="O15"/>
    </sheetView>
  </sheetViews>
  <sheetFormatPr defaultRowHeight="13.5"/>
  <cols>
    <col min="3" max="3" width="10.5" bestFit="1" customWidth="1"/>
    <col min="4" max="4" width="12.125" customWidth="1"/>
  </cols>
  <sheetData>
    <row r="2" spans="3:12">
      <c r="F2" s="1404" t="s">
        <v>3414</v>
      </c>
      <c r="G2">
        <v>10810.26</v>
      </c>
      <c r="H2" s="1404" t="s">
        <v>3415</v>
      </c>
      <c r="I2" s="3149">
        <f>G13/G2</f>
        <v>0.23737634432474339</v>
      </c>
    </row>
    <row r="3" spans="3:12" ht="15.75">
      <c r="C3" s="3142" t="s">
        <v>3395</v>
      </c>
      <c r="D3" s="3142" t="s">
        <v>3405</v>
      </c>
      <c r="E3" s="3142" t="s">
        <v>3406</v>
      </c>
      <c r="F3" s="3142" t="s">
        <v>3408</v>
      </c>
      <c r="G3" s="3142" t="s">
        <v>3411</v>
      </c>
      <c r="H3" s="3141"/>
      <c r="I3" s="3141"/>
      <c r="J3" s="3141" t="s">
        <v>3583</v>
      </c>
      <c r="K3" s="3141" t="s">
        <v>3587</v>
      </c>
    </row>
    <row r="4" spans="3:12" ht="15.75">
      <c r="C4" s="3142" t="s">
        <v>3396</v>
      </c>
      <c r="D4" s="3143">
        <v>1</v>
      </c>
      <c r="E4" s="3143">
        <v>1</v>
      </c>
      <c r="F4" s="3142" t="s">
        <v>3409</v>
      </c>
      <c r="G4" s="3142">
        <v>12.2</v>
      </c>
      <c r="H4" s="3141"/>
      <c r="I4" s="3141"/>
      <c r="J4">
        <v>1500</v>
      </c>
      <c r="K4">
        <f>ROUND(J4*G4/10000,1)</f>
        <v>1.8</v>
      </c>
    </row>
    <row r="5" spans="3:12" ht="15.75">
      <c r="C5" s="3142" t="s">
        <v>3397</v>
      </c>
      <c r="D5" s="3143">
        <v>2</v>
      </c>
      <c r="E5" s="3144" t="s">
        <v>3407</v>
      </c>
      <c r="F5" s="3142" t="s">
        <v>3409</v>
      </c>
      <c r="G5" s="3142">
        <v>1933.8</v>
      </c>
      <c r="H5" s="3141"/>
      <c r="I5" s="3141"/>
      <c r="J5">
        <v>2800</v>
      </c>
      <c r="K5">
        <f t="shared" ref="K5:K12" si="0">ROUND(J5*G5/10000,1)</f>
        <v>541.5</v>
      </c>
    </row>
    <row r="6" spans="3:12" ht="15.75">
      <c r="C6" s="3142" t="s">
        <v>3398</v>
      </c>
      <c r="D6" s="3143">
        <v>1</v>
      </c>
      <c r="E6" s="3143">
        <v>1</v>
      </c>
      <c r="F6" s="3142" t="s">
        <v>3409</v>
      </c>
      <c r="G6" s="3142">
        <v>161.30000000000001</v>
      </c>
      <c r="H6" s="3141"/>
      <c r="I6" s="3141"/>
      <c r="J6">
        <v>2000</v>
      </c>
      <c r="K6">
        <f t="shared" si="0"/>
        <v>32.299999999999997</v>
      </c>
    </row>
    <row r="7" spans="3:12" s="3148" customFormat="1" ht="15.75">
      <c r="C7" s="3145" t="s">
        <v>3399</v>
      </c>
      <c r="D7" s="3146">
        <v>1</v>
      </c>
      <c r="E7" s="3146">
        <v>1</v>
      </c>
      <c r="F7" s="3145" t="s">
        <v>3409</v>
      </c>
      <c r="G7" s="3145">
        <v>10.4</v>
      </c>
      <c r="H7" s="3147" t="s">
        <v>3413</v>
      </c>
      <c r="I7" s="3147"/>
      <c r="K7" s="3148">
        <f t="shared" si="0"/>
        <v>0</v>
      </c>
    </row>
    <row r="8" spans="3:12" s="3148" customFormat="1" ht="15.75">
      <c r="C8" s="3145" t="s">
        <v>3400</v>
      </c>
      <c r="D8" s="3146">
        <v>1</v>
      </c>
      <c r="E8" s="3146">
        <v>1</v>
      </c>
      <c r="F8" s="3145" t="s">
        <v>3409</v>
      </c>
      <c r="G8" s="3145">
        <v>85.7</v>
      </c>
      <c r="H8" s="3147" t="s">
        <v>3413</v>
      </c>
      <c r="I8" s="3147"/>
      <c r="K8" s="3148">
        <f t="shared" si="0"/>
        <v>0</v>
      </c>
    </row>
    <row r="9" spans="3:12" ht="15.75">
      <c r="C9" s="3142" t="s">
        <v>3401</v>
      </c>
      <c r="D9" s="3143">
        <v>1</v>
      </c>
      <c r="E9" s="3143">
        <v>1</v>
      </c>
      <c r="F9" s="3142" t="s">
        <v>3409</v>
      </c>
      <c r="G9" s="3142">
        <v>30.8</v>
      </c>
      <c r="H9" s="3141"/>
      <c r="I9" s="3141"/>
      <c r="J9">
        <v>2000</v>
      </c>
      <c r="K9">
        <f t="shared" si="0"/>
        <v>6.2</v>
      </c>
    </row>
    <row r="10" spans="3:12" ht="15.75">
      <c r="C10" s="3142" t="s">
        <v>3402</v>
      </c>
      <c r="D10" s="3143">
        <v>1</v>
      </c>
      <c r="E10" s="3143">
        <v>1</v>
      </c>
      <c r="F10" s="3142" t="s">
        <v>3409</v>
      </c>
      <c r="G10" s="3142">
        <v>231.8</v>
      </c>
      <c r="H10" s="3141"/>
      <c r="I10" s="3141"/>
      <c r="J10">
        <v>2000</v>
      </c>
      <c r="K10">
        <f t="shared" si="0"/>
        <v>46.4</v>
      </c>
    </row>
    <row r="11" spans="3:12" s="3148" customFormat="1" ht="15.75">
      <c r="C11" s="3145" t="s">
        <v>3403</v>
      </c>
      <c r="D11" s="3146">
        <v>1</v>
      </c>
      <c r="E11" s="3146">
        <v>1</v>
      </c>
      <c r="F11" s="3145" t="s">
        <v>3409</v>
      </c>
      <c r="G11" s="3145">
        <v>87.9</v>
      </c>
      <c r="H11" s="3147" t="s">
        <v>3413</v>
      </c>
      <c r="I11" s="3147"/>
      <c r="K11" s="3148">
        <f t="shared" si="0"/>
        <v>0</v>
      </c>
    </row>
    <row r="12" spans="3:12" ht="15.75">
      <c r="C12" s="3142" t="s">
        <v>3404</v>
      </c>
      <c r="D12" s="3143">
        <v>1</v>
      </c>
      <c r="E12" s="3143">
        <v>1</v>
      </c>
      <c r="F12" s="3142" t="s">
        <v>3409</v>
      </c>
      <c r="G12" s="3142">
        <v>12.2</v>
      </c>
      <c r="H12" s="3141"/>
      <c r="I12" s="3141"/>
      <c r="J12">
        <v>1500</v>
      </c>
      <c r="K12" s="1404">
        <f t="shared" si="0"/>
        <v>1.8</v>
      </c>
    </row>
    <row r="13" spans="3:12" ht="15.75">
      <c r="C13" s="3142"/>
      <c r="D13" s="3142"/>
      <c r="E13" s="3142"/>
      <c r="F13" s="3142"/>
      <c r="G13" s="3142">
        <f>SUM(G4:G12)</f>
        <v>2566.1000000000004</v>
      </c>
      <c r="H13" s="3141"/>
      <c r="I13" s="3141"/>
    </row>
    <row r="14" spans="3:12" ht="15.75">
      <c r="C14" s="3141"/>
      <c r="D14" s="3141"/>
      <c r="E14" s="3141"/>
      <c r="F14" s="3141"/>
      <c r="G14" s="3141">
        <f>G13-G7-G8-G11</f>
        <v>2382.1000000000004</v>
      </c>
      <c r="H14" s="3141"/>
      <c r="I14" s="3141"/>
      <c r="J14">
        <f>ROUND(K14*10000/G14,0)</f>
        <v>2645</v>
      </c>
      <c r="K14" s="1404">
        <f>SUM(K4:K12)</f>
        <v>629.99999999999989</v>
      </c>
      <c r="L14" s="1404"/>
    </row>
    <row r="15" spans="3:12" ht="15.75">
      <c r="C15" s="3141"/>
      <c r="D15" s="3141"/>
      <c r="E15" s="3141"/>
      <c r="F15" s="3141"/>
      <c r="G15" s="3141"/>
      <c r="H15" s="3141"/>
      <c r="I15" s="3141"/>
    </row>
    <row r="16" spans="3:12" ht="15.75">
      <c r="C16" s="3141"/>
      <c r="D16" s="3141"/>
      <c r="E16" s="3141"/>
      <c r="F16" s="3141"/>
      <c r="G16" s="3141"/>
      <c r="H16" s="3141"/>
      <c r="I16" s="3141"/>
    </row>
    <row r="18" spans="2:13" s="3151" customFormat="1">
      <c r="B18" s="3151" t="s">
        <v>3426</v>
      </c>
    </row>
    <row r="19" spans="2:13" s="3151" customFormat="1">
      <c r="B19" s="3152"/>
      <c r="C19" s="3153" t="s">
        <v>3410</v>
      </c>
      <c r="D19" s="3153" t="s">
        <v>3427</v>
      </c>
      <c r="E19" s="3153" t="s">
        <v>3428</v>
      </c>
      <c r="F19" s="3152"/>
      <c r="G19" s="3154" t="s">
        <v>3429</v>
      </c>
    </row>
    <row r="20" spans="2:13" s="3151" customFormat="1">
      <c r="B20" s="3155" t="s">
        <v>3430</v>
      </c>
      <c r="C20" s="3156">
        <f>C21+C22</f>
        <v>2382.1000000000004</v>
      </c>
      <c r="D20" s="3156">
        <f>E20/C20</f>
        <v>2000</v>
      </c>
      <c r="E20" s="3156">
        <f>E21+E22</f>
        <v>4764200.0000000009</v>
      </c>
      <c r="F20" s="3152"/>
      <c r="G20" s="3157">
        <v>1</v>
      </c>
    </row>
    <row r="21" spans="2:13" s="3151" customFormat="1">
      <c r="B21" s="3153" t="s">
        <v>3412</v>
      </c>
      <c r="C21" s="3158">
        <f>G14</f>
        <v>2382.1000000000004</v>
      </c>
      <c r="D21" s="3152">
        <v>2000</v>
      </c>
      <c r="E21" s="3152">
        <f>D21*C21</f>
        <v>4764200.0000000009</v>
      </c>
      <c r="F21" s="3152"/>
      <c r="G21" s="3152"/>
    </row>
    <row r="22" spans="2:13" s="3151" customFormat="1">
      <c r="B22" s="3153" t="s">
        <v>3431</v>
      </c>
      <c r="C22" s="3158">
        <f>'[2]数据-汇总表'!G33</f>
        <v>0</v>
      </c>
      <c r="D22" s="3152">
        <v>4000</v>
      </c>
      <c r="E22" s="3152">
        <f t="shared" ref="E22:E25" si="1">D22*C22</f>
        <v>0</v>
      </c>
      <c r="F22" s="3152"/>
      <c r="G22" s="3152"/>
      <c r="J22" s="3181" t="s">
        <v>3584</v>
      </c>
      <c r="K22" s="3181" t="s">
        <v>3410</v>
      </c>
      <c r="L22" s="3181" t="s">
        <v>3586</v>
      </c>
      <c r="M22" s="3181" t="s">
        <v>3587</v>
      </c>
    </row>
    <row r="23" spans="2:13" s="3151" customFormat="1">
      <c r="B23" s="3155" t="s">
        <v>3432</v>
      </c>
      <c r="C23" s="3156">
        <f>C20</f>
        <v>2382.1000000000004</v>
      </c>
      <c r="D23" s="3156">
        <v>500</v>
      </c>
      <c r="E23" s="3156">
        <f t="shared" si="1"/>
        <v>1191050.0000000002</v>
      </c>
      <c r="F23" s="3152"/>
      <c r="G23" s="3157">
        <v>1</v>
      </c>
      <c r="J23" s="3181" t="s">
        <v>3585</v>
      </c>
      <c r="K23" s="3181">
        <v>12.2</v>
      </c>
      <c r="L23" s="3181">
        <v>1500</v>
      </c>
      <c r="M23" s="3181">
        <v>1.8</v>
      </c>
    </row>
    <row r="24" spans="2:13" s="3151" customFormat="1">
      <c r="B24" s="3155" t="s">
        <v>3433</v>
      </c>
      <c r="C24" s="3156">
        <f>C20</f>
        <v>2382.1000000000004</v>
      </c>
      <c r="D24" s="3156">
        <v>500</v>
      </c>
      <c r="E24" s="3156">
        <f t="shared" si="1"/>
        <v>1191050.0000000002</v>
      </c>
      <c r="F24" s="3152"/>
      <c r="G24" s="3157">
        <v>1</v>
      </c>
      <c r="J24" s="3181" t="s">
        <v>3397</v>
      </c>
      <c r="K24" s="3181">
        <v>1933.8</v>
      </c>
      <c r="L24" s="3181">
        <v>2800</v>
      </c>
      <c r="M24" s="3181">
        <v>541.5</v>
      </c>
    </row>
    <row r="25" spans="2:13" s="3151" customFormat="1">
      <c r="B25" s="3155" t="s">
        <v>3434</v>
      </c>
      <c r="C25" s="3156">
        <v>0</v>
      </c>
      <c r="D25" s="3156">
        <f>D22</f>
        <v>4000</v>
      </c>
      <c r="E25" s="3156">
        <f t="shared" si="1"/>
        <v>0</v>
      </c>
      <c r="F25" s="3152"/>
      <c r="G25" s="3152"/>
      <c r="J25" s="3181" t="s">
        <v>3398</v>
      </c>
      <c r="K25" s="3181">
        <v>161.30000000000001</v>
      </c>
      <c r="L25" s="3181">
        <v>2000</v>
      </c>
      <c r="M25" s="3181">
        <v>32.299999999999997</v>
      </c>
    </row>
    <row r="26" spans="2:13" s="3151" customFormat="1">
      <c r="B26" s="3153" t="s">
        <v>3435</v>
      </c>
      <c r="C26" s="3152">
        <f>C20</f>
        <v>2382.1000000000004</v>
      </c>
      <c r="D26" s="3152">
        <f>E26/C26</f>
        <v>3000</v>
      </c>
      <c r="E26" s="3152">
        <f>E20+E23+E24+E25</f>
        <v>7146300.0000000009</v>
      </c>
      <c r="F26" s="3152"/>
      <c r="G26" s="3155">
        <f>(G20*E20+G23*E23+G24*E24)/E26</f>
        <v>1</v>
      </c>
      <c r="J26" s="3181" t="s">
        <v>3401</v>
      </c>
      <c r="K26" s="3181">
        <v>30.8</v>
      </c>
      <c r="L26" s="3181">
        <v>2000</v>
      </c>
      <c r="M26" s="3181">
        <v>6.2</v>
      </c>
    </row>
    <row r="27" spans="2:13" s="3151" customFormat="1">
      <c r="J27" s="3181" t="s">
        <v>3402</v>
      </c>
      <c r="K27" s="3181">
        <v>231.8</v>
      </c>
      <c r="L27" s="3181">
        <v>2000</v>
      </c>
      <c r="M27" s="3181">
        <v>46.4</v>
      </c>
    </row>
    <row r="28" spans="2:13" s="3151" customFormat="1">
      <c r="J28" s="3181" t="s">
        <v>3404</v>
      </c>
      <c r="K28" s="3181">
        <v>12.2</v>
      </c>
      <c r="L28" s="3181">
        <v>1500</v>
      </c>
      <c r="M28" s="3181">
        <v>1.8</v>
      </c>
    </row>
    <row r="29" spans="2:13" s="3151" customFormat="1">
      <c r="J29" s="3181" t="s">
        <v>3588</v>
      </c>
      <c r="K29" s="3181">
        <v>2382.1000000000004</v>
      </c>
      <c r="L29" s="3181"/>
      <c r="M29" s="3181">
        <v>630</v>
      </c>
    </row>
    <row r="30" spans="2:13" s="3151" customFormat="1">
      <c r="B30" s="3151" t="s">
        <v>3425</v>
      </c>
    </row>
    <row r="31" spans="2:13" s="3151" customFormat="1">
      <c r="B31" s="3152"/>
      <c r="C31" s="3153" t="s">
        <v>3436</v>
      </c>
      <c r="D31" s="3153"/>
      <c r="E31" s="3153" t="s">
        <v>3437</v>
      </c>
      <c r="F31" s="3153" t="s">
        <v>3438</v>
      </c>
      <c r="G31" s="3153" t="s">
        <v>3439</v>
      </c>
      <c r="H31" s="3154" t="s">
        <v>3425</v>
      </c>
    </row>
    <row r="32" spans="2:13"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161">
        <v>41075</v>
      </c>
      <c r="D42" s="3161">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0.1</v>
      </c>
      <c r="E50" s="2444">
        <f>C50*D50</f>
        <v>987.85100000000011</v>
      </c>
    </row>
    <row r="51" spans="3:5">
      <c r="C51" s="2444"/>
      <c r="D51" s="2444">
        <f>E51/C49</f>
        <v>1.6146975357877502</v>
      </c>
      <c r="E51" s="2444">
        <f>E49+E50</f>
        <v>3846.3710000000005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43" sqref="I4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3" t="s">
        <v>1131</v>
      </c>
      <c r="B2" s="3263"/>
      <c r="C2" s="3263"/>
      <c r="D2" s="747" t="s">
        <v>1107</v>
      </c>
      <c r="E2" s="1522" t="s">
        <v>1108</v>
      </c>
      <c r="F2" s="2435"/>
      <c r="G2" s="2429"/>
      <c r="H2" s="2430"/>
      <c r="I2" s="2145" t="s">
        <v>1132</v>
      </c>
      <c r="J2" s="2435"/>
      <c r="K2" s="2435"/>
      <c r="L2" s="2435"/>
      <c r="M2" s="2435"/>
      <c r="N2" s="2436"/>
      <c r="O2" s="2435"/>
      <c r="P2" s="2435"/>
    </row>
    <row r="3" spans="1:16" ht="15.75" thickBot="1">
      <c r="A3" s="3264" t="s">
        <v>1105</v>
      </c>
      <c r="B3" s="3264"/>
      <c r="C3" s="3264"/>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65"/>
      <c r="B4" s="3266"/>
      <c r="C4" s="3267"/>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68" t="s">
        <v>1110</v>
      </c>
      <c r="C5" s="3268"/>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68" t="s">
        <v>1111</v>
      </c>
      <c r="C6" s="3268"/>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60"/>
      <c r="B7" s="3261"/>
      <c r="C7" s="3262"/>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57" t="s">
        <v>1135</v>
      </c>
      <c r="L16" s="3258"/>
      <c r="M16" s="3258"/>
      <c r="N16" s="3258"/>
      <c r="O16" s="3258"/>
      <c r="P16" s="3259"/>
    </row>
    <row r="17" spans="1:19" ht="15">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3182">
        <f>面积及取费!J14</f>
        <v>2645</v>
      </c>
      <c r="M6" s="64">
        <f t="shared" ref="M6:M14" si="0">ROUND(K6*L6/10000,0)</f>
        <v>630</v>
      </c>
      <c r="N6" s="689">
        <f>面积及取费!H34</f>
        <v>0.73</v>
      </c>
      <c r="O6" s="64" t="str">
        <f>IF($N$5="成新度","——",ROUND(M6*N6,0))</f>
        <v>——</v>
      </c>
      <c r="P6" s="65" t="str">
        <f>IF($N$5="成新度","——",M6-O6)</f>
        <v>——</v>
      </c>
      <c r="Q6" s="3177">
        <v>0.05</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3178">
        <f>ROUND(1.6*(1+AA6)^AF6,2)</f>
        <v>1.79</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1196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2645</v>
      </c>
      <c r="M16" s="87">
        <f>SUM(M6:M14)</f>
        <v>630</v>
      </c>
      <c r="N16" s="88">
        <f>ROUND(SUMPRODUCT(M6:M14,N6:N14)/M16,3)</f>
        <v>0.73</v>
      </c>
      <c r="O16" s="87">
        <f>SUM(O6:O14)</f>
        <v>0</v>
      </c>
      <c r="P16" s="87">
        <f>SUM(P6:P14)</f>
        <v>0</v>
      </c>
      <c r="Q16" s="89">
        <f>ROUND(SUMPRODUCT(Q6:Q13,K6:K13)/SUMPRODUCT((Q6:Q13&gt;0)*(K6:K13)),2)</f>
        <v>0.05</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9" t="s">
        <v>2276</v>
      </c>
      <c r="B1" s="3270"/>
      <c r="C1" s="3270"/>
      <c r="D1" s="3270"/>
      <c r="E1" s="3270"/>
      <c r="F1" s="3270"/>
      <c r="G1" s="327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73" t="s">
        <v>3564</v>
      </c>
      <c r="H3" s="750"/>
      <c r="I3" s="750"/>
      <c r="J3" s="750"/>
      <c r="K3" s="750"/>
      <c r="L3" s="750"/>
      <c r="M3" s="750"/>
      <c r="N3" s="750"/>
      <c r="O3" s="750"/>
      <c r="P3" s="750"/>
      <c r="Q3" s="750"/>
    </row>
    <row r="4" spans="1:29">
      <c r="A4" s="2247"/>
      <c r="B4" s="315" t="s">
        <v>2253</v>
      </c>
      <c r="C4" s="2267"/>
      <c r="D4" s="2265"/>
      <c r="E4" s="2268"/>
      <c r="F4" s="1280" t="s">
        <v>2254</v>
      </c>
      <c r="G4" s="3174" t="s">
        <v>3566</v>
      </c>
      <c r="H4" s="750"/>
      <c r="I4" s="750"/>
      <c r="J4" s="750"/>
      <c r="K4" s="750"/>
      <c r="L4" s="750"/>
      <c r="M4" s="750"/>
      <c r="N4" s="750"/>
      <c r="O4" s="750"/>
      <c r="P4" s="750"/>
      <c r="Q4" s="750"/>
    </row>
    <row r="5" spans="1:29">
      <c r="A5" s="2247"/>
      <c r="B5" s="315" t="s">
        <v>2255</v>
      </c>
      <c r="C5" s="2267"/>
      <c r="D5" s="2265"/>
      <c r="E5" s="2268"/>
      <c r="F5" s="315" t="s">
        <v>2256</v>
      </c>
      <c r="G5" s="3174" t="s">
        <v>3566</v>
      </c>
      <c r="H5" s="750"/>
      <c r="I5" s="750"/>
      <c r="J5" s="750"/>
      <c r="K5" s="750"/>
      <c r="L5" s="750"/>
      <c r="M5" s="750"/>
      <c r="N5" s="750"/>
      <c r="O5" s="750"/>
      <c r="P5" s="750"/>
      <c r="Q5" s="750"/>
    </row>
    <row r="6" spans="1:29">
      <c r="A6" s="2247"/>
      <c r="B6" s="315" t="s">
        <v>2257</v>
      </c>
      <c r="C6" s="2269"/>
      <c r="D6" s="2265"/>
      <c r="E6" s="2268"/>
      <c r="F6" s="315" t="s">
        <v>2258</v>
      </c>
      <c r="G6" s="3174" t="s">
        <v>3568</v>
      </c>
      <c r="H6" s="750"/>
      <c r="I6" s="750"/>
      <c r="J6" s="750"/>
      <c r="K6" s="750"/>
      <c r="L6" s="750"/>
      <c r="M6" s="750"/>
      <c r="N6" s="750"/>
      <c r="O6" s="750"/>
      <c r="P6" s="750"/>
      <c r="Q6" s="750"/>
    </row>
    <row r="7" spans="1:29" ht="15" thickBot="1">
      <c r="A7" s="2247"/>
      <c r="B7" s="315" t="s">
        <v>2256</v>
      </c>
      <c r="C7" s="2269"/>
      <c r="D7" s="2244"/>
      <c r="E7" s="2270"/>
      <c r="F7" s="2271" t="s">
        <v>2259</v>
      </c>
      <c r="G7" s="3175"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41" sqref="G4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2378</v>
      </c>
      <c r="C5" s="2297">
        <f ca="1">IF(B5=D14,结果表!H102,ROUND(B5*10000/$B$1,0))</f>
        <v>9983</v>
      </c>
      <c r="D5" s="2297">
        <f ca="1">ROUND(B5*10000/$B$2,0)</f>
        <v>2200</v>
      </c>
      <c r="E5" s="2457"/>
      <c r="F5" s="2458"/>
      <c r="G5" s="2458"/>
      <c r="H5" s="2458"/>
      <c r="I5" s="2458"/>
      <c r="J5" s="2458"/>
      <c r="K5" s="2458"/>
    </row>
    <row r="6" spans="1:11" ht="16.5">
      <c r="A6" s="2297" t="s">
        <v>656</v>
      </c>
      <c r="B6" s="2297">
        <f ca="1">SUM(G14:G23)</f>
        <v>2378</v>
      </c>
      <c r="C6" s="2297">
        <f ca="1">IF(B6=G14,结果表!H108,ROUND(B6*10000/$B$1,0))</f>
        <v>9983</v>
      </c>
      <c r="D6" s="2297">
        <f ca="1">ROUND(B6*10000/$B$2,0)</f>
        <v>2200</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2378</v>
      </c>
      <c r="E14" s="2303">
        <f ca="1">ROUND(D14*10000/B14,0)</f>
        <v>9983</v>
      </c>
      <c r="F14" s="2303">
        <f ca="1">ROUND(D14*10000/C14,0)</f>
        <v>2200</v>
      </c>
      <c r="G14" s="2303">
        <f ca="1">D14</f>
        <v>2378</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C10" zoomScaleNormal="100" zoomScaleSheetLayoutView="100" zoomScalePageLayoutView="80" workbookViewId="0">
      <selection activeCell="G36" sqref="G3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338" t="str">
        <f>项目基本情况!S2</f>
        <v>北京市怀柔区雁栖经济开发区雁栖大街8号房地产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3" t="s">
        <v>1265</v>
      </c>
      <c r="B4" s="1624" t="s">
        <v>1266</v>
      </c>
      <c r="C4" s="1625" t="s">
        <v>3450</v>
      </c>
      <c r="D4" s="1625" t="s">
        <v>3445</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341">
        <v>25</v>
      </c>
      <c r="C5" s="3344"/>
      <c r="D5" s="3332"/>
      <c r="E5" s="123" t="s">
        <v>1269</v>
      </c>
      <c r="F5" s="1626"/>
      <c r="G5" s="1626"/>
      <c r="H5" s="1626"/>
      <c r="I5" s="1280"/>
    </row>
    <row r="6" spans="1:12" ht="12.75">
      <c r="A6" s="3286"/>
      <c r="B6" s="3341"/>
      <c r="C6" s="3346"/>
      <c r="D6" s="3332"/>
      <c r="E6" s="123" t="s">
        <v>1270</v>
      </c>
      <c r="F6" s="1626"/>
      <c r="G6" s="1626"/>
      <c r="H6" s="1626"/>
      <c r="I6" s="1280"/>
    </row>
    <row r="7" spans="1:12" ht="12.75">
      <c r="A7" s="3286"/>
      <c r="B7" s="3341"/>
      <c r="C7" s="3345"/>
      <c r="D7" s="3332"/>
      <c r="E7" s="123" t="s">
        <v>1271</v>
      </c>
      <c r="F7" s="1626"/>
      <c r="G7" s="1626"/>
      <c r="H7" s="1626"/>
      <c r="I7" s="1280"/>
    </row>
    <row r="8" spans="1:12" ht="12.75">
      <c r="A8" s="3286" t="s">
        <v>1272</v>
      </c>
      <c r="B8" s="3341">
        <v>15</v>
      </c>
      <c r="C8" s="3344"/>
      <c r="D8" s="3332"/>
      <c r="E8" s="123" t="s">
        <v>1273</v>
      </c>
      <c r="F8" s="1626"/>
      <c r="G8" s="1626"/>
      <c r="H8" s="1626"/>
      <c r="I8" s="1280"/>
    </row>
    <row r="9" spans="1:12" ht="12.75">
      <c r="A9" s="3286"/>
      <c r="B9" s="3341"/>
      <c r="C9" s="3345"/>
      <c r="D9" s="3332"/>
      <c r="E9" s="123" t="s">
        <v>1274</v>
      </c>
      <c r="F9" s="1626"/>
      <c r="G9" s="1626"/>
      <c r="H9" s="1626"/>
      <c r="I9" s="1280"/>
    </row>
    <row r="10" spans="1:12" ht="12.75">
      <c r="A10" s="3286" t="s">
        <v>1275</v>
      </c>
      <c r="B10" s="3341">
        <v>15</v>
      </c>
      <c r="C10" s="3344"/>
      <c r="D10" s="3332"/>
      <c r="E10" s="123" t="s">
        <v>1276</v>
      </c>
      <c r="F10" s="1626"/>
      <c r="G10" s="1626"/>
      <c r="H10" s="1626"/>
      <c r="I10" s="1280"/>
    </row>
    <row r="11" spans="1:12" ht="12.75">
      <c r="A11" s="3286"/>
      <c r="B11" s="3341"/>
      <c r="C11" s="3345"/>
      <c r="D11" s="3332"/>
      <c r="E11" s="123" t="s">
        <v>1277</v>
      </c>
      <c r="F11" s="1626"/>
      <c r="G11" s="1626"/>
      <c r="H11" s="1626"/>
      <c r="I11" s="1280"/>
    </row>
    <row r="12" spans="1:12" ht="12.75">
      <c r="A12" s="3286" t="s">
        <v>1278</v>
      </c>
      <c r="B12" s="3341">
        <v>15</v>
      </c>
      <c r="C12" s="3344"/>
      <c r="D12" s="3332"/>
      <c r="E12" s="123" t="s">
        <v>1279</v>
      </c>
      <c r="F12" s="1626"/>
      <c r="G12" s="1626"/>
      <c r="H12" s="1626"/>
      <c r="I12" s="1280"/>
    </row>
    <row r="13" spans="1:12" ht="12.75">
      <c r="A13" s="3286"/>
      <c r="B13" s="3341"/>
      <c r="C13" s="3345"/>
      <c r="D13" s="3332"/>
      <c r="E13" s="123" t="s">
        <v>1280</v>
      </c>
      <c r="F13" s="1626"/>
      <c r="G13" s="1626"/>
      <c r="H13" s="1626"/>
      <c r="I13" s="1280"/>
    </row>
    <row r="14" spans="1:12" ht="12.75">
      <c r="A14" s="3286" t="s">
        <v>1281</v>
      </c>
      <c r="B14" s="3341">
        <v>30</v>
      </c>
      <c r="C14" s="3344">
        <v>7</v>
      </c>
      <c r="D14" s="3332">
        <v>3</v>
      </c>
      <c r="E14" s="123" t="s">
        <v>1282</v>
      </c>
      <c r="F14" s="1626"/>
      <c r="G14" s="1626"/>
      <c r="H14" s="1626"/>
      <c r="I14" s="1280"/>
    </row>
    <row r="15" spans="1:12" ht="12.75">
      <c r="A15" s="3286"/>
      <c r="B15" s="3341"/>
      <c r="C15" s="3346"/>
      <c r="D15" s="3332"/>
      <c r="E15" s="123" t="s">
        <v>1283</v>
      </c>
      <c r="F15" s="1626"/>
      <c r="G15" s="1626"/>
      <c r="H15" s="1626"/>
      <c r="I15" s="1280"/>
    </row>
    <row r="16" spans="1:12" ht="12.75">
      <c r="A16" s="3286"/>
      <c r="B16" s="3341"/>
      <c r="C16" s="3345"/>
      <c r="D16" s="3332"/>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63" t="s">
        <v>2130</v>
      </c>
      <c r="F18" s="3364"/>
      <c r="G18" s="3364"/>
      <c r="H18" s="3364"/>
      <c r="I18" s="3364"/>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2885</v>
      </c>
      <c r="D19" s="127">
        <f ca="1">SUMIF(INDIRECT("'"&amp;D4&amp;"'"&amp;"!A:A"),结果表!B19,INDIRECT("'"&amp;D4&amp;"'"&amp;"!B:B"))</f>
        <v>1196</v>
      </c>
      <c r="E19" s="1629" t="s">
        <v>1292</v>
      </c>
      <c r="F19" s="1630" t="s">
        <v>1291</v>
      </c>
      <c r="G19" s="128">
        <f ca="1">ROUND(C19*$C$18+D19*$D$18,0)</f>
        <v>2378</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12111</v>
      </c>
      <c r="D20" s="130">
        <f ca="1">SUMIF(INDIRECT("'"&amp;D4&amp;"'"&amp;"!A:A"),结果表!B20,INDIRECT("'"&amp;D4&amp;"'"&amp;"!B:B"))</f>
        <v>5021</v>
      </c>
      <c r="E20" s="1632"/>
      <c r="F20" s="43" t="s">
        <v>1295</v>
      </c>
      <c r="G20" s="131">
        <f ca="1">ROUND(C20*$C$18+D20*$D$18,0)</f>
        <v>9984</v>
      </c>
      <c r="H20" s="759" t="s">
        <v>1296</v>
      </c>
      <c r="I20" s="121"/>
    </row>
    <row r="21" spans="1:36" ht="15" customHeight="1" thickBot="1">
      <c r="A21" s="449"/>
      <c r="B21" s="93" t="s">
        <v>1297</v>
      </c>
      <c r="C21" s="677">
        <f ca="1">ROUND(C19*10000/L19,0)</f>
        <v>2669</v>
      </c>
      <c r="D21" s="678">
        <f ca="1">ROUND(D19*10000/L19,0)</f>
        <v>1106</v>
      </c>
      <c r="E21" s="449"/>
      <c r="F21" s="93" t="s">
        <v>1297</v>
      </c>
      <c r="G21" s="132">
        <f ca="1">ROUND(G19*10000/L19,0)</f>
        <v>2200</v>
      </c>
      <c r="H21" s="1633" t="s">
        <v>1296</v>
      </c>
      <c r="I21" s="121"/>
    </row>
    <row r="22" spans="1:36" ht="15" thickBot="1">
      <c r="A22" s="1563" t="s">
        <v>1298</v>
      </c>
      <c r="B22" s="1634"/>
      <c r="C22" s="1635"/>
      <c r="D22" s="679">
        <f ca="1">IF(C19&lt;D19,D19/C19-1,C19/D19-1)</f>
        <v>1.4122073578595318</v>
      </c>
      <c r="E22" s="121"/>
      <c r="F22" s="121"/>
      <c r="G22" s="121"/>
      <c r="H22" s="121"/>
      <c r="I22" s="121"/>
    </row>
    <row r="23" spans="1:36" ht="13.5" thickBot="1">
      <c r="A23" s="645"/>
      <c r="B23" s="645"/>
      <c r="C23" s="645"/>
      <c r="D23" s="645"/>
      <c r="E23" s="121"/>
      <c r="F23" s="121"/>
      <c r="G23" s="121"/>
      <c r="H23" s="121"/>
      <c r="I23" s="121"/>
    </row>
    <row r="24" spans="1:36" ht="14.25">
      <c r="A24" s="3356" t="s">
        <v>1299</v>
      </c>
      <c r="B24" s="1630" t="s">
        <v>1291</v>
      </c>
      <c r="C24" s="128">
        <f>IF(B30=0,0,D30)</f>
        <v>0</v>
      </c>
      <c r="D24" s="1636"/>
      <c r="E24" s="121"/>
      <c r="F24" s="121"/>
      <c r="G24" s="121"/>
      <c r="H24" s="121"/>
      <c r="I24" s="121"/>
    </row>
    <row r="25" spans="1:36" ht="14.25">
      <c r="A25" s="33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2378</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1936</v>
      </c>
      <c r="D34" s="807">
        <f ca="1">IF(C33="自定义",ROUND(C34/C32,3),IF(C33="收益比率",SUMIF(INDIRECT("'"&amp;D33&amp;"'"&amp;"!b:b"),"土地收益比率",INDIRECT("'"&amp;D33&amp;"'"&amp;"!c:c")),SUMIF(INDIRECT("'"&amp;D33&amp;"'"&amp;"!b:b"),"土地成本比率",INDIRECT("'"&amp;D33&amp;"'"&amp;"!c:c"))))</f>
        <v>0.81400000000000006</v>
      </c>
      <c r="E34" s="1647" t="s">
        <v>1309</v>
      </c>
      <c r="F34" s="1242"/>
      <c r="G34" s="121"/>
      <c r="H34" s="121"/>
      <c r="I34" s="121"/>
    </row>
    <row r="35" spans="1:15" ht="15.75" thickBot="1">
      <c r="A35" s="1648"/>
      <c r="B35" s="1649" t="s">
        <v>1310</v>
      </c>
      <c r="C35" s="1089">
        <f ca="1">IF(C33="自定义",F35,ROUND(C32*D35,0))</f>
        <v>442</v>
      </c>
      <c r="D35" s="1090">
        <f ca="1">IF(C33="自定义",ROUND(C35/C32,3),IF(C33="收益比率",SUMIF(INDIRECT("'"&amp;D33&amp;"'"&amp;"!b:b"),"建筑物收益比率",INDIRECT("'"&amp;D33&amp;"'"&amp;"!c:c")),SUMIF(INDIRECT("'"&amp;D33&amp;"'"&amp;"!b:b"),"建筑物成本比率",INDIRECT("'"&amp;D33&amp;"'"&amp;"!c:c"))))</f>
        <v>0.186</v>
      </c>
      <c r="E35" s="1650" t="s">
        <v>1311</v>
      </c>
      <c r="F35" s="146"/>
      <c r="G35" s="121"/>
      <c r="H35" s="121"/>
      <c r="I35" s="121"/>
    </row>
    <row r="36" spans="1:15" ht="15.75" thickBot="1">
      <c r="A36" s="3333" t="s">
        <v>1312</v>
      </c>
      <c r="B36" s="1651" t="s">
        <v>1313</v>
      </c>
      <c r="C36" s="137"/>
      <c r="D36" s="1652"/>
      <c r="E36" s="1566"/>
      <c r="F36" s="1653"/>
      <c r="G36" s="121"/>
      <c r="H36" s="121"/>
      <c r="I36" s="121"/>
    </row>
    <row r="37" spans="1:15" ht="15.75" thickBot="1">
      <c r="A37" s="3334"/>
      <c r="B37" s="1554" t="s">
        <v>1314</v>
      </c>
      <c r="C37" s="139"/>
      <c r="D37" s="1070"/>
      <c r="E37" s="1070"/>
      <c r="F37" s="1653"/>
      <c r="G37" s="121"/>
      <c r="H37" s="121"/>
      <c r="I37" s="121"/>
    </row>
    <row r="38" spans="1:15" ht="15.75" thickBot="1">
      <c r="A38" s="3335"/>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3" t="s">
        <v>1326</v>
      </c>
      <c r="B45" s="3354"/>
      <c r="C45" s="3355"/>
      <c r="D45" s="147">
        <f ca="1">ROUND(H101*F45,0)</f>
        <v>2378</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7"/>
      <c r="I46" s="151"/>
      <c r="J46" s="2307">
        <v>1</v>
      </c>
      <c r="K46" s="3274" t="s">
        <v>1331</v>
      </c>
      <c r="L46" s="3274"/>
      <c r="M46" s="3275"/>
      <c r="N46" s="3275"/>
      <c r="O46" s="3275"/>
    </row>
    <row r="47" spans="1:15" ht="12" customHeight="1">
      <c r="A47" s="152" t="s">
        <v>1332</v>
      </c>
      <c r="B47" s="153"/>
      <c r="C47" s="154"/>
      <c r="D47" s="1023" t="s">
        <v>1333</v>
      </c>
      <c r="E47" s="294" t="s">
        <v>1334</v>
      </c>
      <c r="F47" s="155" t="s">
        <v>1335</v>
      </c>
      <c r="G47" s="2330" t="s">
        <v>1336</v>
      </c>
      <c r="H47" s="2331"/>
      <c r="I47" s="151"/>
      <c r="J47" s="2307">
        <v>2</v>
      </c>
      <c r="K47" s="3274" t="s">
        <v>1337</v>
      </c>
      <c r="L47" s="3274"/>
      <c r="M47" s="3276">
        <f>'数据-取费表'!B2</f>
        <v>45587</v>
      </c>
      <c r="N47" s="3276"/>
      <c r="O47" s="3276"/>
    </row>
    <row r="48" spans="1:15" ht="25.5">
      <c r="A48" s="3336" t="s">
        <v>1338</v>
      </c>
      <c r="B48" s="3337"/>
      <c r="C48" s="3337"/>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74" t="s">
        <v>1340</v>
      </c>
      <c r="L48" s="3274"/>
      <c r="M48" s="3277">
        <f ca="1">H101</f>
        <v>2378</v>
      </c>
      <c r="N48" s="3277"/>
      <c r="O48" s="3277"/>
    </row>
    <row r="49" spans="1:35" ht="25.5" customHeight="1">
      <c r="A49" s="2151" t="s">
        <v>1341</v>
      </c>
      <c r="B49" s="3322" t="s">
        <v>1342</v>
      </c>
      <c r="C49" s="3322"/>
      <c r="D49" s="1477">
        <v>0</v>
      </c>
      <c r="E49" s="316" t="s">
        <v>1343</v>
      </c>
      <c r="F49" s="2232" t="s">
        <v>28</v>
      </c>
      <c r="G49" s="3305"/>
      <c r="H49" s="2133" t="s">
        <v>2133</v>
      </c>
      <c r="I49" s="2134"/>
      <c r="J49" s="2307">
        <v>4</v>
      </c>
      <c r="K49" s="3274" t="str">
        <f>IF(项目基本情况!E8="房地产抵押价值","房地产抵押价值","抵押担保权已注销时的房地产抵押价值")</f>
        <v>房地产抵押价值</v>
      </c>
      <c r="L49" s="3274"/>
      <c r="M49" s="3277">
        <f ca="1">IF(项目基本情况!E8="房地产抵押价值",H107,H109)</f>
        <v>2378</v>
      </c>
      <c r="N49" s="3277"/>
      <c r="O49" s="3277"/>
    </row>
    <row r="50" spans="1:35" ht="25.5" customHeight="1">
      <c r="A50" s="2335"/>
      <c r="B50" s="3322" t="s">
        <v>1344</v>
      </c>
      <c r="C50" s="3322"/>
      <c r="D50" s="2188"/>
      <c r="E50" s="323"/>
      <c r="F50" s="2232"/>
      <c r="G50" s="3306"/>
      <c r="H50" s="2135" t="s">
        <v>2134</v>
      </c>
      <c r="I50" s="2134"/>
      <c r="J50" s="3273" t="s">
        <v>1345</v>
      </c>
      <c r="K50" s="3273"/>
      <c r="L50" s="3273"/>
      <c r="M50" s="3273"/>
      <c r="N50" s="3273"/>
      <c r="O50" s="3273"/>
    </row>
    <row r="51" spans="1:35" ht="20.45" customHeight="1">
      <c r="A51" s="2336"/>
      <c r="B51" s="3322" t="s">
        <v>1346</v>
      </c>
      <c r="C51" s="3322"/>
      <c r="D51" s="1023"/>
      <c r="E51" s="319"/>
      <c r="F51" s="2232"/>
      <c r="G51" s="3307"/>
      <c r="H51" s="2135" t="s">
        <v>2135</v>
      </c>
      <c r="I51" s="2134"/>
      <c r="J51" s="2308" t="s">
        <v>1347</v>
      </c>
      <c r="K51" s="3274" t="s">
        <v>1348</v>
      </c>
      <c r="L51" s="3274"/>
      <c r="M51" s="2308" t="s">
        <v>1349</v>
      </c>
      <c r="N51" s="2308" t="s">
        <v>1350</v>
      </c>
      <c r="O51" s="2308" t="s">
        <v>1351</v>
      </c>
    </row>
    <row r="52" spans="1:35" ht="24" customHeight="1">
      <c r="A52" s="2152" t="s">
        <v>1352</v>
      </c>
      <c r="B52" s="3322" t="s">
        <v>1353</v>
      </c>
      <c r="C52" s="3322"/>
      <c r="D52" s="1023">
        <f ca="1">ROUND(D45*'数据-取费表'!B41/(1+'数据-取费表'!C42),0)</f>
        <v>125</v>
      </c>
      <c r="E52" s="1255" t="s">
        <v>1354</v>
      </c>
      <c r="F52" s="2337">
        <f>'数据-取费表'!B41</f>
        <v>5.5000000000000007E-2</v>
      </c>
      <c r="G52" s="2338"/>
      <c r="H52" s="2328"/>
      <c r="I52" s="1668"/>
      <c r="J52" s="2307">
        <v>1</v>
      </c>
      <c r="K52" s="3299" t="s">
        <v>1355</v>
      </c>
      <c r="L52" s="3299"/>
      <c r="M52" s="2309" t="b">
        <f>D48</f>
        <v>0</v>
      </c>
      <c r="N52" s="2307" t="str">
        <f>E48</f>
        <v>销售额×税（费）率</v>
      </c>
      <c r="O52" s="2310">
        <f>F48</f>
        <v>5.5000000000000007E-2</v>
      </c>
    </row>
    <row r="53" spans="1:35" ht="12" customHeight="1">
      <c r="A53" s="2152" t="s">
        <v>1356</v>
      </c>
      <c r="B53" s="3323" t="s">
        <v>2281</v>
      </c>
      <c r="C53" s="3324"/>
      <c r="D53" s="1023">
        <f ca="1">ROUND(D45*'数据-取费表'!B41/(1+'数据-取费表'!C42),0)</f>
        <v>125</v>
      </c>
      <c r="E53" s="1255" t="s">
        <v>1354</v>
      </c>
      <c r="F53" s="2337">
        <f>'数据-取费表'!B41</f>
        <v>5.5000000000000007E-2</v>
      </c>
      <c r="G53" s="2338"/>
      <c r="H53" s="2328"/>
      <c r="I53" s="1668"/>
      <c r="J53" s="2307">
        <v>2</v>
      </c>
      <c r="K53" s="3299" t="s">
        <v>1357</v>
      </c>
      <c r="L53" s="3299"/>
      <c r="M53" s="2309">
        <f t="shared" ref="M53:O54" ca="1" si="0">D55</f>
        <v>1</v>
      </c>
      <c r="N53" s="2307" t="str">
        <f t="shared" si="0"/>
        <v>销售额×税（费）率</v>
      </c>
      <c r="O53" s="2310" t="str">
        <f t="shared" si="0"/>
        <v>免征</v>
      </c>
    </row>
    <row r="54" spans="1:35" ht="12" customHeight="1">
      <c r="A54" s="2152" t="s">
        <v>1358</v>
      </c>
      <c r="B54" s="3323" t="s">
        <v>2282</v>
      </c>
      <c r="C54" s="3324"/>
      <c r="D54" s="1023">
        <f ca="1">C68</f>
        <v>125</v>
      </c>
      <c r="E54" s="319" t="s">
        <v>1359</v>
      </c>
      <c r="F54" s="2337">
        <f>'数据-取费表'!B41</f>
        <v>5.5000000000000007E-2</v>
      </c>
      <c r="G54" s="2338"/>
      <c r="H54" s="2339"/>
      <c r="I54" s="1668"/>
      <c r="J54" s="2307">
        <v>3</v>
      </c>
      <c r="K54" s="3299" t="s">
        <v>1360</v>
      </c>
      <c r="L54" s="3299"/>
      <c r="M54" s="2309">
        <f t="shared" ca="1" si="0"/>
        <v>1349</v>
      </c>
      <c r="N54" s="2307" t="str">
        <f t="shared" si="0"/>
        <v>增值额×税（费）率</v>
      </c>
      <c r="O54" s="2311" t="str">
        <f t="shared" si="0"/>
        <v>免征</v>
      </c>
    </row>
    <row r="55" spans="1:35" ht="24" customHeight="1">
      <c r="A55" s="3359" t="s">
        <v>1361</v>
      </c>
      <c r="B55" s="3337"/>
      <c r="C55" s="3337"/>
      <c r="D55" s="12">
        <f ca="1">IF(H55="个人住宅",0,ROUND(D45*I55,0))</f>
        <v>1</v>
      </c>
      <c r="E55" s="1255" t="s">
        <v>1362</v>
      </c>
      <c r="F55" s="2337" t="str">
        <f>IF(H55="正常",I55,"免征")</f>
        <v>免征</v>
      </c>
      <c r="G55" s="2338"/>
      <c r="H55" s="2334"/>
      <c r="I55" s="157">
        <f>'数据-取费表'!B49</f>
        <v>5.0000000000000001E-4</v>
      </c>
      <c r="J55" s="2307">
        <f>IF(H59="非个人房产","",4)</f>
        <v>4</v>
      </c>
      <c r="K55" s="3299" t="str">
        <f>IF(H59="非个人房产","——","个人所得税")</f>
        <v>个人所得税</v>
      </c>
      <c r="L55" s="3299"/>
      <c r="M55" s="2312">
        <f ca="1">D59</f>
        <v>23</v>
      </c>
      <c r="N55" s="1882" t="str">
        <f>E59</f>
        <v>差额计税</v>
      </c>
      <c r="O55" s="2313">
        <f>F59</f>
        <v>0.01</v>
      </c>
    </row>
    <row r="56" spans="1:35" ht="24.75">
      <c r="A56" s="3359" t="s">
        <v>1363</v>
      </c>
      <c r="B56" s="3337"/>
      <c r="C56" s="3337"/>
      <c r="D56" s="12">
        <f ca="1">IF(H56="个人住宅",D57,D58)</f>
        <v>1349</v>
      </c>
      <c r="E56" s="1255" t="s">
        <v>1364</v>
      </c>
      <c r="F56" s="2337" t="str">
        <f>IF(H56="正常",F58,"免征")</f>
        <v>免征</v>
      </c>
      <c r="G56" s="2340" t="s">
        <v>1365</v>
      </c>
      <c r="H56" s="2341"/>
      <c r="I56" s="1669"/>
      <c r="J56" s="2307" t="str">
        <f>IF(项目基本情况!K6="上海银行",IF(J55="",4,J55+1),"")</f>
        <v/>
      </c>
      <c r="K56" s="3280" t="str">
        <f>IF(项目基本情况!K6="上海银行","其他处置费用","")</f>
        <v/>
      </c>
      <c r="L56" s="3281"/>
      <c r="M56" s="2309" t="str">
        <f>IF(项目基本情况!K6="上海银行",M69,"")</f>
        <v/>
      </c>
      <c r="N56" s="3280" t="str">
        <f>IF(项目基本情况!K6="上海银行","包含处置中涉及的律师、诉讼、拍卖、评估等费用","")</f>
        <v/>
      </c>
      <c r="O56" s="3283"/>
    </row>
    <row r="57" spans="1:35" ht="12.75">
      <c r="A57" s="2152" t="s">
        <v>1341</v>
      </c>
      <c r="B57" s="3323" t="s">
        <v>1366</v>
      </c>
      <c r="C57" s="3324"/>
      <c r="D57" s="1477">
        <v>0</v>
      </c>
      <c r="E57" s="316" t="s">
        <v>1343</v>
      </c>
      <c r="F57" s="294"/>
      <c r="G57" s="2338"/>
      <c r="H57" s="2342"/>
      <c r="I57" s="1669"/>
      <c r="J57" s="3299">
        <f>IF(AND(J55="",J56=""),4,IF(项目基本情况!K6="上海银行",结果表!J56+1,结果表!J55+1))</f>
        <v>5</v>
      </c>
      <c r="K57" s="3299" t="s">
        <v>1367</v>
      </c>
      <c r="L57" s="2314" t="s">
        <v>1368</v>
      </c>
      <c r="M57" s="2315"/>
      <c r="N57" s="2316">
        <f ca="1">SUMIF(M52:M56,"&lt;9e307")</f>
        <v>1373</v>
      </c>
      <c r="O57" s="2317"/>
      <c r="P57" s="2460">
        <f ca="1">N57/M49</f>
        <v>0.57737594617325483</v>
      </c>
    </row>
    <row r="58" spans="1:35" ht="24.75">
      <c r="A58" s="2152" t="s">
        <v>1352</v>
      </c>
      <c r="B58" s="3323" t="s">
        <v>1369</v>
      </c>
      <c r="C58" s="3322"/>
      <c r="D58" s="12">
        <f ca="1">IF(H58="转让取得",C81,C97)</f>
        <v>1349</v>
      </c>
      <c r="E58" s="1255" t="s">
        <v>1364</v>
      </c>
      <c r="F58" s="294" t="s">
        <v>28</v>
      </c>
      <c r="G58" s="2338"/>
      <c r="H58" s="2341"/>
      <c r="I58" s="1669"/>
      <c r="J58" s="3299"/>
      <c r="K58" s="3299"/>
      <c r="L58" s="2314" t="s">
        <v>1370</v>
      </c>
      <c r="M58" s="2318"/>
      <c r="N58" s="2319" t="str">
        <f ca="1">NUMBERSTRING(INT(N57*10000),2)&amp;"元整"</f>
        <v>壹仟叁佰柒拾叁万元整</v>
      </c>
      <c r="O58" s="2320"/>
    </row>
    <row r="59" spans="1:35" ht="24.75" thickBot="1">
      <c r="A59" s="3303" t="s">
        <v>1371</v>
      </c>
      <c r="B59" s="3304"/>
      <c r="C59" s="3304"/>
      <c r="D59" s="2343">
        <f ca="1">IF(H59="非个人房产","——",IF(H59="个人住宅（满五唯一有凭证）",0,IF(H59="个人其他（无凭证）",ROUND(D45*F59,0),ROUND(C67*F59,0))))</f>
        <v>23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01">
        <f>J57+1</f>
        <v>6</v>
      </c>
      <c r="K59" s="3299" t="s">
        <v>1372</v>
      </c>
      <c r="L59" s="2307" t="s">
        <v>1368</v>
      </c>
      <c r="M59" s="2321"/>
      <c r="N59" s="2322">
        <f ca="1">M49-N57</f>
        <v>1005</v>
      </c>
      <c r="O59" s="2323"/>
    </row>
    <row r="60" spans="1:35" ht="12" customHeight="1">
      <c r="A60" s="1670"/>
      <c r="B60" s="645"/>
      <c r="C60" s="645"/>
      <c r="D60" s="645"/>
      <c r="E60" s="1465"/>
      <c r="F60" s="1669"/>
      <c r="G60" s="1669"/>
      <c r="H60" s="151"/>
      <c r="I60" s="121"/>
      <c r="J60" s="3302"/>
      <c r="K60" s="3299"/>
      <c r="L60" s="2314" t="s">
        <v>1370</v>
      </c>
      <c r="M60" s="2318"/>
      <c r="N60" s="2319" t="str">
        <f ca="1">NUMBERSTRING(INT(N59*10000),2)&amp;"元整"</f>
        <v>壹仟零伍万元整</v>
      </c>
      <c r="O60" s="2320"/>
    </row>
    <row r="61" spans="1:35" ht="13.5" thickBot="1">
      <c r="A61" s="3358" t="s">
        <v>1373</v>
      </c>
      <c r="B61" s="3358"/>
      <c r="C61" s="3358"/>
      <c r="D61" s="3358"/>
      <c r="E61" s="3358"/>
      <c r="F61" s="1669"/>
      <c r="G61" s="1669"/>
      <c r="H61" s="151"/>
      <c r="I61" s="121"/>
      <c r="J61" s="2307">
        <f>J59+1</f>
        <v>7</v>
      </c>
      <c r="K61" s="3299" t="s">
        <v>1374</v>
      </c>
      <c r="L61" s="3299"/>
      <c r="M61" s="2324"/>
      <c r="N61" s="2325">
        <f ca="1">ROUND(N59*10000/'数据-汇总表'!E3,0)</f>
        <v>4219</v>
      </c>
      <c r="O61" s="2326"/>
    </row>
    <row r="62" spans="1:35" ht="12.75">
      <c r="A62" s="3318" t="s">
        <v>1375</v>
      </c>
      <c r="B62" s="3319"/>
      <c r="C62" s="1864"/>
      <c r="D62" s="1864" t="s">
        <v>1376</v>
      </c>
      <c r="E62" s="158" t="s">
        <v>1377</v>
      </c>
      <c r="F62" s="1669"/>
      <c r="G62" s="1669"/>
      <c r="H62" s="151"/>
      <c r="I62" s="121"/>
    </row>
    <row r="63" spans="1:35" ht="12.75">
      <c r="A63" s="165" t="s">
        <v>330</v>
      </c>
      <c r="B63" s="159" t="s">
        <v>1378</v>
      </c>
      <c r="C63" s="2347">
        <f ca="1">ROUND((C64+C65)/(1+'数据-取费表'!C42),0)</f>
        <v>2265</v>
      </c>
      <c r="D63" s="159"/>
      <c r="E63" s="160"/>
      <c r="F63" s="1669"/>
      <c r="G63" s="1669"/>
      <c r="H63" s="151"/>
      <c r="I63" s="121"/>
      <c r="J63" s="3282" t="s">
        <v>1379</v>
      </c>
      <c r="K63" s="1244" t="s">
        <v>1380</v>
      </c>
      <c r="L63" s="1244">
        <f ca="1">IF(M49&gt;10000,M49*0.5%,IF(AND(M49&gt;1000,M49&lt;=10000),M49*1%,IF(AND(M49&gt;100,M49&lt;=1000),M49*3%,IF(AND(M49&gt;10,M49&lt;=100),M49*5%,M49*8%))))</f>
        <v>23.78</v>
      </c>
      <c r="M63" s="294">
        <f ca="1">ROUND(L63,1)</f>
        <v>23.8</v>
      </c>
      <c r="N63" s="2327"/>
      <c r="Z63" s="1622"/>
      <c r="AI63" s="1560"/>
    </row>
    <row r="64" spans="1:35" ht="14.25" customHeight="1">
      <c r="A64" s="161" t="s">
        <v>325</v>
      </c>
      <c r="B64" s="162" t="s">
        <v>1381</v>
      </c>
      <c r="C64" s="2348">
        <f ca="1">D45</f>
        <v>2378</v>
      </c>
      <c r="D64" s="162" t="s">
        <v>26</v>
      </c>
      <c r="E64" s="164"/>
      <c r="F64" s="1669"/>
      <c r="G64" s="1669"/>
      <c r="H64" s="151"/>
      <c r="I64" s="121"/>
      <c r="J64" s="3282"/>
      <c r="K64" s="1244" t="s">
        <v>1382</v>
      </c>
      <c r="L64" s="1244">
        <f ca="1">IF(M49&gt;2000,M49*0.5%,IF(AND(M49&gt;1000,M49&lt;=2000),M49*0.6%,IF(AND(M49&gt;500,M49&lt;=1000),M49*0.7%,IF(AND(M49&gt;200,M49&lt;=500),M49*0.8%,IF(AND(M49&gt;100,M49&lt;=200),M49*0.9%,IF(AND(M49&gt;50,M49&lt;=100),M49*1%,IF(AND(M49&gt;20,M49&lt;=50),M49*1.5%,IF(AND(M49&gt;10,M49&lt;=20),M49*2%,IF(AND(M49&gt;1,M49&lt;=10),M49*2.5%)))))))))</f>
        <v>11.89</v>
      </c>
      <c r="M64" s="294">
        <f t="shared" ref="M64:M65" ca="1" si="1">ROUND(L64,1)</f>
        <v>11.9</v>
      </c>
      <c r="N64" s="2328" t="s">
        <v>1383</v>
      </c>
      <c r="Z64" s="1622"/>
      <c r="AI64" s="1560"/>
    </row>
    <row r="65" spans="1:35" ht="14.25" customHeight="1">
      <c r="A65" s="161" t="s">
        <v>326</v>
      </c>
      <c r="B65" s="162" t="s">
        <v>1384</v>
      </c>
      <c r="C65" s="2349"/>
      <c r="D65" s="162"/>
      <c r="E65" s="164"/>
      <c r="F65" s="1669"/>
      <c r="G65" s="1669"/>
      <c r="H65" s="151"/>
      <c r="I65" s="121"/>
      <c r="J65" s="3282"/>
      <c r="K65" s="1244" t="s">
        <v>1385</v>
      </c>
      <c r="L65" s="1244">
        <f ca="1">IF(M49&gt;1000,M49*0.1%,IF(AND(M49&gt;500,M49&lt;=1000),M49*0.5%,IF(AND(M49&gt;50,M49&lt;=500),M49*1%,IF(AND(M49&gt;1,M49&lt;=50),M49*1.5%))))</f>
        <v>2.3780000000000001</v>
      </c>
      <c r="M65" s="294">
        <f t="shared" ca="1" si="1"/>
        <v>2.4</v>
      </c>
      <c r="N65" s="2328" t="s">
        <v>1383</v>
      </c>
      <c r="Z65" s="1622"/>
      <c r="AI65" s="1560"/>
    </row>
    <row r="66" spans="1:35" ht="14.25" customHeight="1">
      <c r="A66" s="165" t="s">
        <v>327</v>
      </c>
      <c r="B66" s="166" t="s">
        <v>1386</v>
      </c>
      <c r="C66" s="2350"/>
      <c r="D66" s="166" t="s">
        <v>26</v>
      </c>
      <c r="E66" s="1250" t="s">
        <v>671</v>
      </c>
      <c r="F66" s="1669"/>
      <c r="G66" s="1669"/>
      <c r="H66" s="151"/>
      <c r="I66" s="121"/>
      <c r="J66" s="3282"/>
      <c r="K66" s="1244" t="s">
        <v>1387</v>
      </c>
      <c r="L66" s="1244">
        <f ca="1">M49*0.5%</f>
        <v>11.89</v>
      </c>
      <c r="M66" s="294">
        <f ca="1">IF(L66&gt;0.5,0.5,ROUND(L66,0))</f>
        <v>0.5</v>
      </c>
      <c r="N66" s="2328" t="s">
        <v>1388</v>
      </c>
      <c r="Z66" s="1622"/>
      <c r="AI66" s="1560"/>
    </row>
    <row r="67" spans="1:35" ht="14.25" customHeight="1">
      <c r="A67" s="165" t="s">
        <v>328</v>
      </c>
      <c r="B67" s="166" t="s">
        <v>1389</v>
      </c>
      <c r="C67" s="2351">
        <f ca="1">C63-C66</f>
        <v>2265</v>
      </c>
      <c r="D67" s="162" t="s">
        <v>26</v>
      </c>
      <c r="E67" s="164"/>
      <c r="F67" s="1669"/>
      <c r="G67" s="1669"/>
      <c r="H67" s="151"/>
      <c r="I67" s="121"/>
      <c r="J67" s="3282"/>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125</v>
      </c>
      <c r="D68" s="2353">
        <f>'数据-取费表'!B41</f>
        <v>5.5000000000000007E-2</v>
      </c>
      <c r="E68" s="170"/>
      <c r="F68" s="1669"/>
      <c r="G68" s="1669"/>
      <c r="H68" s="151"/>
      <c r="I68" s="121"/>
      <c r="J68" s="3282"/>
      <c r="K68" s="1244" t="s">
        <v>1392</v>
      </c>
      <c r="L68" s="1244">
        <f ca="1">IF(M49&gt;10000,M49*0.5%,IF(AND(M49&gt;5000,M49&lt;=10000),M49*1%,IF(AND(M49&gt;1000,M49&lt;=5000),M49*2%,IF(AND(M49&gt;200,M49&lt;=1000),M49*3%,M49*5%))))</f>
        <v>47.56</v>
      </c>
      <c r="M68" s="294">
        <f ca="1">ROUND(L68,1)</f>
        <v>47.6</v>
      </c>
      <c r="N68" s="2327"/>
      <c r="Z68" s="1622"/>
      <c r="AI68" s="1560"/>
    </row>
    <row r="69" spans="1:35" ht="16.5" customHeight="1">
      <c r="A69" s="1671"/>
      <c r="B69" s="1672"/>
      <c r="C69" s="1673"/>
      <c r="D69" s="1674"/>
      <c r="E69" s="1675"/>
      <c r="F69" s="1465"/>
      <c r="G69" s="1465"/>
      <c r="H69" s="1466"/>
      <c r="I69" s="645"/>
      <c r="J69" s="3282"/>
      <c r="K69" s="1244" t="s">
        <v>1393</v>
      </c>
      <c r="L69" s="1244"/>
      <c r="M69" s="294">
        <f ca="1">ROUND(SUM(M63:M68),0)</f>
        <v>89</v>
      </c>
      <c r="N69" s="2329">
        <f ca="1">M69/M49</f>
        <v>3.7426408746846086E-2</v>
      </c>
      <c r="Z69" s="1622"/>
      <c r="AI69" s="1560"/>
    </row>
    <row r="70" spans="1:35" s="641" customFormat="1" ht="15" thickBot="1">
      <c r="A70" s="3326" t="s">
        <v>1394</v>
      </c>
      <c r="B70" s="3327"/>
      <c r="C70" s="3327"/>
      <c r="D70" s="3327"/>
      <c r="E70" s="3327"/>
      <c r="F70" s="3327"/>
      <c r="G70" s="3327"/>
      <c r="H70" s="33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8" t="s">
        <v>1375</v>
      </c>
      <c r="B71" s="331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2265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23" t="s">
        <v>1402</v>
      </c>
      <c r="F76" s="3322"/>
      <c r="G76" s="3322"/>
      <c r="H76" s="33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315" t="s">
        <v>1406</v>
      </c>
      <c r="F78" s="3316"/>
      <c r="G78" s="3316"/>
      <c r="H78" s="33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2254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204.90909090909091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1349</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6" t="s">
        <v>1410</v>
      </c>
      <c r="B83" s="3327"/>
      <c r="C83" s="3327"/>
      <c r="D83" s="3327"/>
      <c r="E83" s="3327"/>
      <c r="F83" s="3327"/>
      <c r="G83" s="3327"/>
      <c r="H83" s="33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8" t="s">
        <v>1375</v>
      </c>
      <c r="B84" s="331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2265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284" t="s">
        <v>2128</v>
      </c>
      <c r="H90" s="3285"/>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15" t="s">
        <v>1419</v>
      </c>
      <c r="F91" s="3316"/>
      <c r="G91" s="33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15" t="s">
        <v>1422</v>
      </c>
      <c r="F92" s="3316"/>
      <c r="G92" s="3316"/>
      <c r="H92" s="3317"/>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315" t="s">
        <v>1406</v>
      </c>
      <c r="F93" s="3316"/>
      <c r="G93" s="3316"/>
      <c r="H93" s="33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60" t="s">
        <v>1426</v>
      </c>
      <c r="F94" s="3361"/>
      <c r="G94" s="3361"/>
      <c r="H94" s="33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2254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204.90909090909091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1349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8" t="str">
        <f>C4</f>
        <v>成本法</v>
      </c>
      <c r="D101" s="2369" t="str">
        <f>D4</f>
        <v>收益法</v>
      </c>
      <c r="E101" s="3278" t="s">
        <v>1431</v>
      </c>
      <c r="F101" s="3279"/>
      <c r="G101" s="1686" t="s">
        <v>1432</v>
      </c>
      <c r="H101" s="2378">
        <f ca="1">H118</f>
        <v>2378</v>
      </c>
      <c r="I101" s="121"/>
    </row>
    <row r="102" spans="1:35" ht="18.75" customHeight="1">
      <c r="A102" s="3310" t="s">
        <v>1433</v>
      </c>
      <c r="B102" s="2367" t="s">
        <v>1432</v>
      </c>
      <c r="C102" s="2368">
        <f ca="1">IF(D32="楼面单价",ROUND(C19,0),C19)</f>
        <v>2885</v>
      </c>
      <c r="D102" s="2369">
        <f ca="1">IF(D32="楼面单价",ROUND(D19,0),D19)</f>
        <v>1196</v>
      </c>
      <c r="E102" s="3278"/>
      <c r="F102" s="3279"/>
      <c r="G102" s="1686" t="s">
        <v>1434</v>
      </c>
      <c r="H102" s="2338">
        <f ca="1">I118</f>
        <v>9983</v>
      </c>
      <c r="I102" s="121"/>
    </row>
    <row r="103" spans="1:35" ht="42.75" customHeight="1">
      <c r="A103" s="3310"/>
      <c r="B103" s="2367" t="s">
        <v>1434</v>
      </c>
      <c r="C103" s="2370">
        <f ca="1">C20</f>
        <v>12111</v>
      </c>
      <c r="D103" s="2371">
        <f ca="1">D20</f>
        <v>5021</v>
      </c>
      <c r="E103" s="3271" t="s">
        <v>1435</v>
      </c>
      <c r="F103" s="3272"/>
      <c r="G103" s="1687" t="s">
        <v>1436</v>
      </c>
      <c r="H103" s="2378">
        <f>IF(D36="正常操作",H104+H105+H106,H105+H106)</f>
        <v>0</v>
      </c>
      <c r="I103" s="121"/>
    </row>
    <row r="104" spans="1:35" ht="18.75" customHeight="1">
      <c r="A104" s="3310" t="s">
        <v>1437</v>
      </c>
      <c r="B104" s="2372" t="s">
        <v>1432</v>
      </c>
      <c r="C104" s="2373">
        <f ca="1">H118</f>
        <v>2378</v>
      </c>
      <c r="D104" s="2374"/>
      <c r="E104" s="1554" t="s">
        <v>1438</v>
      </c>
      <c r="F104" s="1547"/>
      <c r="G104" s="1687" t="s">
        <v>1436</v>
      </c>
      <c r="H104" s="2379">
        <f>IF(D36="同一抵押权人同一抵押物续贷",C36&amp;"（续贷，未扣减，详见特别提示）",C36)</f>
        <v>0</v>
      </c>
      <c r="I104" s="121"/>
    </row>
    <row r="105" spans="1:35" ht="18.75" customHeight="1" thickBot="1">
      <c r="A105" s="3320"/>
      <c r="B105" s="2375" t="s">
        <v>1434</v>
      </c>
      <c r="C105" s="2376">
        <f ca="1">I118</f>
        <v>9983</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279"/>
      <c r="G107" s="1686" t="s">
        <v>1432</v>
      </c>
      <c r="H107" s="2378">
        <f ca="1">IF(E107="——","——",H101-H103)</f>
        <v>2378</v>
      </c>
      <c r="I107" s="121"/>
    </row>
    <row r="108" spans="1:35" ht="18.75" customHeight="1">
      <c r="A108" s="121"/>
      <c r="B108" s="121"/>
      <c r="C108" s="121"/>
      <c r="D108" s="121"/>
      <c r="E108" s="3311"/>
      <c r="F108" s="3279"/>
      <c r="G108" s="1686" t="s">
        <v>1434</v>
      </c>
      <c r="H108" s="2338">
        <f ca="1">IF(H107=H101,H102,ROUND(H107*10000/'数据-汇总表'!E3,0))</f>
        <v>9983</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6" t="s">
        <v>1432</v>
      </c>
      <c r="H109" s="2381" t="str">
        <f>IF(E109="——","——",H101-H105-H106)</f>
        <v>——</v>
      </c>
      <c r="I109" s="121"/>
    </row>
    <row r="110" spans="1:35" ht="18.75" customHeight="1">
      <c r="A110" s="121"/>
      <c r="B110" s="121"/>
      <c r="C110" s="121"/>
      <c r="D110" s="121"/>
      <c r="E110" s="3311"/>
      <c r="F110" s="3279"/>
      <c r="G110" s="1686" t="s">
        <v>1434</v>
      </c>
      <c r="H110" s="2338"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6" t="s">
        <v>1432</v>
      </c>
      <c r="H111" s="2378" t="str">
        <f>IF(E111="——","——",N59)</f>
        <v>——</v>
      </c>
      <c r="I111" s="121"/>
    </row>
    <row r="112" spans="1:35" ht="18.75" customHeight="1" thickBot="1">
      <c r="A112" s="121"/>
      <c r="B112" s="121"/>
      <c r="C112" s="121"/>
      <c r="D112" s="121"/>
      <c r="E112" s="3313"/>
      <c r="F112" s="3314"/>
      <c r="G112" s="1689" t="s">
        <v>1434</v>
      </c>
      <c r="H112" s="2382" t="str">
        <f>IF(E111="——","——",N61)</f>
        <v>——</v>
      </c>
      <c r="I112" s="121"/>
    </row>
    <row r="113" spans="1:27" ht="18.75" customHeight="1">
      <c r="A113" s="121"/>
      <c r="B113" s="121"/>
      <c r="C113" s="121"/>
      <c r="D113" s="121"/>
      <c r="E113" s="3321" t="s">
        <v>1440</v>
      </c>
      <c r="F113" s="3321"/>
      <c r="G113" s="3321"/>
      <c r="H113" s="3321"/>
      <c r="I113" s="121"/>
    </row>
    <row r="114" spans="1:27" ht="3.75" customHeight="1">
      <c r="A114" s="645"/>
      <c r="B114" s="645"/>
      <c r="C114" s="645"/>
      <c r="D114" s="645"/>
      <c r="E114" s="1670"/>
      <c r="F114" s="1670"/>
      <c r="G114" s="1670"/>
      <c r="H114" s="1670"/>
      <c r="I114" s="645"/>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1936</v>
      </c>
      <c r="E118" s="2149">
        <f ca="1">ROUND(IF(C33="自定义",IF(D32="楼面单价",C34,D118*10000/B118),I118-G118),0)</f>
        <v>8127</v>
      </c>
      <c r="F118" s="2149">
        <f ca="1">ROUND(IF(D32="总价",C35,G118*B118/10000),0)</f>
        <v>442</v>
      </c>
      <c r="G118" s="2149">
        <f ca="1">ROUND(IF(D32="楼面单价",C35,F118*10000/B118),0)</f>
        <v>1856</v>
      </c>
      <c r="H118" s="2149">
        <f ca="1">ROUND(IF(D32="总价",C32,I118*B118/10000),0)</f>
        <v>2378</v>
      </c>
      <c r="I118" s="2149">
        <f ca="1">ROUND(IF(D32="楼面单价",C32,H118*10000/B118),0)</f>
        <v>9983</v>
      </c>
    </row>
    <row r="119" spans="1:27" ht="18.75" customHeight="1">
      <c r="A119" s="3286" t="s">
        <v>1452</v>
      </c>
      <c r="B119" s="3286"/>
      <c r="C119" s="3286"/>
      <c r="D119" s="3292" t="str">
        <f ca="1">NUMBERSTRING(INT(D118*10000),2)&amp;"元整"</f>
        <v>壹仟玖佰叁拾陆万元整</v>
      </c>
      <c r="E119" s="3293"/>
      <c r="F119" s="3292" t="str">
        <f ca="1">NUMBERSTRING(INT(F118*10000),2)&amp;"元整"</f>
        <v>肆佰肆拾贰万元整</v>
      </c>
      <c r="G119" s="3293"/>
      <c r="H119" s="3292" t="str">
        <f ca="1">NUMBERSTRING(INT(H118*10000),2)&amp;"元整"</f>
        <v>贰仟叁佰柒拾捌万元整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2" t="s">
        <v>1452</v>
      </c>
      <c r="B121" s="3294"/>
      <c r="C121" s="3293"/>
      <c r="D121" s="3292" t="str">
        <f>IF(D120=0,"零元整",NUMBERSTRING(INT(D120*10000),2)&amp;"元整")</f>
        <v>零元整</v>
      </c>
      <c r="E121" s="3294"/>
      <c r="F121" s="3294"/>
      <c r="G121" s="3294"/>
      <c r="H121" s="3294"/>
      <c r="I121" s="3293"/>
      <c r="AA121" s="683"/>
    </row>
    <row r="122" spans="1:27" ht="18.75" customHeight="1">
      <c r="A122" s="3298" t="str">
        <f>IF(项目基本情况!B9="房地产市场价值","",MID(E107,3,LEN(E107)-2))</f>
        <v>房地产抵押价值</v>
      </c>
      <c r="B122" s="3298"/>
      <c r="C122" s="3298"/>
      <c r="D122" s="3287">
        <f ca="1">H107</f>
        <v>2378</v>
      </c>
      <c r="E122" s="3288"/>
      <c r="F122" s="3288"/>
      <c r="G122" s="3288"/>
      <c r="H122" s="3288"/>
      <c r="I122" s="3289"/>
      <c r="AA122" s="683"/>
    </row>
    <row r="123" spans="1:27" ht="18.75" customHeight="1">
      <c r="A123" s="3286" t="s">
        <v>1452</v>
      </c>
      <c r="B123" s="3286"/>
      <c r="C123" s="3286"/>
      <c r="D123" s="3292" t="str">
        <f ca="1">NUMBERSTRING(INT(D122*10000),2)&amp;"元整"</f>
        <v>贰仟叁佰柒拾捌万元整</v>
      </c>
      <c r="E123" s="3294"/>
      <c r="F123" s="3294"/>
      <c r="G123" s="3294"/>
      <c r="H123" s="3294"/>
      <c r="I123" s="3293"/>
      <c r="AA123" s="683"/>
    </row>
    <row r="124" spans="1:27" ht="18.75" customHeight="1">
      <c r="A124" s="3298" t="str">
        <f>IF(项目基本情况!B9="房地产市场价值","",MID(E109,3,LEN(E109)-2))</f>
        <v/>
      </c>
      <c r="B124" s="3298"/>
      <c r="C124" s="3298"/>
      <c r="D124" s="3287" t="str">
        <f>H109</f>
        <v>——</v>
      </c>
      <c r="E124" s="3288"/>
      <c r="F124" s="3288"/>
      <c r="G124" s="3288"/>
      <c r="H124" s="3288"/>
      <c r="I124" s="3289"/>
      <c r="AA124" s="683"/>
    </row>
    <row r="125" spans="1:27" ht="18.75" customHeight="1">
      <c r="A125" s="3286" t="s">
        <v>1452</v>
      </c>
      <c r="B125" s="3286"/>
      <c r="C125" s="3286"/>
      <c r="D125" s="3292" t="e">
        <f>NUMBERSTRING(INT(D124*10000),2)&amp;"元整"</f>
        <v>#VALUE!</v>
      </c>
      <c r="E125" s="3294"/>
      <c r="F125" s="3294"/>
      <c r="G125" s="3294"/>
      <c r="H125" s="3294"/>
      <c r="I125" s="3293"/>
      <c r="AA125" s="683"/>
    </row>
    <row r="126" spans="1:27" ht="18.75" customHeight="1">
      <c r="A126" s="3298" t="str">
        <f>IF(项目基本情况!B9="房地产市场价值","",MID(E111,3,LEN(E111)-2))</f>
        <v/>
      </c>
      <c r="B126" s="3298"/>
      <c r="C126" s="3298"/>
      <c r="D126" s="3287" t="str">
        <f>H111</f>
        <v>——</v>
      </c>
      <c r="E126" s="3288"/>
      <c r="F126" s="3288"/>
      <c r="G126" s="3288"/>
      <c r="H126" s="3288"/>
      <c r="I126" s="3289"/>
      <c r="AA126" s="683"/>
    </row>
    <row r="127" spans="1:27" ht="18.75" customHeight="1">
      <c r="A127" s="3286" t="s">
        <v>1452</v>
      </c>
      <c r="B127" s="3286"/>
      <c r="C127" s="3286"/>
      <c r="D127" s="3292" t="e">
        <f>NUMBERSTRING(INT(D126*10000),2)&amp;"元整"</f>
        <v>#VALUE!</v>
      </c>
      <c r="E127" s="3294"/>
      <c r="F127" s="3294"/>
      <c r="G127" s="3294"/>
      <c r="H127" s="3294"/>
      <c r="I127" s="3293"/>
      <c r="AA127" s="683"/>
    </row>
    <row r="128" spans="1:27" ht="21.75" customHeight="1">
      <c r="A128" s="3295" t="s">
        <v>1453</v>
      </c>
      <c r="B128" s="3295"/>
      <c r="C128" s="3295"/>
      <c r="D128" s="3295"/>
      <c r="E128" s="3295"/>
      <c r="F128" s="3295"/>
      <c r="G128" s="3295"/>
      <c r="H128" s="3295"/>
      <c r="I128" s="329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北京市怀柔区雁栖经济开发区雁栖大街8号房地产抵押价值预评估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M16" zoomScale="85" zoomScaleNormal="60" zoomScaleSheetLayoutView="85" workbookViewId="0">
      <selection activeCell="R41" sqref="R41:W4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2131</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8946</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384" t="s">
        <v>1775</v>
      </c>
      <c r="Q4" s="3385"/>
      <c r="R4" s="3394" t="s">
        <v>1771</v>
      </c>
      <c r="S4" s="3395"/>
      <c r="T4" s="3394" t="s">
        <v>1772</v>
      </c>
      <c r="U4" s="3395"/>
      <c r="V4" s="3372" t="s">
        <v>1773</v>
      </c>
      <c r="W4" s="3372"/>
      <c r="X4" s="1264"/>
      <c r="Y4" s="3394" t="s">
        <v>1775</v>
      </c>
      <c r="Z4" s="3395"/>
      <c r="AA4" s="3377" t="s">
        <v>1771</v>
      </c>
      <c r="AB4" s="3378" t="s">
        <v>1772</v>
      </c>
      <c r="AC4" s="3377" t="s">
        <v>1773</v>
      </c>
    </row>
    <row r="5" spans="1:29" ht="63.75" customHeight="1">
      <c r="A5" s="348"/>
      <c r="B5" s="349"/>
      <c r="C5" s="3398" t="s">
        <v>1673</v>
      </c>
      <c r="D5" s="3399"/>
      <c r="E5" s="3390" t="str">
        <f>Sheet1!A2</f>
        <v>怀柔科学城HR00-0213-6038地块M1一类工业用地国有建设用地</v>
      </c>
      <c r="F5" s="3391"/>
      <c r="G5" s="3398" t="str">
        <f>Sheet1!A3</f>
        <v>未来科学城科研成果转化基地(原小汤山镇工业区)(一期)项目CP04-0201-0010地块M1一类工业用地</v>
      </c>
      <c r="H5" s="3399"/>
      <c r="I5" s="3398" t="str">
        <f>Sheet1!A4</f>
        <v>昌平区北七家工业园区土地一级开发(一期)项目CP01-1502-0007地块M1一类工业用地</v>
      </c>
      <c r="J5" s="3399"/>
      <c r="K5" s="537"/>
      <c r="L5" s="2482"/>
      <c r="M5" s="2483"/>
      <c r="N5" s="2483"/>
      <c r="O5" s="2483"/>
      <c r="P5" s="3386"/>
      <c r="Q5" s="3387"/>
      <c r="R5" s="3396"/>
      <c r="S5" s="3397"/>
      <c r="T5" s="3396"/>
      <c r="U5" s="3397"/>
      <c r="V5" s="3372"/>
      <c r="W5" s="3372"/>
      <c r="X5" s="1264"/>
      <c r="Y5" s="3396"/>
      <c r="Z5" s="3397"/>
      <c r="AA5" s="3378"/>
      <c r="AB5" s="3378"/>
      <c r="AC5" s="3378"/>
    </row>
    <row r="6" spans="1:29" ht="15.75" thickBot="1">
      <c r="A6" s="350"/>
      <c r="B6" s="351"/>
      <c r="C6" s="3400" t="s">
        <v>1919</v>
      </c>
      <c r="D6" s="3401"/>
      <c r="E6" s="3403" t="s">
        <v>1919</v>
      </c>
      <c r="F6" s="3404"/>
      <c r="G6" s="3400" t="s">
        <v>1919</v>
      </c>
      <c r="H6" s="3401"/>
      <c r="I6" s="3400" t="s">
        <v>1919</v>
      </c>
      <c r="J6" s="3401"/>
      <c r="K6" s="537" t="s">
        <v>1678</v>
      </c>
      <c r="L6" s="2482"/>
      <c r="M6" s="2483"/>
      <c r="N6" s="2483"/>
      <c r="O6" s="2483"/>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70" t="s">
        <v>1680</v>
      </c>
      <c r="Q7" s="3402"/>
      <c r="R7" s="663" t="s">
        <v>14</v>
      </c>
      <c r="S7" s="664">
        <f t="shared" ref="S7:S15" si="0">F7</f>
        <v>100</v>
      </c>
      <c r="T7" s="663" t="s">
        <v>14</v>
      </c>
      <c r="U7" s="664">
        <f t="shared" ref="U7:U15" si="1">H7</f>
        <v>100</v>
      </c>
      <c r="V7" s="663" t="s">
        <v>14</v>
      </c>
      <c r="W7" s="664">
        <f t="shared" ref="W7:W15" si="2">J7</f>
        <v>100</v>
      </c>
      <c r="X7" s="665"/>
      <c r="Y7" s="3370" t="s">
        <v>1680</v>
      </c>
      <c r="Z7" s="3371"/>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70" t="s">
        <v>1683</v>
      </c>
      <c r="Q8" s="3371"/>
      <c r="R8" s="663" t="s">
        <v>14</v>
      </c>
      <c r="S8" s="664">
        <f t="shared" si="0"/>
        <v>100</v>
      </c>
      <c r="T8" s="663" t="s">
        <v>14</v>
      </c>
      <c r="U8" s="664">
        <f t="shared" si="1"/>
        <v>100</v>
      </c>
      <c r="V8" s="663" t="s">
        <v>14</v>
      </c>
      <c r="W8" s="664">
        <f t="shared" si="2"/>
        <v>100</v>
      </c>
      <c r="X8" s="665"/>
      <c r="Y8" s="3370" t="s">
        <v>1683</v>
      </c>
      <c r="Z8" s="3371"/>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8"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6">
        <v>100</v>
      </c>
      <c r="G10" s="371"/>
      <c r="H10" s="3176">
        <v>100</v>
      </c>
      <c r="I10" s="371"/>
      <c r="J10" s="3176">
        <v>100</v>
      </c>
      <c r="K10" s="592"/>
      <c r="L10" s="2485"/>
      <c r="M10" s="2486"/>
      <c r="N10" s="2486"/>
      <c r="O10" s="2537"/>
      <c r="P10" s="3368"/>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68"/>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8"/>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8"/>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8"/>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73" t="s">
        <v>1691</v>
      </c>
      <c r="Q15" s="1262" t="str">
        <f t="shared" si="6"/>
        <v>产业集聚程度</v>
      </c>
      <c r="R15" s="666" t="s">
        <v>14</v>
      </c>
      <c r="S15" s="667">
        <f t="shared" si="0"/>
        <v>100</v>
      </c>
      <c r="T15" s="666" t="s">
        <v>14</v>
      </c>
      <c r="U15" s="667">
        <f t="shared" si="1"/>
        <v>100</v>
      </c>
      <c r="V15" s="666" t="s">
        <v>14</v>
      </c>
      <c r="W15" s="667">
        <f t="shared" si="2"/>
        <v>100</v>
      </c>
      <c r="X15" s="1264"/>
      <c r="Y15" s="3373"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374"/>
      <c r="Q16" s="1262"/>
      <c r="R16" s="666"/>
      <c r="S16" s="667"/>
      <c r="T16" s="666"/>
      <c r="U16" s="667"/>
      <c r="V16" s="666"/>
      <c r="W16" s="667"/>
      <c r="X16" s="1264"/>
      <c r="Y16" s="3374"/>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74"/>
      <c r="Q17" s="1262" t="str">
        <f>B17</f>
        <v>交通便捷度</v>
      </c>
      <c r="R17" s="666" t="s">
        <v>14</v>
      </c>
      <c r="S17" s="667">
        <f>F17</f>
        <v>100</v>
      </c>
      <c r="T17" s="666" t="s">
        <v>14</v>
      </c>
      <c r="U17" s="667">
        <f>H17</f>
        <v>100</v>
      </c>
      <c r="V17" s="666" t="s">
        <v>14</v>
      </c>
      <c r="W17" s="667">
        <f>J17</f>
        <v>102</v>
      </c>
      <c r="X17" s="1264"/>
      <c r="Y17" s="3374"/>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374"/>
      <c r="Q18" s="1262"/>
      <c r="R18" s="666"/>
      <c r="S18" s="667"/>
      <c r="T18" s="666"/>
      <c r="U18" s="667"/>
      <c r="V18" s="666"/>
      <c r="W18" s="667"/>
      <c r="X18" s="1264"/>
      <c r="Y18" s="337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74"/>
      <c r="Q19" s="1262" t="str">
        <f t="shared" ref="Q19:Q33" si="8">B19</f>
        <v>区域土地利用方向</v>
      </c>
      <c r="R19" s="666" t="s">
        <v>14</v>
      </c>
      <c r="S19" s="667">
        <f>F19</f>
        <v>100</v>
      </c>
      <c r="T19" s="666" t="s">
        <v>14</v>
      </c>
      <c r="U19" s="667">
        <f>H19</f>
        <v>100</v>
      </c>
      <c r="V19" s="666" t="s">
        <v>14</v>
      </c>
      <c r="W19" s="667">
        <f>J19</f>
        <v>100</v>
      </c>
      <c r="X19" s="1264"/>
      <c r="Y19" s="3374"/>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374"/>
      <c r="Q20" s="1262"/>
      <c r="R20" s="666"/>
      <c r="S20" s="667"/>
      <c r="T20" s="666"/>
      <c r="U20" s="667"/>
      <c r="V20" s="666"/>
      <c r="W20" s="667"/>
      <c r="X20" s="1264"/>
      <c r="Y20" s="3374"/>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74"/>
      <c r="Q21" s="1262" t="str">
        <f t="shared" si="8"/>
        <v>环境状况</v>
      </c>
      <c r="R21" s="666" t="s">
        <v>14</v>
      </c>
      <c r="S21" s="667">
        <f>F21</f>
        <v>100</v>
      </c>
      <c r="T21" s="666" t="s">
        <v>14</v>
      </c>
      <c r="U21" s="667">
        <f>H21</f>
        <v>100</v>
      </c>
      <c r="V21" s="666" t="s">
        <v>14</v>
      </c>
      <c r="W21" s="667">
        <f>J21</f>
        <v>100</v>
      </c>
      <c r="X21" s="1264"/>
      <c r="Y21" s="3374"/>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374"/>
      <c r="Q22" s="1262"/>
      <c r="R22" s="666"/>
      <c r="S22" s="667"/>
      <c r="T22" s="666"/>
      <c r="U22" s="667"/>
      <c r="V22" s="666"/>
      <c r="W22" s="667"/>
      <c r="X22" s="1264"/>
      <c r="Y22" s="3374"/>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74"/>
      <c r="Q23" s="530" t="str">
        <f t="shared" si="8"/>
        <v>公共配套设施</v>
      </c>
      <c r="R23" s="663" t="s">
        <v>14</v>
      </c>
      <c r="S23" s="664">
        <f>F23</f>
        <v>100</v>
      </c>
      <c r="T23" s="663" t="s">
        <v>14</v>
      </c>
      <c r="U23" s="664">
        <f>H23</f>
        <v>100</v>
      </c>
      <c r="V23" s="663" t="s">
        <v>14</v>
      </c>
      <c r="W23" s="664">
        <f>J23</f>
        <v>102</v>
      </c>
      <c r="X23" s="665"/>
      <c r="Y23" s="3374"/>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374"/>
      <c r="Q24" s="530"/>
      <c r="R24" s="663"/>
      <c r="S24" s="664"/>
      <c r="T24" s="663"/>
      <c r="U24" s="664"/>
      <c r="V24" s="663"/>
      <c r="W24" s="664"/>
      <c r="X24" s="665"/>
      <c r="Y24" s="3374"/>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74"/>
      <c r="Q25" s="530" t="str">
        <f t="shared" ref="Q25" si="9">B25</f>
        <v>基础设施水平</v>
      </c>
      <c r="R25" s="663" t="s">
        <v>14</v>
      </c>
      <c r="S25" s="664">
        <f>F25</f>
        <v>100</v>
      </c>
      <c r="T25" s="663" t="s">
        <v>14</v>
      </c>
      <c r="U25" s="664">
        <f>H25</f>
        <v>100</v>
      </c>
      <c r="V25" s="663" t="s">
        <v>14</v>
      </c>
      <c r="W25" s="664">
        <f>J25</f>
        <v>100</v>
      </c>
      <c r="X25" s="665"/>
      <c r="Y25" s="3374"/>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374"/>
      <c r="Q26" s="530"/>
      <c r="R26" s="663"/>
      <c r="S26" s="664"/>
      <c r="T26" s="663"/>
      <c r="U26" s="664"/>
      <c r="V26" s="663"/>
      <c r="W26" s="664"/>
      <c r="X26" s="665"/>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4"/>
      <c r="Q28" s="1262" t="str">
        <f t="shared" si="8"/>
        <v>毗邻道路的类型与等级</v>
      </c>
      <c r="R28" s="666" t="s">
        <v>14</v>
      </c>
      <c r="S28" s="667">
        <f t="shared" si="10"/>
        <v>100</v>
      </c>
      <c r="T28" s="666" t="s">
        <v>14</v>
      </c>
      <c r="U28" s="667">
        <f t="shared" si="11"/>
        <v>100</v>
      </c>
      <c r="V28" s="666" t="s">
        <v>14</v>
      </c>
      <c r="W28" s="667">
        <f t="shared" si="12"/>
        <v>100</v>
      </c>
      <c r="X28" s="1264"/>
      <c r="Y28" s="337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74"/>
      <c r="Q29" s="1262"/>
      <c r="R29" s="666"/>
      <c r="S29" s="667"/>
      <c r="T29" s="666"/>
      <c r="U29" s="667"/>
      <c r="V29" s="666"/>
      <c r="W29" s="667"/>
      <c r="X29" s="1264"/>
      <c r="Y29" s="3374"/>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374"/>
      <c r="Q30" s="1262" t="str">
        <f t="shared" si="8"/>
        <v>土地级别</v>
      </c>
      <c r="R30" s="666" t="s">
        <v>14</v>
      </c>
      <c r="S30" s="667">
        <f t="shared" si="10"/>
        <v>100</v>
      </c>
      <c r="T30" s="666" t="s">
        <v>14</v>
      </c>
      <c r="U30" s="667">
        <f t="shared" si="11"/>
        <v>100</v>
      </c>
      <c r="V30" s="666" t="s">
        <v>14</v>
      </c>
      <c r="W30" s="667">
        <f t="shared" si="12"/>
        <v>104</v>
      </c>
      <c r="X30" s="1264"/>
      <c r="Y30" s="3374"/>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4"/>
      <c r="Q31" s="1262">
        <f t="shared" si="8"/>
        <v>111</v>
      </c>
      <c r="R31" s="666" t="s">
        <v>14</v>
      </c>
      <c r="S31" s="667">
        <f t="shared" si="10"/>
        <v>100</v>
      </c>
      <c r="T31" s="666" t="s">
        <v>14</v>
      </c>
      <c r="U31" s="667">
        <f t="shared" si="11"/>
        <v>100</v>
      </c>
      <c r="V31" s="666" t="s">
        <v>14</v>
      </c>
      <c r="W31" s="667">
        <f t="shared" si="12"/>
        <v>100</v>
      </c>
      <c r="X31" s="1264"/>
      <c r="Y31" s="337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75" t="s">
        <v>1696</v>
      </c>
      <c r="Q32" s="1262">
        <f t="shared" si="8"/>
        <v>111</v>
      </c>
      <c r="R32" s="666" t="s">
        <v>14</v>
      </c>
      <c r="S32" s="667">
        <f t="shared" si="10"/>
        <v>100</v>
      </c>
      <c r="T32" s="666" t="s">
        <v>14</v>
      </c>
      <c r="U32" s="667">
        <f t="shared" si="11"/>
        <v>100</v>
      </c>
      <c r="V32" s="666" t="s">
        <v>14</v>
      </c>
      <c r="W32" s="667">
        <f t="shared" si="12"/>
        <v>100</v>
      </c>
      <c r="X32" s="1264"/>
      <c r="Y32" s="337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6"/>
      <c r="Q33" s="1262">
        <f t="shared" si="8"/>
        <v>111</v>
      </c>
      <c r="R33" s="668" t="s">
        <v>14</v>
      </c>
      <c r="S33" s="669">
        <f t="shared" si="10"/>
        <v>100</v>
      </c>
      <c r="T33" s="668" t="s">
        <v>14</v>
      </c>
      <c r="U33" s="669">
        <f t="shared" si="11"/>
        <v>100</v>
      </c>
      <c r="V33" s="668" t="s">
        <v>14</v>
      </c>
      <c r="W33" s="669">
        <f t="shared" si="12"/>
        <v>100</v>
      </c>
      <c r="X33" s="670"/>
      <c r="Y33" s="3376"/>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376"/>
      <c r="Q34" s="1262" t="str">
        <f>B34</f>
        <v>宗地面积</v>
      </c>
      <c r="R34" s="666" t="s">
        <v>14</v>
      </c>
      <c r="S34" s="667">
        <f t="shared" si="10"/>
        <v>102</v>
      </c>
      <c r="T34" s="666" t="s">
        <v>14</v>
      </c>
      <c r="U34" s="667">
        <f t="shared" si="11"/>
        <v>101</v>
      </c>
      <c r="V34" s="666" t="s">
        <v>14</v>
      </c>
      <c r="W34" s="667">
        <f t="shared" si="12"/>
        <v>101</v>
      </c>
      <c r="X34" s="1264"/>
      <c r="Y34" s="3376"/>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76"/>
      <c r="Q35" s="1262" t="str">
        <f t="shared" ref="Q35:Q40" si="14">B35</f>
        <v>宗地形状</v>
      </c>
      <c r="R35" s="666" t="s">
        <v>14</v>
      </c>
      <c r="S35" s="667">
        <f t="shared" si="10"/>
        <v>100</v>
      </c>
      <c r="T35" s="666" t="s">
        <v>14</v>
      </c>
      <c r="U35" s="667">
        <f t="shared" si="11"/>
        <v>100</v>
      </c>
      <c r="V35" s="666" t="s">
        <v>14</v>
      </c>
      <c r="W35" s="667">
        <f t="shared" si="12"/>
        <v>100</v>
      </c>
      <c r="X35" s="1264"/>
      <c r="Y35" s="3376"/>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376"/>
      <c r="Q36" s="1262" t="str">
        <f t="shared" si="14"/>
        <v>宗地开发程度</v>
      </c>
      <c r="R36" s="663" t="s">
        <v>14</v>
      </c>
      <c r="S36" s="664">
        <f t="shared" si="10"/>
        <v>97</v>
      </c>
      <c r="T36" s="663" t="s">
        <v>14</v>
      </c>
      <c r="U36" s="664">
        <f t="shared" si="11"/>
        <v>100</v>
      </c>
      <c r="V36" s="663" t="s">
        <v>14</v>
      </c>
      <c r="W36" s="664">
        <f t="shared" si="12"/>
        <v>101</v>
      </c>
      <c r="X36" s="665"/>
      <c r="Y36" s="3376"/>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376" t="s">
        <v>1696</v>
      </c>
      <c r="Q37" s="1262" t="str">
        <f t="shared" si="14"/>
        <v>工程地质条件</v>
      </c>
      <c r="R37" s="666" t="s">
        <v>14</v>
      </c>
      <c r="S37" s="667">
        <f t="shared" si="10"/>
        <v>100</v>
      </c>
      <c r="T37" s="666" t="s">
        <v>14</v>
      </c>
      <c r="U37" s="667">
        <f t="shared" si="11"/>
        <v>100</v>
      </c>
      <c r="V37" s="666" t="s">
        <v>14</v>
      </c>
      <c r="W37" s="667">
        <f t="shared" si="12"/>
        <v>100</v>
      </c>
      <c r="X37" s="1264"/>
      <c r="Y37" s="337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6"/>
      <c r="Q38" s="1262">
        <f t="shared" si="14"/>
        <v>111</v>
      </c>
      <c r="R38" s="666" t="s">
        <v>14</v>
      </c>
      <c r="S38" s="667">
        <f t="shared" si="10"/>
        <v>100</v>
      </c>
      <c r="T38" s="666" t="s">
        <v>14</v>
      </c>
      <c r="U38" s="667">
        <f t="shared" si="11"/>
        <v>100</v>
      </c>
      <c r="V38" s="666" t="s">
        <v>14</v>
      </c>
      <c r="W38" s="667">
        <f t="shared" si="12"/>
        <v>100</v>
      </c>
      <c r="X38" s="1264"/>
      <c r="Y38" s="337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6"/>
      <c r="Q39" s="1262">
        <f t="shared" si="14"/>
        <v>111</v>
      </c>
      <c r="R39" s="666" t="s">
        <v>14</v>
      </c>
      <c r="S39" s="667">
        <f t="shared" si="10"/>
        <v>100</v>
      </c>
      <c r="T39" s="666" t="s">
        <v>14</v>
      </c>
      <c r="U39" s="667">
        <f t="shared" si="11"/>
        <v>100</v>
      </c>
      <c r="V39" s="666" t="s">
        <v>14</v>
      </c>
      <c r="W39" s="667">
        <f t="shared" si="12"/>
        <v>100</v>
      </c>
      <c r="X39" s="1264"/>
      <c r="Y39" s="337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6"/>
      <c r="Q40" s="1262">
        <f t="shared" si="14"/>
        <v>111</v>
      </c>
      <c r="R40" s="668" t="s">
        <v>14</v>
      </c>
      <c r="S40" s="669">
        <f t="shared" si="10"/>
        <v>100</v>
      </c>
      <c r="T40" s="668" t="s">
        <v>14</v>
      </c>
      <c r="U40" s="669">
        <f t="shared" si="11"/>
        <v>100</v>
      </c>
      <c r="V40" s="668" t="s">
        <v>14</v>
      </c>
      <c r="W40" s="669">
        <f t="shared" si="12"/>
        <v>100</v>
      </c>
      <c r="X40" s="670"/>
      <c r="Y40" s="3376"/>
      <c r="Z40" s="671">
        <f t="shared" si="13"/>
        <v>111</v>
      </c>
      <c r="AA40" s="1263">
        <f t="shared" si="3"/>
        <v>1</v>
      </c>
      <c r="AB40" s="1263">
        <f t="shared" si="4"/>
        <v>1</v>
      </c>
      <c r="AC40" s="1263">
        <f t="shared" si="5"/>
        <v>1</v>
      </c>
    </row>
    <row r="41" spans="1:31" ht="15">
      <c r="A41" s="416" t="s">
        <v>1844</v>
      </c>
      <c r="B41" s="1829" t="s">
        <v>3546</v>
      </c>
      <c r="C41" s="602" t="s">
        <v>0</v>
      </c>
      <c r="D41" s="418"/>
      <c r="E41" s="419">
        <f>Sheet1!BR2</f>
        <v>1956</v>
      </c>
      <c r="F41" s="420"/>
      <c r="G41" s="421">
        <f>Sheet1!BR3</f>
        <v>2099</v>
      </c>
      <c r="H41" s="422"/>
      <c r="I41" s="419">
        <f>Sheet1!BR4</f>
        <v>2050</v>
      </c>
      <c r="J41" s="422"/>
      <c r="K41" s="673"/>
      <c r="L41" s="2490"/>
      <c r="M41" s="2483"/>
      <c r="N41" s="2483"/>
      <c r="O41" s="2483"/>
      <c r="P41" s="3368" t="str">
        <f>A41</f>
        <v>成交单价</v>
      </c>
      <c r="Q41" s="3368"/>
      <c r="R41" s="3372">
        <f>E41</f>
        <v>1956</v>
      </c>
      <c r="S41" s="3372"/>
      <c r="T41" s="3372">
        <f>G41</f>
        <v>2099</v>
      </c>
      <c r="U41" s="3372"/>
      <c r="V41" s="3372">
        <f>I41</f>
        <v>2050</v>
      </c>
      <c r="W41" s="3372"/>
      <c r="X41" s="385"/>
      <c r="Y41" s="672"/>
      <c r="Z41" s="385"/>
      <c r="AA41" s="385"/>
      <c r="AB41" s="385"/>
      <c r="AC41" s="385"/>
    </row>
    <row r="42" spans="1:31" ht="15.75" thickBot="1">
      <c r="A42" s="423" t="s">
        <v>1793</v>
      </c>
      <c r="B42" s="603"/>
      <c r="C42" s="426">
        <f>R43</f>
        <v>1971</v>
      </c>
      <c r="D42" s="2140" t="s">
        <v>2137</v>
      </c>
      <c r="E42" s="426">
        <f>R42</f>
        <v>1977</v>
      </c>
      <c r="F42" s="2141"/>
      <c r="G42" s="425">
        <f>T42</f>
        <v>2078</v>
      </c>
      <c r="H42" s="2141"/>
      <c r="I42" s="426">
        <f>V42</f>
        <v>1857</v>
      </c>
      <c r="J42" s="2141"/>
      <c r="K42" s="2143">
        <f>F42+H42+J42</f>
        <v>0</v>
      </c>
      <c r="L42" s="2490"/>
      <c r="M42" s="2483"/>
      <c r="N42" s="2483"/>
      <c r="O42" s="2483"/>
      <c r="P42" s="3368" t="str">
        <f>A42</f>
        <v>比较价值（元/平方米）</v>
      </c>
      <c r="Q42" s="3368"/>
      <c r="R42" s="3369">
        <f>ROUND(PRODUCT(R41,AA7:AA40),0)</f>
        <v>1977</v>
      </c>
      <c r="S42" s="3369"/>
      <c r="T42" s="3369">
        <f>ROUND(PRODUCT(T41,AB7:AB40),0)</f>
        <v>2078</v>
      </c>
      <c r="U42" s="3369"/>
      <c r="V42" s="3369">
        <f>ROUND(PRODUCT(V41,AC7:AC40),0)</f>
        <v>1857</v>
      </c>
      <c r="W42" s="3369"/>
      <c r="X42" s="385"/>
      <c r="Y42" s="385"/>
      <c r="Z42" s="385"/>
      <c r="AA42" s="385"/>
      <c r="AB42" s="385"/>
      <c r="AC42" s="385"/>
    </row>
    <row r="43" spans="1:31" ht="15.75" thickBot="1">
      <c r="A43" s="427" t="s">
        <v>1794</v>
      </c>
      <c r="B43" s="428"/>
      <c r="C43" s="429">
        <f>R43</f>
        <v>1971</v>
      </c>
      <c r="D43" s="429"/>
      <c r="E43" s="429"/>
      <c r="F43" s="429"/>
      <c r="G43" s="429"/>
      <c r="H43" s="429"/>
      <c r="I43" s="429"/>
      <c r="J43" s="429"/>
      <c r="K43" s="674"/>
      <c r="L43" s="2490"/>
      <c r="M43" s="2483"/>
      <c r="N43" s="2483"/>
      <c r="O43" s="2483"/>
      <c r="P43" s="3365" t="str">
        <f>A43</f>
        <v>估价对象XX用房的比较价值（楼面单价，元/平方米）</v>
      </c>
      <c r="Q43" s="3366"/>
      <c r="R43" s="3367">
        <f>ROUND(IF(D42="简单平均",AVERAGE(R42:W42),R42*F42+T42*H42+V42*J42),0)</f>
        <v>1971</v>
      </c>
      <c r="S43" s="3367"/>
      <c r="T43" s="3367"/>
      <c r="U43" s="3367"/>
      <c r="V43" s="3367"/>
      <c r="W43" s="336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1.0736196319018454E-2</v>
      </c>
      <c r="F46" s="435" t="str">
        <f>IF(OR(E46&gt;=0.3,E46&lt;=-0.3),"超过30%","")</f>
        <v/>
      </c>
      <c r="G46" s="434">
        <f>IF(G41&lt;G42,G42/G41-1,G41/G42-1)</f>
        <v>1.0105871029836289E-2</v>
      </c>
      <c r="H46" s="435" t="str">
        <f>IF(OR(G46&gt;=0.3,G46&lt;=-0.3),"超过30%","")</f>
        <v/>
      </c>
      <c r="I46" s="434">
        <f>IF(I41&lt;I42,I42/I41-1,I41/I42-1)</f>
        <v>0.10393107162089388</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5.1087506322711196E-2</v>
      </c>
      <c r="F47" s="435" t="str">
        <f>IF(OR(E47&gt;=0.2,E47&lt;=-0.2),"超过20%","")</f>
        <v/>
      </c>
      <c r="G47" s="434">
        <f>IF(G42&lt;I42,I42/G42-1,G42/I42-1)</f>
        <v>0.11900915455034999</v>
      </c>
      <c r="H47" s="435" t="str">
        <f>IF(OR(G47&gt;=0.2,G47&lt;=-0.2),"超过20%","")</f>
        <v/>
      </c>
      <c r="I47" s="434">
        <f>IF(I42&lt;E42,E42/I42-1,I42/E42-1)</f>
        <v>6.4620355411954655E-2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7.3108384458077769E-2</v>
      </c>
      <c r="F48" s="435" t="str">
        <f>IF(OR(E48&gt;=0.3,E48&lt;=-0.3),"超过30%","")</f>
        <v/>
      </c>
      <c r="G48" s="434">
        <f>IF(G41&lt;I41,I41/G41-1,G41/I41-1)</f>
        <v>2.3902439024390265E-2</v>
      </c>
      <c r="H48" s="435" t="str">
        <f>IF(OR(G48&gt;=0.3,G48&lt;=-0.3),"超过30%","")</f>
        <v/>
      </c>
      <c r="I48" s="434">
        <f>IF(I41&lt;E41,E41/I41-1,I41/E41-1)</f>
        <v>4.805725971370145E-2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80" t="s">
        <v>1887</v>
      </c>
      <c r="H50" s="3392"/>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1971</v>
      </c>
      <c r="C51" s="610">
        <v>1</v>
      </c>
      <c r="D51" s="889">
        <v>1</v>
      </c>
      <c r="E51" s="610">
        <f>'数据-汇总表'!E8+'数据-汇总表'!E9</f>
        <v>2382.1000000000004</v>
      </c>
      <c r="F51" s="611">
        <f t="shared" ref="F51:F60" si="15">ROUND(B51*E51/10000,0)</f>
        <v>470</v>
      </c>
      <c r="G51" s="3393"/>
      <c r="H51" s="3368"/>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2131</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I36 E36 G36" xr:uid="{00000000-0002-0000-1300-00000D000000}">
      <formula1>套工宗地开发程度</formula1>
    </dataValidation>
    <dataValidation type="list" allowBlank="1" showInputMessage="1" showErrorMessage="1" sqref="C37 G37 E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21"/>
  <sheetViews>
    <sheetView topLeftCell="K1" workbookViewId="0">
      <selection activeCell="BP29" sqref="BP29"/>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163"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162">
        <v>45554.000497685185</v>
      </c>
      <c r="AE2" s="3162">
        <v>45574.000497685185</v>
      </c>
      <c r="AF2" s="3162">
        <v>45587.000497685185</v>
      </c>
      <c r="AG2" s="3162">
        <v>45587.000497685185</v>
      </c>
      <c r="AH2" s="1155" t="s">
        <v>3529</v>
      </c>
      <c r="AI2" s="1155" t="s">
        <v>3530</v>
      </c>
      <c r="AJ2" s="1155" t="s">
        <v>3531</v>
      </c>
      <c r="AK2" s="1155" t="s">
        <v>3532</v>
      </c>
      <c r="AL2" s="1155" t="s">
        <v>3522</v>
      </c>
      <c r="AM2" s="1155" t="s">
        <v>3522</v>
      </c>
      <c r="AN2" s="1155">
        <v>14259.12</v>
      </c>
      <c r="AO2" s="1155">
        <v>2900</v>
      </c>
      <c r="AP2" s="3162">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162">
        <v>45617.000497685185</v>
      </c>
      <c r="BM2" s="1155">
        <v>14259.12</v>
      </c>
      <c r="BO2" s="3164">
        <f>ROUND(AW2*BQ16,0)</f>
        <v>1509</v>
      </c>
      <c r="BP2" s="3164"/>
      <c r="BQ2" s="3164"/>
      <c r="BR2" s="3164">
        <f>ROUND(BO2/BQ19,0)</f>
        <v>1956</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162">
        <v>45345.000497685185</v>
      </c>
      <c r="AE3" s="3162">
        <v>45365.000497685185</v>
      </c>
      <c r="AF3" s="3162">
        <v>45379.000497685185</v>
      </c>
      <c r="AG3" s="3162">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164">
        <f>ROUND(AW3*BQ16,0)</f>
        <v>1803</v>
      </c>
      <c r="BR3" s="3164">
        <f>ROUND(BO3/BP20,0)</f>
        <v>2099</v>
      </c>
    </row>
    <row r="4" spans="1:70" s="3172"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162">
        <v>45275.000497685185</v>
      </c>
      <c r="AE4" s="3162">
        <v>45295.000497685185</v>
      </c>
      <c r="AF4" s="3162">
        <v>45309.000497685185</v>
      </c>
      <c r="AG4" s="3162">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162">
        <v>45341.000497685185</v>
      </c>
      <c r="BM4" s="1155">
        <v>6710.09</v>
      </c>
      <c r="BO4" s="3164">
        <f>ROUND(AW4*BQ16,0)</f>
        <v>1894</v>
      </c>
      <c r="BR4" s="3164">
        <f>ROUND(BO4/BP21,0)</f>
        <v>2050</v>
      </c>
    </row>
    <row r="13" spans="1:70">
      <c r="BO13" s="2854" t="s">
        <v>3539</v>
      </c>
      <c r="BP13" s="3165" t="s">
        <v>3540</v>
      </c>
      <c r="BQ13" s="2854" t="s">
        <v>3541</v>
      </c>
    </row>
    <row r="14" spans="1:70">
      <c r="BO14" s="2854">
        <f>'数据-取费表'!H6</f>
        <v>4.4999999999999998E-2</v>
      </c>
      <c r="BP14" s="3165">
        <f>项目基本情况!H15</f>
        <v>23.03</v>
      </c>
      <c r="BQ14" s="2854">
        <v>0.6371</v>
      </c>
    </row>
    <row r="15" spans="1:70">
      <c r="BO15" s="2854"/>
      <c r="BP15" s="3165" t="s">
        <v>3542</v>
      </c>
      <c r="BQ15" s="2854">
        <f>ROUND(1-1/(1+BO14)^20,4)</f>
        <v>0.58540000000000003</v>
      </c>
      <c r="BR15" s="1404"/>
    </row>
    <row r="16" spans="1:70">
      <c r="BO16" s="2854"/>
      <c r="BP16" s="3165"/>
      <c r="BQ16" s="2854">
        <f>ROUND(BQ14/BQ15,4)</f>
        <v>1.0883</v>
      </c>
    </row>
    <row r="17" spans="60:69">
      <c r="BO17" s="2854" t="s">
        <v>3415</v>
      </c>
      <c r="BP17" s="3165" t="s">
        <v>3543</v>
      </c>
      <c r="BQ17" s="2854" t="s">
        <v>3544</v>
      </c>
    </row>
    <row r="18" spans="60:69">
      <c r="BO18" s="2854">
        <v>1</v>
      </c>
      <c r="BP18" s="2854">
        <v>1</v>
      </c>
      <c r="BQ18" s="2854">
        <v>1</v>
      </c>
    </row>
    <row r="19" spans="60:69">
      <c r="BH19" s="1404" t="s">
        <v>3581</v>
      </c>
      <c r="BO19" s="2854">
        <v>1.9</v>
      </c>
      <c r="BP19" s="2854">
        <v>0.77149999999999996</v>
      </c>
      <c r="BQ19" s="2854">
        <f>BP19*BQ18/BP18</f>
        <v>0.77149999999999996</v>
      </c>
    </row>
    <row r="20" spans="60:69">
      <c r="BH20" s="1404" t="s">
        <v>3581</v>
      </c>
      <c r="BO20" s="3179">
        <v>1.5</v>
      </c>
      <c r="BP20" s="2854">
        <v>0.8589</v>
      </c>
      <c r="BQ20" s="3179">
        <f>BP20*BQ18/BP18</f>
        <v>0.8589</v>
      </c>
    </row>
    <row r="21" spans="60:69">
      <c r="BH21" s="1404" t="s">
        <v>3582</v>
      </c>
      <c r="BO21" s="2854">
        <v>1.5</v>
      </c>
      <c r="BP21" s="2854">
        <v>0.92379999999999995</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14"/>
      <c r="B4" s="3415"/>
      <c r="C4" s="3415"/>
      <c r="D4" s="3416"/>
      <c r="E4" s="3416"/>
      <c r="F4" s="3416"/>
      <c r="G4" s="3416"/>
      <c r="H4" s="3416"/>
      <c r="I4" s="3416"/>
      <c r="J4" s="3417"/>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11" t="s">
        <v>1959</v>
      </c>
      <c r="X8" s="3412"/>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413"/>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1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18" t="s">
        <v>3246</v>
      </c>
      <c r="B20" s="159" t="s">
        <v>1993</v>
      </c>
      <c r="C20" s="3027">
        <f>ROUND(IF(F21="与级别开发程度一致",0,(G21-E21)/C21),0)</f>
        <v>40</v>
      </c>
      <c r="D20" s="3042" t="s">
        <v>1997</v>
      </c>
      <c r="E20" s="3043"/>
      <c r="F20" s="3424" t="s">
        <v>1994</v>
      </c>
      <c r="G20" s="3425"/>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19"/>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22"/>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23"/>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23"/>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14.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4">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4">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4.7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20" t="s">
        <v>3286</v>
      </c>
      <c r="B103" s="3420"/>
      <c r="C103" s="3420"/>
      <c r="D103" s="3420"/>
      <c r="E103" s="3420"/>
      <c r="F103" s="3420"/>
      <c r="G103" s="3420"/>
      <c r="H103" s="3420"/>
      <c r="I103" s="3420"/>
      <c r="J103" s="3420"/>
      <c r="K103" s="1666"/>
      <c r="L103" s="1666"/>
      <c r="M103" s="1666"/>
      <c r="N103" s="1666"/>
    </row>
    <row r="104" spans="1:14">
      <c r="A104" s="3421" t="s">
        <v>3287</v>
      </c>
      <c r="B104" s="3421" t="s">
        <v>3288</v>
      </c>
      <c r="C104" s="3086" t="s">
        <v>3289</v>
      </c>
      <c r="D104" s="3087"/>
      <c r="E104" s="3087"/>
      <c r="F104" s="3087"/>
      <c r="G104" s="3087"/>
      <c r="H104" s="3087"/>
      <c r="I104" s="3087"/>
      <c r="J104" s="3088"/>
      <c r="K104" s="3089"/>
      <c r="L104" s="3089"/>
      <c r="M104" s="3089"/>
      <c r="N104" s="3089"/>
    </row>
    <row r="105" spans="1:14">
      <c r="A105" s="3421"/>
      <c r="B105" s="3421"/>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07"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0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0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0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0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08"/>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0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10" t="s">
        <v>3303</v>
      </c>
      <c r="B113" s="3410"/>
      <c r="C113" s="3410"/>
      <c r="D113" s="3410"/>
      <c r="E113" s="3410"/>
      <c r="F113" s="3410"/>
      <c r="G113" s="3410"/>
      <c r="H113" s="3410"/>
      <c r="I113" s="3410"/>
      <c r="J113" s="3410"/>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F43" sqref="F4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2885</v>
      </c>
      <c r="C2" s="191" t="s">
        <v>1463</v>
      </c>
      <c r="D2" s="1710" t="s">
        <v>3547</v>
      </c>
      <c r="E2" s="1088">
        <f ca="1">SUMIF(INDIRECT("'"&amp;G2&amp;"'"&amp;"!A:A"),"承租人权益价值",INDIRECT("'"&amp;G2&amp;"'"&amp;"!c:c"))</f>
        <v>371</v>
      </c>
      <c r="F2" s="1711" t="s">
        <v>1463</v>
      </c>
      <c r="G2" s="1712" t="s">
        <v>3445</v>
      </c>
    </row>
    <row r="3" spans="1:9" s="192" customFormat="1" ht="18" customHeight="1" thickBot="1">
      <c r="A3" s="195" t="s">
        <v>1464</v>
      </c>
      <c r="B3" s="196">
        <f ca="1">ROUND(B2*10000/(IF(B1="",'数据-汇总表'!E3,INDIRECT("'数据-取费表'!k"&amp;$G$1))),0)</f>
        <v>12111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2225</v>
      </c>
      <c r="D5" s="203" t="s">
        <v>1469</v>
      </c>
      <c r="E5" s="204" t="s">
        <v>1470</v>
      </c>
      <c r="F5" s="204" t="s">
        <v>1471</v>
      </c>
      <c r="G5" s="205"/>
    </row>
    <row r="6" spans="1:9" s="206" customFormat="1" ht="13.5" customHeight="1">
      <c r="A6" s="731" t="s">
        <v>1472</v>
      </c>
      <c r="B6" s="207" t="s">
        <v>1473</v>
      </c>
      <c r="C6" s="208">
        <f>'土地比较法-工业'!B2</f>
        <v>2131</v>
      </c>
      <c r="D6" s="209"/>
      <c r="E6" s="210"/>
      <c r="F6" s="210"/>
      <c r="G6" s="211"/>
    </row>
    <row r="7" spans="1:9" s="206" customFormat="1" ht="13.5" customHeight="1">
      <c r="A7" s="731" t="s">
        <v>1474</v>
      </c>
      <c r="B7" s="207" t="s">
        <v>1475</v>
      </c>
      <c r="C7" s="212">
        <f>ROUND(C6*F7,0)</f>
        <v>65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70</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114</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114</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710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630</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426" t="s">
        <v>1544</v>
      </c>
    </row>
    <row r="43" spans="1:7" ht="13.5" customHeight="1">
      <c r="A43" s="733" t="s">
        <v>347</v>
      </c>
      <c r="B43" s="207" t="s">
        <v>1545</v>
      </c>
      <c r="C43" s="230">
        <f ca="1">ROUND(IF('数据-取费表'!B22&lt;=1,C39*F22*'数据-取费表'!B21/2,C39*(POWER((1+F22),'数据-取费表'!B21/2)-1)),0)</f>
        <v>0</v>
      </c>
      <c r="D43" s="230"/>
      <c r="E43" s="230"/>
      <c r="F43" s="231"/>
      <c r="G43" s="3427"/>
    </row>
    <row r="44" spans="1:7" ht="13.5" customHeight="1">
      <c r="A44" s="733" t="s">
        <v>348</v>
      </c>
      <c r="B44" s="207" t="s">
        <v>1546</v>
      </c>
      <c r="C44" s="230">
        <f ca="1">ROUND(IF('数据-取费表'!B22&lt;=1,C40*F22*'数据-取费表'!B21/2,C40*(POWER((1+F22),'数据-取费表'!B21/2)-1)),4)</f>
        <v>2.9999999999999997E-4</v>
      </c>
      <c r="D44" s="230"/>
      <c r="E44" s="230"/>
      <c r="F44" s="231"/>
      <c r="G44" s="3428"/>
    </row>
    <row r="45" spans="1:7" s="206" customFormat="1" ht="13.5" customHeight="1">
      <c r="A45" s="247" t="s">
        <v>1547</v>
      </c>
      <c r="B45" s="236" t="s">
        <v>1513</v>
      </c>
      <c r="C45" s="237">
        <f ca="1">C46</f>
        <v>36</v>
      </c>
      <c r="D45" s="227">
        <f ca="1">C47</f>
        <v>1E-3</v>
      </c>
      <c r="E45" s="228" t="s">
        <v>1539</v>
      </c>
      <c r="F45" s="238">
        <f ca="1">F27</f>
        <v>0.05</v>
      </c>
      <c r="G45" s="239" t="s">
        <v>1548</v>
      </c>
    </row>
    <row r="46" spans="1:7" s="206" customFormat="1" ht="13.5" customHeight="1">
      <c r="A46" s="733" t="s">
        <v>346</v>
      </c>
      <c r="B46" s="240" t="s">
        <v>1549</v>
      </c>
      <c r="C46" s="241">
        <f ca="1">ROUND((C33+C39)*F27,0)</f>
        <v>36</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832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607</v>
      </c>
      <c r="D51" s="224"/>
      <c r="E51" s="224"/>
      <c r="F51" s="256"/>
      <c r="G51" s="226" t="s">
        <v>1560</v>
      </c>
    </row>
    <row r="52" spans="1:7" s="200" customFormat="1" ht="16.5" thickBot="1">
      <c r="A52" s="257" t="s">
        <v>1561</v>
      </c>
      <c r="B52" s="258"/>
      <c r="C52" s="259">
        <f ca="1">C31+C51</f>
        <v>3256</v>
      </c>
      <c r="D52" s="258"/>
      <c r="E52" s="258"/>
      <c r="F52" s="258"/>
      <c r="G52" s="260"/>
    </row>
    <row r="55" spans="1:7" ht="15">
      <c r="B55" s="262" t="s">
        <v>1562</v>
      </c>
      <c r="C55" s="263"/>
    </row>
    <row r="56" spans="1:7">
      <c r="B56" s="265" t="s">
        <v>802</v>
      </c>
      <c r="C56" s="267">
        <f ca="1">1-C57</f>
        <v>0.81400000000000006</v>
      </c>
    </row>
    <row r="57" spans="1:7">
      <c r="B57" s="265" t="s">
        <v>803</v>
      </c>
      <c r="C57" s="266">
        <f ca="1">ROUND(C51/C52,3)</f>
        <v>0.186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692.47760000000005</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36446</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36446</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850420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7092108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6300655</v>
      </c>
      <c r="D34" s="209"/>
      <c r="E34" s="212"/>
      <c r="F34" s="249"/>
      <c r="G34" s="211"/>
    </row>
    <row r="35" spans="1:7" ht="13.5" customHeight="1">
      <c r="A35" s="733" t="s">
        <v>351</v>
      </c>
      <c r="B35" s="207" t="s">
        <v>1527</v>
      </c>
      <c r="C35" s="212">
        <f ca="1">ROUND(C34*F35,0)</f>
        <v>189020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126013</v>
      </c>
      <c r="D38" s="212"/>
      <c r="E38" s="212"/>
      <c r="F38" s="251">
        <f>'数据-取费表'!B36</f>
        <v>0.02</v>
      </c>
      <c r="G38" s="211" t="s">
        <v>1528</v>
      </c>
    </row>
    <row r="39" spans="1:7" s="206" customFormat="1" ht="13.5" customHeight="1">
      <c r="A39" s="247" t="s">
        <v>1534</v>
      </c>
      <c r="B39" s="202" t="s">
        <v>1535</v>
      </c>
      <c r="C39" s="224">
        <f ca="1">ROUND(C33*F20,0)</f>
        <v>141842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112127</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109928</v>
      </c>
      <c r="D42" s="230"/>
      <c r="E42" s="230"/>
      <c r="F42" s="231"/>
      <c r="G42" s="3426" t="s">
        <v>1591</v>
      </c>
    </row>
    <row r="43" spans="1:7" ht="13.5" customHeight="1">
      <c r="A43" s="733" t="s">
        <v>347</v>
      </c>
      <c r="B43" s="207" t="s">
        <v>1545</v>
      </c>
      <c r="C43" s="230">
        <f ca="1">ROUND(IF('数据-取费表'!B22&lt;=1,C39*F22*'数据-取费表'!B20/2,C39*(POWER((1+F22),'数据-取费表'!B20/2)-1)),0)</f>
        <v>2199</v>
      </c>
      <c r="D43" s="230"/>
      <c r="E43" s="230"/>
      <c r="F43" s="231"/>
      <c r="G43" s="3427"/>
    </row>
    <row r="44" spans="1:7" ht="13.5" customHeight="1">
      <c r="A44" s="733" t="s">
        <v>348</v>
      </c>
      <c r="B44" s="207" t="s">
        <v>1546</v>
      </c>
      <c r="C44" s="230">
        <f ca="1">ROUND(IF('数据-取费表'!B22&lt;=1,C40*F22*'数据-取费表'!B20/2,C40*(POWER((1+F22),'数据-取费表'!B20/2)-1)),4)</f>
        <v>2.9999999999999997E-4</v>
      </c>
      <c r="D44" s="230"/>
      <c r="E44" s="230"/>
      <c r="F44" s="231"/>
      <c r="G44" s="3428"/>
    </row>
    <row r="45" spans="1:7" s="206" customFormat="1" ht="13.5" customHeight="1">
      <c r="A45" s="247" t="s">
        <v>1547</v>
      </c>
      <c r="B45" s="236" t="s">
        <v>1513</v>
      </c>
      <c r="C45" s="237">
        <f ca="1">C46</f>
        <v>361698</v>
      </c>
      <c r="D45" s="227">
        <f ca="1">C47</f>
        <v>1E-3</v>
      </c>
      <c r="E45" s="228" t="s">
        <v>1539</v>
      </c>
      <c r="F45" s="238">
        <f ca="1">F27</f>
        <v>0.05</v>
      </c>
      <c r="G45" s="239" t="s">
        <v>1548</v>
      </c>
    </row>
    <row r="46" spans="1:7" s="206" customFormat="1" ht="13.5" customHeight="1">
      <c r="A46" s="733" t="s">
        <v>346</v>
      </c>
      <c r="B46" s="240" t="s">
        <v>1549</v>
      </c>
      <c r="C46" s="241">
        <f ca="1">ROUND((C33+C39)*F27,0)</f>
        <v>361698</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8321035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6074356</v>
      </c>
      <c r="D51" s="224"/>
      <c r="E51" s="224"/>
      <c r="F51" s="256"/>
      <c r="G51" s="226" t="s">
        <v>1560</v>
      </c>
    </row>
    <row r="52" spans="1:7" s="200" customFormat="1" ht="16.5" thickBot="1">
      <c r="A52" s="257" t="s">
        <v>1561</v>
      </c>
      <c r="B52" s="258"/>
      <c r="C52" s="259">
        <f ca="1">C31+C51</f>
        <v>6924776</v>
      </c>
      <c r="D52" s="258"/>
      <c r="E52" s="258"/>
      <c r="F52" s="258"/>
      <c r="G52" s="260"/>
    </row>
    <row r="55" spans="1:7" ht="15">
      <c r="B55" s="262" t="s">
        <v>1562</v>
      </c>
      <c r="C55" s="263"/>
    </row>
    <row r="56" spans="1:7">
      <c r="B56" s="265" t="s">
        <v>802</v>
      </c>
      <c r="C56" s="267">
        <f ca="1">1-C57</f>
        <v>0.123</v>
      </c>
    </row>
    <row r="57" spans="1:7">
      <c r="B57" s="265" t="s">
        <v>803</v>
      </c>
      <c r="C57" s="266">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1" zoomScaleNormal="70" zoomScaleSheetLayoutView="100" workbookViewId="0">
      <selection activeCell="D11" sqref="D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1196</v>
      </c>
      <c r="C2" s="1288" t="s">
        <v>805</v>
      </c>
      <c r="D2" s="1288"/>
      <c r="E2" s="1294"/>
      <c r="F2" s="1295"/>
      <c r="G2" s="2474"/>
      <c r="H2" s="2464"/>
      <c r="I2" s="2464"/>
      <c r="J2" s="2464"/>
      <c r="K2" s="2465"/>
      <c r="L2" s="2464"/>
      <c r="M2" s="2464"/>
    </row>
    <row r="3" spans="1:37" ht="18" customHeight="1" thickBot="1">
      <c r="A3" s="1296" t="s">
        <v>806</v>
      </c>
      <c r="B3" s="1297">
        <f ca="1">IF(ISERROR(B2*10000/F43),0,ROUND(B2*10000/F43,0))</f>
        <v>5021</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140</v>
      </c>
      <c r="K5" s="1272" t="s">
        <v>693</v>
      </c>
      <c r="L5" s="1007"/>
      <c r="M5" s="1008"/>
    </row>
    <row r="6" spans="1:37" ht="18" customHeight="1">
      <c r="A6" s="1005" t="s">
        <v>398</v>
      </c>
      <c r="B6" s="3431" t="s">
        <v>694</v>
      </c>
      <c r="C6" s="1010">
        <f ca="1">ROUND(F6*F8*F7*(1-F9)/10000,0)</f>
        <v>58</v>
      </c>
      <c r="D6" s="147" t="s">
        <v>2108</v>
      </c>
      <c r="E6" s="294" t="s">
        <v>696</v>
      </c>
      <c r="F6" s="295">
        <f ca="1">INDIRECT("'数据-取费表'!u"&amp;$G$1)</f>
        <v>0.67</v>
      </c>
      <c r="G6" s="1291"/>
      <c r="H6" s="1005" t="s">
        <v>398</v>
      </c>
      <c r="I6" s="3431" t="s">
        <v>694</v>
      </c>
      <c r="J6" s="293">
        <f ca="1">ROUND(M6*M8*M7*(1-M9)/10000,0)</f>
        <v>140</v>
      </c>
      <c r="K6" s="147" t="s">
        <v>2107</v>
      </c>
      <c r="L6" s="294" t="s">
        <v>696</v>
      </c>
      <c r="M6" s="295">
        <f ca="1">INDIRECT("'数据-取费表'!z"&amp;$G$1)</f>
        <v>1.79</v>
      </c>
    </row>
    <row r="7" spans="1:37" ht="18" customHeight="1">
      <c r="A7" s="1009"/>
      <c r="B7" s="3432"/>
      <c r="C7" s="1011"/>
      <c r="D7" s="299"/>
      <c r="E7" s="1012" t="s">
        <v>697</v>
      </c>
      <c r="F7" s="295">
        <f ca="1">IF(INDIRECT("'数据-取费表'!ah"&amp;$G$1)="",INDIRECT("'数据-取费表'!k"&amp;$G$1),INDIRECT("'数据-取费表'!ah"&amp;$G$1))</f>
        <v>2382.1000000000004</v>
      </c>
      <c r="G7" s="1291"/>
      <c r="H7" s="296"/>
      <c r="I7" s="3432"/>
      <c r="J7" s="298"/>
      <c r="K7" s="299"/>
      <c r="L7" s="294" t="s">
        <v>697</v>
      </c>
      <c r="M7" s="295">
        <f ca="1">F7</f>
        <v>2382.1000000000004</v>
      </c>
    </row>
    <row r="8" spans="1:37" ht="18" customHeight="1">
      <c r="A8" s="296"/>
      <c r="B8" s="3432"/>
      <c r="C8" s="298"/>
      <c r="D8" s="299"/>
      <c r="E8" s="294" t="s">
        <v>698</v>
      </c>
      <c r="F8" s="295">
        <f ca="1">INDIRECT("'数据-取费表'!ai"&amp;$G$1)</f>
        <v>365</v>
      </c>
      <c r="G8" s="1291"/>
      <c r="H8" s="296"/>
      <c r="I8" s="3432"/>
      <c r="J8" s="298"/>
      <c r="K8" s="299"/>
      <c r="L8" s="294" t="s">
        <v>698</v>
      </c>
      <c r="M8" s="295">
        <f ca="1">INDIRECT("'数据-取费表'!ai"&amp;$G$1)</f>
        <v>365</v>
      </c>
    </row>
    <row r="9" spans="1:37" ht="18" customHeight="1">
      <c r="A9" s="296"/>
      <c r="B9" s="3433"/>
      <c r="C9" s="298"/>
      <c r="D9" s="299"/>
      <c r="E9" s="294" t="s">
        <v>699</v>
      </c>
      <c r="F9" s="304">
        <f ca="1">INDIRECT("'数据-取费表'!w"&amp;$G$1)</f>
        <v>0</v>
      </c>
      <c r="G9" s="1291"/>
      <c r="H9" s="296"/>
      <c r="I9" s="3433"/>
      <c r="J9" s="298"/>
      <c r="K9" s="299"/>
      <c r="L9" s="305" t="s">
        <v>699</v>
      </c>
      <c r="M9" s="306">
        <f ca="1">INDIRECT("'数据-取费表'!ab"&amp;$G$1)</f>
        <v>0.1</v>
      </c>
    </row>
    <row r="10" spans="1:37" ht="18" customHeight="1">
      <c r="A10" s="1005" t="s">
        <v>402</v>
      </c>
      <c r="B10" s="1273" t="s">
        <v>700</v>
      </c>
      <c r="C10" s="308">
        <f ca="1">ROUND(IF(F10="押一",C6/12*F11,IF(F10="押二",C6/12*2*F11,IF(F10="押三",C6/12*3*F11,C11*F11))),0)</f>
        <v>1</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v>48</v>
      </c>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607</v>
      </c>
      <c r="D13" s="1017" t="s">
        <v>705</v>
      </c>
      <c r="E13" s="1017" t="s">
        <v>706</v>
      </c>
      <c r="F13" s="1018">
        <f ca="1">INDIRECT("'数据-取费表'!y"&amp;$G$1)</f>
        <v>0.73</v>
      </c>
      <c r="G13" s="1291"/>
      <c r="H13" s="1015">
        <v>2</v>
      </c>
      <c r="I13" s="1016" t="s">
        <v>704</v>
      </c>
      <c r="J13" s="1004">
        <f ca="1">ROUND(J14*J15,0)</f>
        <v>499</v>
      </c>
      <c r="K13" s="1023" t="s">
        <v>705</v>
      </c>
      <c r="L13" s="1298"/>
      <c r="M13" s="1299"/>
    </row>
    <row r="14" spans="1:37" ht="18" customHeight="1">
      <c r="A14" s="927" t="s">
        <v>397</v>
      </c>
      <c r="B14" s="294" t="s">
        <v>707</v>
      </c>
      <c r="C14" s="310">
        <f ca="1">INDIRECT("'数据-取费表'!m"&amp;$G$1)+INDIRECT("'数据-取费表'!t"&amp;$G$1)</f>
        <v>630</v>
      </c>
      <c r="D14" s="1256" t="s">
        <v>708</v>
      </c>
      <c r="E14" s="1254"/>
      <c r="F14" s="311"/>
      <c r="G14" s="1291"/>
      <c r="H14" s="927" t="s">
        <v>398</v>
      </c>
      <c r="I14" s="294" t="s">
        <v>709</v>
      </c>
      <c r="J14" s="21">
        <f ca="1">C29</f>
        <v>832</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31</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24.95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7.33</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710</v>
      </c>
      <c r="D19" s="123" t="s">
        <v>726</v>
      </c>
      <c r="E19" s="1268"/>
      <c r="F19" s="23"/>
      <c r="G19" s="1291"/>
      <c r="H19" s="927" t="s">
        <v>399</v>
      </c>
      <c r="I19" s="294" t="s">
        <v>727</v>
      </c>
      <c r="J19" s="21">
        <f ca="1">IF(K19="按租金收入计税",ROUND(J6*M19/(1+'数据-取费表'!C42),2),ROUND(C29*M19*0.7,2))</f>
        <v>16</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4.16</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1.4</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109</v>
      </c>
      <c r="K25" s="1031" t="s">
        <v>753</v>
      </c>
      <c r="L25" s="1032"/>
      <c r="M25" s="1033"/>
    </row>
    <row r="26" spans="1:37">
      <c r="A26" s="927" t="s">
        <v>397</v>
      </c>
      <c r="B26" s="294" t="s">
        <v>754</v>
      </c>
      <c r="C26" s="21">
        <f ca="1">ROUND((C19+C20)*F26,0)</f>
        <v>36</v>
      </c>
      <c r="D26" s="315" t="s">
        <v>755</v>
      </c>
      <c r="E26" s="305" t="s">
        <v>756</v>
      </c>
      <c r="F26" s="304">
        <f ca="1">INDIRECT("'数据-取费表'!q"&amp;$G$1)</f>
        <v>0.05</v>
      </c>
      <c r="G26" s="1291"/>
      <c r="H26" s="291" t="s">
        <v>395</v>
      </c>
      <c r="I26" s="292" t="s">
        <v>757</v>
      </c>
      <c r="J26" s="293">
        <f ca="1">IF(J5&lt;&gt;0,ROUND(J25*(1-((1+M28)/(1+M26))^M27)/(M26-M28),0),0)</f>
        <v>1266</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832</v>
      </c>
      <c r="D29" s="1028"/>
      <c r="E29" s="1026"/>
      <c r="F29" s="1029"/>
      <c r="G29" s="1302"/>
      <c r="H29" s="325" t="s">
        <v>396</v>
      </c>
      <c r="I29" s="326" t="s">
        <v>768</v>
      </c>
      <c r="J29" s="327">
        <f ca="1">ROUND(J26/(1+F40)^F41,0)</f>
        <v>872</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4.16</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0.61</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371</v>
      </c>
      <c r="D46" s="1312" t="str">
        <f>C2</f>
        <v>万元</v>
      </c>
      <c r="E46" s="1306"/>
      <c r="F46" s="1306"/>
      <c r="I46" s="1313" t="s">
        <v>810</v>
      </c>
      <c r="J46" s="1314"/>
      <c r="K46" s="1315"/>
      <c r="L46" s="1316">
        <f ca="1">IF(M47="住宅",0,IF(L48&gt;J51,L60,J60))</f>
        <v>63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1133</v>
      </c>
      <c r="R47" s="1326" t="s">
        <v>818</v>
      </c>
    </row>
    <row r="48" spans="1:18" s="1291" customFormat="1" ht="28.5" thickBot="1">
      <c r="A48" s="1046" t="s">
        <v>438</v>
      </c>
      <c r="B48" s="292" t="s">
        <v>692</v>
      </c>
      <c r="C48" s="1267">
        <f ca="1">C49+C53+C55</f>
        <v>125</v>
      </c>
      <c r="D48" s="1048"/>
      <c r="E48" s="1049"/>
      <c r="F48" s="907"/>
      <c r="G48" s="680"/>
      <c r="H48" s="681"/>
      <c r="I48" s="1327" t="s">
        <v>819</v>
      </c>
      <c r="J48" s="1328" t="s">
        <v>3448</v>
      </c>
      <c r="K48" s="1329" t="s">
        <v>820</v>
      </c>
      <c r="L48" s="1330">
        <f ca="1">INDIRECT("'数据-取费表'!f"&amp;$G$1)</f>
        <v>23.03</v>
      </c>
      <c r="O48" s="1324" t="s">
        <v>404</v>
      </c>
      <c r="P48" s="1325" t="s">
        <v>821</v>
      </c>
      <c r="Q48" s="1326">
        <f ca="1">J60</f>
        <v>63</v>
      </c>
      <c r="R48" s="1326" t="s">
        <v>822</v>
      </c>
    </row>
    <row r="49" spans="1:18" s="1291" customFormat="1" ht="13.5" thickBot="1">
      <c r="A49" s="920" t="s">
        <v>439</v>
      </c>
      <c r="B49" s="1278" t="s">
        <v>779</v>
      </c>
      <c r="C49" s="1050">
        <f ca="1">ROUND(F49*F51*F50*(1-F52)/10000,0)</f>
        <v>125</v>
      </c>
      <c r="D49" s="991" t="s">
        <v>2109</v>
      </c>
      <c r="E49" s="1279" t="s">
        <v>780</v>
      </c>
      <c r="F49" s="3180">
        <v>1.6</v>
      </c>
      <c r="H49" s="681"/>
      <c r="I49" s="1327" t="s">
        <v>823</v>
      </c>
      <c r="J49" s="1331">
        <v>2002</v>
      </c>
      <c r="K49" s="1329" t="s">
        <v>824</v>
      </c>
      <c r="L49" s="1332"/>
      <c r="O49" s="1333" t="s">
        <v>405</v>
      </c>
      <c r="P49" s="1325" t="s">
        <v>825</v>
      </c>
      <c r="Q49" s="1326">
        <f ca="1">C29</f>
        <v>832</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-9</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429" t="s">
        <v>837</v>
      </c>
      <c r="L53" s="3430"/>
      <c r="O53" s="1324" t="s">
        <v>409</v>
      </c>
      <c r="P53" s="1325" t="s">
        <v>838</v>
      </c>
      <c r="Q53" s="1326">
        <f ca="1">Q47+Q48</f>
        <v>1196</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607</v>
      </c>
      <c r="D56" s="1351"/>
      <c r="E56" s="1352"/>
      <c r="F56" s="1344"/>
      <c r="I56" s="1353" t="s">
        <v>842</v>
      </c>
      <c r="J56" s="1354" t="s">
        <v>3580</v>
      </c>
      <c r="K56" s="1327" t="s">
        <v>843</v>
      </c>
      <c r="L56" s="1330" t="str">
        <f ca="1">IF(L48&lt;J51,"——",L48-J53)</f>
        <v>——</v>
      </c>
      <c r="O56" s="1324" t="s">
        <v>403</v>
      </c>
      <c r="P56" s="1325" t="s">
        <v>817</v>
      </c>
      <c r="Q56" s="1326">
        <f ca="1">C40+J29</f>
        <v>1133</v>
      </c>
      <c r="R56" s="1326" t="s">
        <v>818</v>
      </c>
    </row>
    <row r="57" spans="1:18" s="1291" customFormat="1" ht="24.75" thickBot="1">
      <c r="A57" s="1355"/>
      <c r="B57" s="895" t="s">
        <v>767</v>
      </c>
      <c r="C57" s="230">
        <f ca="1">C29</f>
        <v>832</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333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6.55</v>
      </c>
      <c r="D60" s="909" t="s">
        <v>724</v>
      </c>
      <c r="E60" s="895" t="s">
        <v>712</v>
      </c>
      <c r="F60" s="322">
        <f t="shared" ref="F60:F66" si="0">F32</f>
        <v>5.5000000000000007E-2</v>
      </c>
      <c r="I60" s="1362" t="s">
        <v>853</v>
      </c>
      <c r="J60" s="1363">
        <f ca="1">IF(OR(M47="住宅",J51&lt;L48,J56="是"),"0",ROUND(J59/(1+J52)^J53,0))</f>
        <v>63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14.29</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1133</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4.16</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0.61</v>
      </c>
      <c r="D65" s="909" t="s">
        <v>743</v>
      </c>
      <c r="E65" s="895" t="s">
        <v>744</v>
      </c>
      <c r="F65" s="321">
        <f t="shared" ca="1" si="0"/>
        <v>1E-3</v>
      </c>
      <c r="I65" s="1366" t="s">
        <v>867</v>
      </c>
      <c r="J65" s="610">
        <v>40</v>
      </c>
      <c r="K65" s="610">
        <v>30</v>
      </c>
      <c r="L65" s="610">
        <v>50</v>
      </c>
      <c r="M65" s="1368">
        <v>0.02</v>
      </c>
      <c r="O65" s="1324" t="s">
        <v>403</v>
      </c>
      <c r="P65" s="1325" t="s">
        <v>868</v>
      </c>
      <c r="Q65" s="1326">
        <f ca="1">C40+J29</f>
        <v>1133</v>
      </c>
      <c r="R65" s="1326" t="s">
        <v>818</v>
      </c>
    </row>
    <row r="66" spans="1:18" s="1291" customFormat="1" ht="16.5" thickBot="1">
      <c r="A66" s="927" t="s">
        <v>793</v>
      </c>
      <c r="B66" s="895" t="s">
        <v>728</v>
      </c>
      <c r="C66" s="21">
        <f ca="1">ROUND(C48*F66,2)</f>
        <v>1.25</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97</v>
      </c>
      <c r="D67" s="908" t="s">
        <v>753</v>
      </c>
      <c r="E67" s="913"/>
      <c r="F67" s="914"/>
      <c r="O67" s="1333" t="s">
        <v>405</v>
      </c>
      <c r="P67" s="1325" t="s">
        <v>850</v>
      </c>
      <c r="Q67" s="1369">
        <f ca="1">L51</f>
        <v>-9</v>
      </c>
      <c r="R67" s="1326" t="s">
        <v>870</v>
      </c>
    </row>
    <row r="68" spans="1:18" s="1291" customFormat="1" ht="16.5" thickBot="1">
      <c r="A68" s="892" t="s">
        <v>395</v>
      </c>
      <c r="B68" s="893" t="s">
        <v>774</v>
      </c>
      <c r="C68" s="293">
        <f ca="1">ROUND(C67*(1-((1+F70)/(1+F68))^F69)/(F68-F70),0)</f>
        <v>632</v>
      </c>
      <c r="D68" s="910" t="s">
        <v>758</v>
      </c>
      <c r="E68" s="895" t="s">
        <v>759</v>
      </c>
      <c r="F68" s="304">
        <f ca="1">F40</f>
        <v>0.05</v>
      </c>
      <c r="O68" s="1333" t="s">
        <v>406</v>
      </c>
      <c r="P68" s="1370" t="s">
        <v>871</v>
      </c>
      <c r="Q68" s="1326">
        <f ca="1">ROUND(Q69-Q70*Q71,0)</f>
        <v>0</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607</v>
      </c>
      <c r="R70" s="1326" t="s">
        <v>818</v>
      </c>
    </row>
    <row r="71" spans="1:18" s="1291" customFormat="1" ht="13.5" thickBot="1">
      <c r="A71" s="916" t="s">
        <v>396</v>
      </c>
      <c r="B71" s="917" t="s">
        <v>776</v>
      </c>
      <c r="C71" s="327">
        <f ca="1">ROUND(C68*10000/F71,0)</f>
        <v>2653</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42</v>
      </c>
      <c r="D75" s="1291"/>
      <c r="E75" s="1291"/>
      <c r="F75" s="1291"/>
      <c r="K75" s="1308"/>
      <c r="L75" s="1291"/>
      <c r="O75" s="1324" t="s">
        <v>409</v>
      </c>
      <c r="P75" s="1325" t="s">
        <v>838</v>
      </c>
      <c r="Q75" s="1326">
        <f ca="1">Q65+Q66</f>
        <v>1133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v>
      </c>
    </row>
    <row r="80" spans="1:18">
      <c r="B80" s="331" t="s">
        <v>800</v>
      </c>
      <c r="C80" s="266">
        <f ca="1">ROUND(C75/C39,3)</f>
        <v>1</v>
      </c>
    </row>
    <row r="81" spans="2:3">
      <c r="B81" s="262" t="s">
        <v>801</v>
      </c>
      <c r="C81" s="230"/>
    </row>
    <row r="82" spans="2:3">
      <c r="B82" s="265" t="s">
        <v>802</v>
      </c>
      <c r="C82" s="267">
        <f ca="1">1-C83</f>
        <v>-1.3260000000000001</v>
      </c>
    </row>
    <row r="83" spans="2:3">
      <c r="B83" s="265" t="s">
        <v>803</v>
      </c>
      <c r="C83" s="266">
        <f ca="1">ROUND(C13/C40,3)</f>
        <v>2.3260000000000001</v>
      </c>
    </row>
  </sheetData>
  <sheetProtection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31" t="s">
        <v>694</v>
      </c>
      <c r="C6" s="1010">
        <f ca="1">ROUND(F6*F8*F7*(1-F9),0)</f>
        <v>0</v>
      </c>
      <c r="D6" s="147" t="s">
        <v>2105</v>
      </c>
      <c r="E6" s="294" t="s">
        <v>696</v>
      </c>
      <c r="F6" s="295">
        <f ca="1">INDIRECT("'数据-取费表'!u"&amp;$G$1)</f>
        <v>0</v>
      </c>
      <c r="G6" s="1291"/>
      <c r="H6" s="1005" t="s">
        <v>398</v>
      </c>
      <c r="I6" s="3431" t="s">
        <v>694</v>
      </c>
      <c r="J6" s="293">
        <f ca="1">ROUND(M6*M8*M7*(1-M9),0)</f>
        <v>0</v>
      </c>
      <c r="K6" s="1283" t="s">
        <v>2106</v>
      </c>
      <c r="L6" s="294" t="s">
        <v>696</v>
      </c>
      <c r="M6" s="295">
        <f ca="1">INDIRECT("'数据-取费表'!z"&amp;$G$1)</f>
        <v>0</v>
      </c>
    </row>
    <row r="7" spans="1:37" ht="18" customHeight="1">
      <c r="A7" s="1009"/>
      <c r="B7" s="3432"/>
      <c r="C7" s="1011"/>
      <c r="D7" s="299"/>
      <c r="E7" s="1012" t="s">
        <v>697</v>
      </c>
      <c r="F7" s="295">
        <f ca="1">IF(INDIRECT("'数据-取费表'!ah"&amp;$G$1)="",INDIRECT("'数据-取费表'!k"&amp;$G$1),INDIRECT("'数据-取费表'!ah"&amp;$G$1))</f>
        <v>0</v>
      </c>
      <c r="G7" s="1291"/>
      <c r="H7" s="296"/>
      <c r="I7" s="3432"/>
      <c r="J7" s="298"/>
      <c r="K7" s="299"/>
      <c r="L7" s="294" t="s">
        <v>697</v>
      </c>
      <c r="M7" s="295">
        <f ca="1">F7</f>
        <v>0</v>
      </c>
    </row>
    <row r="8" spans="1:37" ht="18" customHeight="1">
      <c r="A8" s="296"/>
      <c r="B8" s="3432"/>
      <c r="C8" s="298"/>
      <c r="D8" s="299"/>
      <c r="E8" s="294" t="s">
        <v>698</v>
      </c>
      <c r="F8" s="295">
        <f ca="1">INDIRECT("'数据-取费表'!ai"&amp;$G$1)</f>
        <v>0</v>
      </c>
      <c r="G8" s="1291"/>
      <c r="H8" s="296"/>
      <c r="I8" s="3432"/>
      <c r="J8" s="298"/>
      <c r="K8" s="299"/>
      <c r="L8" s="294" t="s">
        <v>698</v>
      </c>
      <c r="M8" s="295">
        <f ca="1">INDIRECT("'数据-取费表'!ai"&amp;$G$1)</f>
        <v>0</v>
      </c>
    </row>
    <row r="9" spans="1:37" ht="18" customHeight="1">
      <c r="A9" s="296"/>
      <c r="B9" s="3433"/>
      <c r="C9" s="298"/>
      <c r="D9" s="299"/>
      <c r="E9" s="294" t="s">
        <v>699</v>
      </c>
      <c r="F9" s="304">
        <f ca="1">INDIRECT("'数据-取费表'!w"&amp;$G$1)</f>
        <v>0</v>
      </c>
      <c r="G9" s="1291"/>
      <c r="H9" s="296"/>
      <c r="I9" s="343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29" t="s">
        <v>837</v>
      </c>
      <c r="L53" s="3430"/>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434" t="s">
        <v>2309</v>
      </c>
      <c r="K2" s="3435"/>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36" t="s">
        <v>2319</v>
      </c>
      <c r="K3" s="3437"/>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36" t="s">
        <v>2321</v>
      </c>
      <c r="K4" s="3437"/>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38" t="s">
        <v>2325</v>
      </c>
      <c r="B6" s="3439"/>
      <c r="C6" s="3440"/>
      <c r="D6" s="2617"/>
      <c r="E6" s="2618"/>
      <c r="F6" s="2619"/>
      <c r="G6" s="2620"/>
      <c r="H6" s="2595"/>
      <c r="I6" s="2596"/>
      <c r="J6" s="3441">
        <v>1</v>
      </c>
      <c r="K6" s="3442"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41"/>
      <c r="K7" s="3443"/>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45" t="s">
        <v>2339</v>
      </c>
      <c r="C8" s="3446"/>
      <c r="D8" s="2636" t="s">
        <v>2340</v>
      </c>
      <c r="E8" s="2637" t="s">
        <v>2341</v>
      </c>
      <c r="F8" s="2638" t="s">
        <v>2342</v>
      </c>
      <c r="G8" s="2639"/>
      <c r="H8" s="2595"/>
      <c r="I8" s="2596"/>
      <c r="J8" s="3441"/>
      <c r="K8" s="3443"/>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45" t="s">
        <v>2345</v>
      </c>
      <c r="C9" s="3446"/>
      <c r="D9" s="2636">
        <f>ROUND(D6*E9,0)</f>
        <v>0</v>
      </c>
      <c r="E9" s="2640"/>
      <c r="F9" s="2641" t="s">
        <v>2346</v>
      </c>
      <c r="G9" s="2620"/>
      <c r="H9" s="2595"/>
      <c r="I9" s="2596"/>
      <c r="J9" s="3441"/>
      <c r="K9" s="3443"/>
      <c r="L9" s="2630" t="s">
        <v>2347</v>
      </c>
      <c r="M9" s="2631"/>
      <c r="N9" s="2607"/>
      <c r="O9" s="2632"/>
      <c r="P9" s="2632"/>
      <c r="Q9" s="2633">
        <v>365</v>
      </c>
      <c r="R9" s="2634">
        <f t="shared" si="0"/>
        <v>0</v>
      </c>
      <c r="S9" s="2588"/>
      <c r="T9" s="2588"/>
      <c r="U9" s="2588"/>
      <c r="V9" s="2596"/>
    </row>
    <row r="10" spans="1:22" s="2600" customFormat="1" ht="13.15" customHeight="1">
      <c r="A10" s="2635">
        <v>2</v>
      </c>
      <c r="B10" s="3445" t="s">
        <v>2348</v>
      </c>
      <c r="C10" s="3446"/>
      <c r="D10" s="2636">
        <f>ROUND(D6*E10,0)</f>
        <v>0</v>
      </c>
      <c r="E10" s="2640"/>
      <c r="F10" s="2641" t="s">
        <v>2349</v>
      </c>
      <c r="G10" s="2620"/>
      <c r="H10" s="2595"/>
      <c r="I10" s="2596"/>
      <c r="J10" s="3441"/>
      <c r="K10" s="3443"/>
      <c r="L10" s="2630" t="s">
        <v>2350</v>
      </c>
      <c r="M10" s="2631"/>
      <c r="N10" s="2607"/>
      <c r="O10" s="2632"/>
      <c r="P10" s="2632"/>
      <c r="Q10" s="2633">
        <v>365</v>
      </c>
      <c r="R10" s="2634">
        <f t="shared" si="0"/>
        <v>0</v>
      </c>
      <c r="S10" s="2588"/>
      <c r="T10" s="2588"/>
      <c r="U10" s="2588"/>
      <c r="V10" s="2596"/>
    </row>
    <row r="11" spans="1:22" s="2600" customFormat="1" ht="13.15" customHeight="1">
      <c r="A11" s="2635">
        <v>3</v>
      </c>
      <c r="B11" s="3445" t="s">
        <v>2351</v>
      </c>
      <c r="C11" s="3446"/>
      <c r="D11" s="2636">
        <f>D12+D14+D15+D16</f>
        <v>0</v>
      </c>
      <c r="E11" s="2642" t="e">
        <f>D11/D6</f>
        <v>#DIV/0!</v>
      </c>
      <c r="F11" s="2638"/>
      <c r="G11" s="2639"/>
      <c r="H11" s="2595"/>
      <c r="I11" s="2596"/>
      <c r="J11" s="3441"/>
      <c r="K11" s="3443"/>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47" t="s">
        <v>2354</v>
      </c>
      <c r="C12" s="3448"/>
      <c r="D12" s="2644">
        <f>ROUND(D13*1.2%*(1-30%),0)</f>
        <v>0</v>
      </c>
      <c r="E12" s="2645">
        <v>1.2E-2</v>
      </c>
      <c r="F12" s="2638" t="s">
        <v>2355</v>
      </c>
      <c r="G12" s="2639"/>
      <c r="H12" s="2595"/>
      <c r="I12" s="2596"/>
      <c r="J12" s="3441"/>
      <c r="K12" s="3443"/>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41"/>
      <c r="K13" s="3443"/>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47" t="s">
        <v>2360</v>
      </c>
      <c r="C14" s="3448"/>
      <c r="D14" s="2644">
        <f>ROUND(E14*B5/10000,0)</f>
        <v>0</v>
      </c>
      <c r="E14" s="2633"/>
      <c r="F14" s="2638" t="s">
        <v>2361</v>
      </c>
      <c r="G14" s="2639"/>
      <c r="H14" s="2595"/>
      <c r="I14" s="2596"/>
      <c r="J14" s="3441"/>
      <c r="K14" s="3444"/>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47" t="s">
        <v>2364</v>
      </c>
      <c r="C15" s="3448"/>
      <c r="D15" s="2644">
        <f>ROUND(D6*E15,0)</f>
        <v>0</v>
      </c>
      <c r="E15" s="2645">
        <v>5.5E-2</v>
      </c>
      <c r="F15" s="2638" t="s">
        <v>2365</v>
      </c>
      <c r="G15" s="2620"/>
      <c r="H15" s="2595"/>
      <c r="I15" s="2596"/>
      <c r="J15" s="3441">
        <v>2</v>
      </c>
      <c r="K15" s="3442"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47" t="s">
        <v>2373</v>
      </c>
      <c r="C16" s="3448"/>
      <c r="D16" s="2655">
        <f>D6*E16</f>
        <v>0</v>
      </c>
      <c r="E16" s="2656"/>
      <c r="F16" s="2641" t="s">
        <v>2374</v>
      </c>
      <c r="G16" s="2620"/>
      <c r="H16" s="2595"/>
      <c r="I16" s="2596"/>
      <c r="J16" s="3441"/>
      <c r="K16" s="3443"/>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49" t="s">
        <v>2376</v>
      </c>
      <c r="C17" s="3450"/>
      <c r="D17" s="2658">
        <f>ROUND(D6*E17,0)</f>
        <v>0</v>
      </c>
      <c r="E17" s="2659"/>
      <c r="F17" s="2660" t="s">
        <v>2377</v>
      </c>
      <c r="G17" s="2620"/>
      <c r="H17" s="2595"/>
      <c r="I17" s="2596"/>
      <c r="J17" s="3441"/>
      <c r="K17" s="3443"/>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41"/>
      <c r="K18" s="3443"/>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41"/>
      <c r="K19" s="3444"/>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41">
        <v>3</v>
      </c>
      <c r="K20" s="3442"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41"/>
      <c r="K21" s="3443"/>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41"/>
      <c r="K22" s="3443"/>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41"/>
      <c r="K23" s="3443"/>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41"/>
      <c r="K24" s="3444"/>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51">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52"/>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34" t="s">
        <v>2309</v>
      </c>
      <c r="K32" s="3435"/>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36" t="s">
        <v>2319</v>
      </c>
      <c r="K33" s="3437"/>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36" t="s">
        <v>2321</v>
      </c>
      <c r="K34" s="343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41">
        <v>1</v>
      </c>
      <c r="K36" s="3442"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41"/>
      <c r="K37" s="3443"/>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41"/>
      <c r="K38" s="3443"/>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41"/>
      <c r="K39" s="3443"/>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41"/>
      <c r="K40" s="3444"/>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51">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52"/>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1196</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5021</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53" t="s">
        <v>1654</v>
      </c>
      <c r="C5" s="3454"/>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1196</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80" t="s">
        <v>1667</v>
      </c>
      <c r="D4" s="3381"/>
      <c r="E4" s="3382" t="s">
        <v>1668</v>
      </c>
      <c r="F4" s="3383"/>
      <c r="G4" s="3380" t="s">
        <v>1669</v>
      </c>
      <c r="H4" s="3381"/>
      <c r="I4" s="3380" t="s">
        <v>1670</v>
      </c>
      <c r="J4" s="3381"/>
      <c r="K4" s="1743" t="s">
        <v>1671</v>
      </c>
      <c r="L4" s="2482"/>
      <c r="M4" s="2483"/>
      <c r="N4" s="2483"/>
      <c r="O4" s="2483"/>
      <c r="P4" s="3384" t="s">
        <v>1672</v>
      </c>
      <c r="Q4" s="3385"/>
      <c r="R4" s="3394" t="s">
        <v>1668</v>
      </c>
      <c r="S4" s="3395"/>
      <c r="T4" s="3394" t="s">
        <v>1669</v>
      </c>
      <c r="U4" s="3395"/>
      <c r="V4" s="3372" t="s">
        <v>1670</v>
      </c>
      <c r="W4" s="3372"/>
      <c r="X4" s="1264"/>
      <c r="Y4" s="3394" t="s">
        <v>1672</v>
      </c>
      <c r="Z4" s="3395"/>
      <c r="AA4" s="3377" t="s">
        <v>1668</v>
      </c>
      <c r="AB4" s="3377" t="s">
        <v>1669</v>
      </c>
      <c r="AC4" s="3377" t="s">
        <v>1670</v>
      </c>
    </row>
    <row r="5" spans="1:29" ht="15">
      <c r="A5" s="348"/>
      <c r="B5" s="349"/>
      <c r="C5" s="3398" t="s">
        <v>1673</v>
      </c>
      <c r="D5" s="3399"/>
      <c r="E5" s="3390" t="s">
        <v>1674</v>
      </c>
      <c r="F5" s="3391"/>
      <c r="G5" s="3398" t="s">
        <v>1675</v>
      </c>
      <c r="H5" s="3399"/>
      <c r="I5" s="3398" t="s">
        <v>1676</v>
      </c>
      <c r="J5" s="3399"/>
      <c r="K5" s="1744"/>
      <c r="L5" s="2482"/>
      <c r="M5" s="2483"/>
      <c r="N5" s="2483"/>
      <c r="O5" s="2483"/>
      <c r="P5" s="3386"/>
      <c r="Q5" s="3387"/>
      <c r="R5" s="3396"/>
      <c r="S5" s="3397"/>
      <c r="T5" s="3396"/>
      <c r="U5" s="3397"/>
      <c r="V5" s="3372"/>
      <c r="W5" s="3372"/>
      <c r="X5" s="1264"/>
      <c r="Y5" s="3396"/>
      <c r="Z5" s="3397"/>
      <c r="AA5" s="3378"/>
      <c r="AB5" s="3378"/>
      <c r="AC5" s="3378"/>
    </row>
    <row r="6" spans="1:29" ht="15.75" thickBot="1">
      <c r="A6" s="350"/>
      <c r="B6" s="351"/>
      <c r="C6" s="3455" t="s">
        <v>1677</v>
      </c>
      <c r="D6" s="3456"/>
      <c r="E6" s="3457" t="s">
        <v>1677</v>
      </c>
      <c r="F6" s="3458"/>
      <c r="G6" s="3455" t="s">
        <v>1677</v>
      </c>
      <c r="H6" s="3456"/>
      <c r="I6" s="3455" t="s">
        <v>1677</v>
      </c>
      <c r="J6" s="3456"/>
      <c r="K6" s="1744" t="s">
        <v>1678</v>
      </c>
      <c r="L6" s="2482"/>
      <c r="M6" s="2483"/>
      <c r="N6" s="2483"/>
      <c r="O6" s="2483"/>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70" t="s">
        <v>1680</v>
      </c>
      <c r="Q7" s="3402"/>
      <c r="R7" s="663" t="s">
        <v>20</v>
      </c>
      <c r="S7" s="664">
        <f t="shared" ref="S7:S15" si="0">F7</f>
        <v>0</v>
      </c>
      <c r="T7" s="663" t="s">
        <v>20</v>
      </c>
      <c r="U7" s="664">
        <f t="shared" ref="U7:U15" si="1">H7</f>
        <v>0</v>
      </c>
      <c r="V7" s="663" t="s">
        <v>20</v>
      </c>
      <c r="W7" s="664">
        <f t="shared" ref="W7:W15" si="2">J7</f>
        <v>0</v>
      </c>
      <c r="X7" s="665"/>
      <c r="Y7" s="3370" t="s">
        <v>1680</v>
      </c>
      <c r="Z7" s="3371"/>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70" t="s">
        <v>1683</v>
      </c>
      <c r="Q8" s="3371"/>
      <c r="R8" s="663" t="s">
        <v>20</v>
      </c>
      <c r="S8" s="664">
        <f t="shared" si="0"/>
        <v>100</v>
      </c>
      <c r="T8" s="663" t="s">
        <v>20</v>
      </c>
      <c r="U8" s="664">
        <f t="shared" si="1"/>
        <v>100</v>
      </c>
      <c r="V8" s="663" t="s">
        <v>20</v>
      </c>
      <c r="W8" s="664">
        <f t="shared" si="2"/>
        <v>100</v>
      </c>
      <c r="X8" s="665"/>
      <c r="Y8" s="3370" t="s">
        <v>1683</v>
      </c>
      <c r="Z8" s="337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93"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93"/>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3"/>
      <c r="Q11" s="530" t="str">
        <f t="shared" si="6"/>
        <v>容积率</v>
      </c>
      <c r="R11" s="663" t="s">
        <v>18</v>
      </c>
      <c r="S11" s="664" t="e">
        <f t="shared" si="0"/>
        <v>#N/A</v>
      </c>
      <c r="T11" s="663" t="s">
        <v>18</v>
      </c>
      <c r="U11" s="664" t="e">
        <f t="shared" si="1"/>
        <v>#N/A</v>
      </c>
      <c r="V11" s="663" t="s">
        <v>18</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93"/>
      <c r="Q12" s="530">
        <f t="shared" si="6"/>
        <v>111</v>
      </c>
      <c r="R12" s="663" t="s">
        <v>18</v>
      </c>
      <c r="S12" s="664">
        <f t="shared" si="0"/>
        <v>100</v>
      </c>
      <c r="T12" s="663" t="s">
        <v>18</v>
      </c>
      <c r="U12" s="664">
        <f t="shared" si="1"/>
        <v>100</v>
      </c>
      <c r="V12" s="663" t="s">
        <v>18</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93"/>
      <c r="Q13" s="530">
        <f t="shared" si="6"/>
        <v>111</v>
      </c>
      <c r="R13" s="663" t="s">
        <v>18</v>
      </c>
      <c r="S13" s="664">
        <f t="shared" si="0"/>
        <v>100</v>
      </c>
      <c r="T13" s="663" t="s">
        <v>18</v>
      </c>
      <c r="U13" s="664">
        <f t="shared" si="1"/>
        <v>100</v>
      </c>
      <c r="V13" s="663" t="s">
        <v>18</v>
      </c>
      <c r="W13" s="664">
        <f t="shared" si="2"/>
        <v>100</v>
      </c>
      <c r="X13" s="665"/>
      <c r="Y13" s="334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93"/>
      <c r="Q14" s="530">
        <f t="shared" si="6"/>
        <v>111</v>
      </c>
      <c r="R14" s="663" t="s">
        <v>18</v>
      </c>
      <c r="S14" s="664">
        <f t="shared" si="0"/>
        <v>100</v>
      </c>
      <c r="T14" s="663" t="s">
        <v>18</v>
      </c>
      <c r="U14" s="664">
        <f t="shared" si="1"/>
        <v>100</v>
      </c>
      <c r="V14" s="663" t="s">
        <v>18</v>
      </c>
      <c r="W14" s="664">
        <f t="shared" si="2"/>
        <v>100</v>
      </c>
      <c r="X14" s="665"/>
      <c r="Y14" s="334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64" t="s">
        <v>1691</v>
      </c>
      <c r="Q15" s="1262" t="str">
        <f t="shared" si="6"/>
        <v>居住社区成熟度</v>
      </c>
      <c r="R15" s="666" t="s">
        <v>18</v>
      </c>
      <c r="S15" s="667">
        <f t="shared" si="0"/>
        <v>100</v>
      </c>
      <c r="T15" s="666" t="s">
        <v>18</v>
      </c>
      <c r="U15" s="667">
        <f t="shared" si="1"/>
        <v>100</v>
      </c>
      <c r="V15" s="666" t="s">
        <v>18</v>
      </c>
      <c r="W15" s="667">
        <f t="shared" si="2"/>
        <v>100</v>
      </c>
      <c r="X15" s="1264"/>
      <c r="Y15" s="337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65"/>
      <c r="Q16" s="1262"/>
      <c r="R16" s="666"/>
      <c r="S16" s="667"/>
      <c r="T16" s="666"/>
      <c r="U16" s="667"/>
      <c r="V16" s="666"/>
      <c r="W16" s="667"/>
      <c r="X16" s="1264"/>
      <c r="Y16" s="3374"/>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65"/>
      <c r="Q17" s="1262" t="str">
        <f>B17</f>
        <v>交通便捷度</v>
      </c>
      <c r="R17" s="666" t="s">
        <v>18</v>
      </c>
      <c r="S17" s="667">
        <f>F17</f>
        <v>100</v>
      </c>
      <c r="T17" s="666" t="s">
        <v>18</v>
      </c>
      <c r="U17" s="667">
        <f>H17</f>
        <v>100</v>
      </c>
      <c r="V17" s="666" t="s">
        <v>18</v>
      </c>
      <c r="W17" s="667">
        <f>J17</f>
        <v>100</v>
      </c>
      <c r="X17" s="1264"/>
      <c r="Y17" s="337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65"/>
      <c r="Q18" s="1262"/>
      <c r="R18" s="666"/>
      <c r="S18" s="667"/>
      <c r="T18" s="666"/>
      <c r="U18" s="667"/>
      <c r="V18" s="666"/>
      <c r="W18" s="667"/>
      <c r="X18" s="1264"/>
      <c r="Y18" s="3374"/>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65"/>
      <c r="Q19" s="1262" t="str">
        <f>B19</f>
        <v>公共配套设施</v>
      </c>
      <c r="R19" s="666" t="s">
        <v>18</v>
      </c>
      <c r="S19" s="667">
        <f>F19</f>
        <v>100</v>
      </c>
      <c r="T19" s="666" t="s">
        <v>18</v>
      </c>
      <c r="U19" s="667">
        <f>H19</f>
        <v>100</v>
      </c>
      <c r="V19" s="666" t="s">
        <v>18</v>
      </c>
      <c r="W19" s="667">
        <f>J19</f>
        <v>100</v>
      </c>
      <c r="X19" s="1264"/>
      <c r="Y19" s="337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65"/>
      <c r="Q20" s="1262"/>
      <c r="R20" s="666"/>
      <c r="S20" s="667"/>
      <c r="T20" s="666"/>
      <c r="U20" s="667"/>
      <c r="V20" s="666"/>
      <c r="W20" s="667"/>
      <c r="X20" s="1264"/>
      <c r="Y20" s="3374"/>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65"/>
      <c r="Q21" s="1262" t="str">
        <f>B21</f>
        <v>基础设施水平</v>
      </c>
      <c r="R21" s="666" t="s">
        <v>14</v>
      </c>
      <c r="S21" s="667">
        <f>F21</f>
        <v>100</v>
      </c>
      <c r="T21" s="666" t="s">
        <v>14</v>
      </c>
      <c r="U21" s="667">
        <f>H21</f>
        <v>100</v>
      </c>
      <c r="V21" s="666" t="s">
        <v>14</v>
      </c>
      <c r="W21" s="667">
        <f>J21</f>
        <v>100</v>
      </c>
      <c r="X21" s="1264"/>
      <c r="Y21" s="337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65"/>
      <c r="Q22" s="1262"/>
      <c r="R22" s="666"/>
      <c r="S22" s="667"/>
      <c r="T22" s="666"/>
      <c r="U22" s="667"/>
      <c r="V22" s="666"/>
      <c r="W22" s="667"/>
      <c r="X22" s="1264"/>
      <c r="Y22" s="3374"/>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65"/>
      <c r="Q23" s="1262" t="str">
        <f>B23</f>
        <v>自然及人文环境</v>
      </c>
      <c r="R23" s="666" t="s">
        <v>18</v>
      </c>
      <c r="S23" s="667">
        <f>F23</f>
        <v>100</v>
      </c>
      <c r="T23" s="666" t="s">
        <v>18</v>
      </c>
      <c r="U23" s="667">
        <f>H23</f>
        <v>100</v>
      </c>
      <c r="V23" s="666" t="s">
        <v>18</v>
      </c>
      <c r="W23" s="667">
        <f>J23</f>
        <v>100</v>
      </c>
      <c r="X23" s="1264"/>
      <c r="Y23" s="337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65"/>
      <c r="Q24" s="1262"/>
      <c r="R24" s="666"/>
      <c r="S24" s="667"/>
      <c r="T24" s="666"/>
      <c r="U24" s="667"/>
      <c r="V24" s="666"/>
      <c r="W24" s="667"/>
      <c r="X24" s="1264"/>
      <c r="Y24" s="337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6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65"/>
      <c r="Q26" s="1262" t="str">
        <f t="shared" si="11"/>
        <v>朝向</v>
      </c>
      <c r="R26" s="666" t="s">
        <v>18</v>
      </c>
      <c r="S26" s="667">
        <f t="shared" si="12"/>
        <v>100</v>
      </c>
      <c r="T26" s="666" t="s">
        <v>18</v>
      </c>
      <c r="U26" s="667">
        <f t="shared" si="13"/>
        <v>100</v>
      </c>
      <c r="V26" s="666" t="s">
        <v>18</v>
      </c>
      <c r="W26" s="667">
        <f t="shared" si="14"/>
        <v>100</v>
      </c>
      <c r="X26" s="1264"/>
      <c r="Y26" s="337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65"/>
      <c r="Q27" s="530">
        <f t="shared" si="11"/>
        <v>111</v>
      </c>
      <c r="R27" s="663" t="s">
        <v>18</v>
      </c>
      <c r="S27" s="664">
        <f t="shared" si="12"/>
        <v>100</v>
      </c>
      <c r="T27" s="663" t="s">
        <v>18</v>
      </c>
      <c r="U27" s="664">
        <f t="shared" si="13"/>
        <v>100</v>
      </c>
      <c r="V27" s="663" t="s">
        <v>18</v>
      </c>
      <c r="W27" s="664">
        <f t="shared" si="14"/>
        <v>100</v>
      </c>
      <c r="X27" s="665"/>
      <c r="Y27" s="337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65"/>
      <c r="Q28" s="1262">
        <f t="shared" si="11"/>
        <v>111</v>
      </c>
      <c r="R28" s="666" t="s">
        <v>18</v>
      </c>
      <c r="S28" s="667">
        <f t="shared" si="12"/>
        <v>100</v>
      </c>
      <c r="T28" s="666" t="s">
        <v>18</v>
      </c>
      <c r="U28" s="667">
        <f t="shared" si="13"/>
        <v>100</v>
      </c>
      <c r="V28" s="666" t="s">
        <v>18</v>
      </c>
      <c r="W28" s="667">
        <f t="shared" si="14"/>
        <v>100</v>
      </c>
      <c r="X28" s="1264"/>
      <c r="Y28" s="337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65"/>
      <c r="Q29" s="1262">
        <f t="shared" si="11"/>
        <v>111</v>
      </c>
      <c r="R29" s="666" t="s">
        <v>18</v>
      </c>
      <c r="S29" s="667">
        <f t="shared" si="12"/>
        <v>100</v>
      </c>
      <c r="T29" s="666" t="s">
        <v>18</v>
      </c>
      <c r="U29" s="667">
        <f t="shared" si="13"/>
        <v>100</v>
      </c>
      <c r="V29" s="666" t="s">
        <v>18</v>
      </c>
      <c r="W29" s="667">
        <f t="shared" si="14"/>
        <v>100</v>
      </c>
      <c r="X29" s="1264"/>
      <c r="Y29" s="337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65"/>
      <c r="Q30" s="1262">
        <f t="shared" si="11"/>
        <v>111</v>
      </c>
      <c r="R30" s="666" t="s">
        <v>18</v>
      </c>
      <c r="S30" s="667">
        <f t="shared" si="12"/>
        <v>100</v>
      </c>
      <c r="T30" s="666" t="s">
        <v>18</v>
      </c>
      <c r="U30" s="667">
        <f t="shared" si="13"/>
        <v>100</v>
      </c>
      <c r="V30" s="666" t="s">
        <v>18</v>
      </c>
      <c r="W30" s="667">
        <f t="shared" si="14"/>
        <v>100</v>
      </c>
      <c r="X30" s="1264"/>
      <c r="Y30" s="337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65"/>
      <c r="Q31" s="1262">
        <f t="shared" si="11"/>
        <v>111</v>
      </c>
      <c r="R31" s="666" t="s">
        <v>18</v>
      </c>
      <c r="S31" s="667">
        <f t="shared" si="12"/>
        <v>100</v>
      </c>
      <c r="T31" s="666" t="s">
        <v>18</v>
      </c>
      <c r="U31" s="667">
        <f t="shared" si="13"/>
        <v>100</v>
      </c>
      <c r="V31" s="666" t="s">
        <v>18</v>
      </c>
      <c r="W31" s="667">
        <f t="shared" si="14"/>
        <v>100</v>
      </c>
      <c r="X31" s="1264"/>
      <c r="Y31" s="337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60" t="s">
        <v>1696</v>
      </c>
      <c r="Q32" s="1262" t="str">
        <f t="shared" si="11"/>
        <v>建筑类型</v>
      </c>
      <c r="R32" s="666" t="s">
        <v>18</v>
      </c>
      <c r="S32" s="667">
        <f t="shared" si="12"/>
        <v>100</v>
      </c>
      <c r="T32" s="666" t="s">
        <v>18</v>
      </c>
      <c r="U32" s="667">
        <f t="shared" si="13"/>
        <v>100</v>
      </c>
      <c r="V32" s="666" t="s">
        <v>18</v>
      </c>
      <c r="W32" s="667">
        <f t="shared" si="14"/>
        <v>100</v>
      </c>
      <c r="X32" s="1264"/>
      <c r="Y32" s="337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61"/>
      <c r="Q33" s="531" t="str">
        <f t="shared" si="11"/>
        <v>项目建筑规模</v>
      </c>
      <c r="R33" s="668" t="s">
        <v>18</v>
      </c>
      <c r="S33" s="669" t="e">
        <f t="shared" si="12"/>
        <v>#N/A</v>
      </c>
      <c r="T33" s="668" t="s">
        <v>18</v>
      </c>
      <c r="U33" s="669" t="e">
        <f t="shared" si="13"/>
        <v>#N/A</v>
      </c>
      <c r="V33" s="668" t="s">
        <v>18</v>
      </c>
      <c r="W33" s="669" t="e">
        <f t="shared" si="14"/>
        <v>#N/A</v>
      </c>
      <c r="X33" s="670"/>
      <c r="Y33" s="3376"/>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61"/>
      <c r="Q34" s="1262" t="str">
        <f t="shared" si="11"/>
        <v>建筑结构</v>
      </c>
      <c r="R34" s="666" t="s">
        <v>18</v>
      </c>
      <c r="S34" s="667">
        <f t="shared" si="12"/>
        <v>100</v>
      </c>
      <c r="T34" s="666" t="s">
        <v>18</v>
      </c>
      <c r="U34" s="667">
        <f t="shared" si="13"/>
        <v>100</v>
      </c>
      <c r="V34" s="666" t="s">
        <v>18</v>
      </c>
      <c r="W34" s="667">
        <f t="shared" si="14"/>
        <v>100</v>
      </c>
      <c r="X34" s="1264"/>
      <c r="Y34" s="337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61"/>
      <c r="Q35" s="1262" t="str">
        <f t="shared" si="11"/>
        <v>建筑品质</v>
      </c>
      <c r="R35" s="666" t="s">
        <v>18</v>
      </c>
      <c r="S35" s="667">
        <f t="shared" si="12"/>
        <v>100</v>
      </c>
      <c r="T35" s="666" t="s">
        <v>18</v>
      </c>
      <c r="U35" s="667">
        <f t="shared" si="13"/>
        <v>100</v>
      </c>
      <c r="V35" s="666" t="s">
        <v>18</v>
      </c>
      <c r="W35" s="667">
        <f t="shared" si="14"/>
        <v>100</v>
      </c>
      <c r="X35" s="1264"/>
      <c r="Y35" s="337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61"/>
      <c r="Q36" s="1262" t="str">
        <f t="shared" si="11"/>
        <v>公共部分装修</v>
      </c>
      <c r="R36" s="666" t="s">
        <v>18</v>
      </c>
      <c r="S36" s="667">
        <f t="shared" si="12"/>
        <v>100</v>
      </c>
      <c r="T36" s="666" t="s">
        <v>18</v>
      </c>
      <c r="U36" s="667">
        <f t="shared" si="13"/>
        <v>100</v>
      </c>
      <c r="V36" s="666" t="s">
        <v>18</v>
      </c>
      <c r="W36" s="667">
        <f t="shared" si="14"/>
        <v>100</v>
      </c>
      <c r="X36" s="1264"/>
      <c r="Y36" s="337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61"/>
      <c r="Q37" s="530" t="str">
        <f t="shared" si="11"/>
        <v>成新度</v>
      </c>
      <c r="R37" s="663" t="s">
        <v>18</v>
      </c>
      <c r="S37" s="664" t="e">
        <f t="shared" si="12"/>
        <v>#N/A</v>
      </c>
      <c r="T37" s="663" t="s">
        <v>18</v>
      </c>
      <c r="U37" s="664" t="e">
        <f t="shared" si="13"/>
        <v>#N/A</v>
      </c>
      <c r="V37" s="663" t="s">
        <v>18</v>
      </c>
      <c r="W37" s="664" t="e">
        <f t="shared" si="14"/>
        <v>#N/A</v>
      </c>
      <c r="X37" s="665"/>
      <c r="Y37" s="337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61" t="s">
        <v>1696</v>
      </c>
      <c r="Q38" s="1262" t="str">
        <f t="shared" si="11"/>
        <v>物业管理</v>
      </c>
      <c r="R38" s="666" t="s">
        <v>18</v>
      </c>
      <c r="S38" s="667">
        <f t="shared" si="12"/>
        <v>100</v>
      </c>
      <c r="T38" s="666" t="s">
        <v>18</v>
      </c>
      <c r="U38" s="667">
        <f t="shared" si="13"/>
        <v>100</v>
      </c>
      <c r="V38" s="666" t="s">
        <v>18</v>
      </c>
      <c r="W38" s="667">
        <f t="shared" si="14"/>
        <v>100</v>
      </c>
      <c r="X38" s="1264"/>
      <c r="Y38" s="337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61"/>
      <c r="Q39" s="1262" t="str">
        <f t="shared" si="11"/>
        <v>市政基础设施</v>
      </c>
      <c r="R39" s="666" t="s">
        <v>18</v>
      </c>
      <c r="S39" s="667">
        <f t="shared" si="12"/>
        <v>100</v>
      </c>
      <c r="T39" s="666" t="s">
        <v>18</v>
      </c>
      <c r="U39" s="667">
        <f t="shared" si="13"/>
        <v>100</v>
      </c>
      <c r="V39" s="666" t="s">
        <v>18</v>
      </c>
      <c r="W39" s="667">
        <f t="shared" si="14"/>
        <v>100</v>
      </c>
      <c r="X39" s="1264"/>
      <c r="Y39" s="337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61"/>
      <c r="Q40" s="1262" t="str">
        <f t="shared" si="11"/>
        <v>房型</v>
      </c>
      <c r="R40" s="666" t="s">
        <v>18</v>
      </c>
      <c r="S40" s="667">
        <f t="shared" si="12"/>
        <v>100</v>
      </c>
      <c r="T40" s="666" t="s">
        <v>18</v>
      </c>
      <c r="U40" s="667">
        <f t="shared" si="13"/>
        <v>100</v>
      </c>
      <c r="V40" s="666" t="s">
        <v>18</v>
      </c>
      <c r="W40" s="667">
        <f t="shared" si="14"/>
        <v>100</v>
      </c>
      <c r="X40" s="1264"/>
      <c r="Y40" s="337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61"/>
      <c r="Q41" s="531" t="str">
        <f t="shared" si="11"/>
        <v>单套/主力户型建筑面积</v>
      </c>
      <c r="R41" s="668" t="s">
        <v>18</v>
      </c>
      <c r="S41" s="669">
        <f t="shared" si="12"/>
        <v>100</v>
      </c>
      <c r="T41" s="668" t="s">
        <v>18</v>
      </c>
      <c r="U41" s="669">
        <f t="shared" si="13"/>
        <v>100</v>
      </c>
      <c r="V41" s="668" t="s">
        <v>18</v>
      </c>
      <c r="W41" s="669">
        <f t="shared" si="14"/>
        <v>100</v>
      </c>
      <c r="X41" s="670"/>
      <c r="Y41" s="3376"/>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61"/>
      <c r="Q42" s="1262" t="str">
        <f t="shared" si="11"/>
        <v>内部装修</v>
      </c>
      <c r="R42" s="666" t="s">
        <v>18</v>
      </c>
      <c r="S42" s="667">
        <f t="shared" si="12"/>
        <v>100</v>
      </c>
      <c r="T42" s="666" t="s">
        <v>18</v>
      </c>
      <c r="U42" s="667">
        <f t="shared" si="13"/>
        <v>100</v>
      </c>
      <c r="V42" s="666" t="s">
        <v>18</v>
      </c>
      <c r="W42" s="667">
        <f t="shared" si="14"/>
        <v>100</v>
      </c>
      <c r="X42" s="1264"/>
      <c r="Y42" s="337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61"/>
      <c r="Q43" s="1262" t="str">
        <f t="shared" si="11"/>
        <v>内部装修维护情况</v>
      </c>
      <c r="R43" s="666" t="s">
        <v>18</v>
      </c>
      <c r="S43" s="667">
        <f t="shared" si="12"/>
        <v>100</v>
      </c>
      <c r="T43" s="666" t="s">
        <v>18</v>
      </c>
      <c r="U43" s="667">
        <f t="shared" si="13"/>
        <v>100</v>
      </c>
      <c r="V43" s="666" t="s">
        <v>18</v>
      </c>
      <c r="W43" s="667">
        <f t="shared" si="14"/>
        <v>100</v>
      </c>
      <c r="X43" s="1264"/>
      <c r="Y43" s="337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61"/>
      <c r="Q44" s="530">
        <f t="shared" si="11"/>
        <v>111</v>
      </c>
      <c r="R44" s="663" t="s">
        <v>18</v>
      </c>
      <c r="S44" s="664">
        <f t="shared" si="12"/>
        <v>100</v>
      </c>
      <c r="T44" s="663" t="s">
        <v>18</v>
      </c>
      <c r="U44" s="664">
        <f t="shared" si="13"/>
        <v>100</v>
      </c>
      <c r="V44" s="663" t="s">
        <v>18</v>
      </c>
      <c r="W44" s="664">
        <f t="shared" si="14"/>
        <v>100</v>
      </c>
      <c r="X44" s="665"/>
      <c r="Y44" s="337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61"/>
      <c r="Q45" s="1262">
        <f t="shared" si="11"/>
        <v>111</v>
      </c>
      <c r="R45" s="666" t="s">
        <v>18</v>
      </c>
      <c r="S45" s="667">
        <f t="shared" si="12"/>
        <v>100</v>
      </c>
      <c r="T45" s="666" t="s">
        <v>18</v>
      </c>
      <c r="U45" s="667">
        <f t="shared" si="13"/>
        <v>100</v>
      </c>
      <c r="V45" s="666" t="s">
        <v>18</v>
      </c>
      <c r="W45" s="667">
        <f t="shared" si="14"/>
        <v>100</v>
      </c>
      <c r="X45" s="1264"/>
      <c r="Y45" s="337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62"/>
      <c r="Q46" s="1262">
        <f t="shared" si="11"/>
        <v>111</v>
      </c>
      <c r="R46" s="666" t="s">
        <v>17</v>
      </c>
      <c r="S46" s="667">
        <f t="shared" si="12"/>
        <v>100</v>
      </c>
      <c r="T46" s="666" t="s">
        <v>17</v>
      </c>
      <c r="U46" s="667">
        <f t="shared" si="13"/>
        <v>100</v>
      </c>
      <c r="V46" s="666" t="s">
        <v>17</v>
      </c>
      <c r="W46" s="667">
        <f t="shared" si="14"/>
        <v>100</v>
      </c>
      <c r="X46" s="1264"/>
      <c r="Y46" s="346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68" t="str">
        <f>A47</f>
        <v>成交单价（元/平方米）</v>
      </c>
      <c r="Q47" s="3368"/>
      <c r="R47" s="3372">
        <f>E47</f>
        <v>0</v>
      </c>
      <c r="S47" s="3372"/>
      <c r="T47" s="3372">
        <f>G47</f>
        <v>0</v>
      </c>
      <c r="U47" s="3372"/>
      <c r="V47" s="3372">
        <f>I47</f>
        <v>0</v>
      </c>
      <c r="W47" s="3372"/>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68" t="str">
        <f>A48</f>
        <v>比较价值（元/平方米）</v>
      </c>
      <c r="Q48" s="3368"/>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365" t="str">
        <f>A49</f>
        <v>估价对象XX用房的比较价值（楼面单价，元/平方米）</v>
      </c>
      <c r="Q49" s="3366"/>
      <c r="R49" s="3459" t="e">
        <f>IF(F1="售价",ROUND(IF(D48="简单平均",AVERAGE(R48:V48),R48*F48+T48*H48+V48*J48),0),ROUND(IF(D48="简单平均",AVERAGE(R48:V48),R48*F48+T48*H48+V48*J48),1))</f>
        <v>#DIV/0!</v>
      </c>
      <c r="S49" s="3459"/>
      <c r="T49" s="3459"/>
      <c r="U49" s="3459"/>
      <c r="V49" s="3459"/>
      <c r="W49" s="345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384" t="s">
        <v>1775</v>
      </c>
      <c r="Q4" s="3385"/>
      <c r="R4" s="3394" t="s">
        <v>1771</v>
      </c>
      <c r="S4" s="3395"/>
      <c r="T4" s="3394" t="s">
        <v>1772</v>
      </c>
      <c r="U4" s="3395"/>
      <c r="V4" s="3372" t="s">
        <v>1773</v>
      </c>
      <c r="W4" s="3372"/>
      <c r="X4" s="1264"/>
      <c r="Y4" s="3394" t="s">
        <v>1775</v>
      </c>
      <c r="Z4" s="3395"/>
      <c r="AA4" s="3377" t="s">
        <v>1771</v>
      </c>
      <c r="AB4" s="3372" t="s">
        <v>1772</v>
      </c>
      <c r="AC4" s="3377" t="s">
        <v>1773</v>
      </c>
    </row>
    <row r="5" spans="1:29" ht="15">
      <c r="A5" s="348"/>
      <c r="B5" s="349"/>
      <c r="C5" s="3398" t="s">
        <v>1673</v>
      </c>
      <c r="D5" s="3399"/>
      <c r="E5" s="3390" t="s">
        <v>1674</v>
      </c>
      <c r="F5" s="3391"/>
      <c r="G5" s="3398" t="s">
        <v>1675</v>
      </c>
      <c r="H5" s="3399"/>
      <c r="I5" s="3398" t="s">
        <v>1676</v>
      </c>
      <c r="J5" s="3399"/>
      <c r="K5" s="537"/>
      <c r="L5" s="2482"/>
      <c r="M5" s="2483"/>
      <c r="N5" s="2483"/>
      <c r="O5" s="2483"/>
      <c r="P5" s="3386"/>
      <c r="Q5" s="3387"/>
      <c r="R5" s="3396"/>
      <c r="S5" s="3397"/>
      <c r="T5" s="3396"/>
      <c r="U5" s="3397"/>
      <c r="V5" s="3372"/>
      <c r="W5" s="3372"/>
      <c r="X5" s="1264"/>
      <c r="Y5" s="3396"/>
      <c r="Z5" s="3397"/>
      <c r="AA5" s="3378"/>
      <c r="AB5" s="3372"/>
      <c r="AC5" s="3378"/>
    </row>
    <row r="6" spans="1:29" ht="15.75" thickBot="1">
      <c r="A6" s="350"/>
      <c r="B6" s="351"/>
      <c r="C6" s="3455" t="s">
        <v>1677</v>
      </c>
      <c r="D6" s="3456"/>
      <c r="E6" s="3457" t="s">
        <v>1677</v>
      </c>
      <c r="F6" s="3458"/>
      <c r="G6" s="3455" t="s">
        <v>1677</v>
      </c>
      <c r="H6" s="3456"/>
      <c r="I6" s="3455" t="s">
        <v>1677</v>
      </c>
      <c r="J6" s="3456"/>
      <c r="K6" s="537" t="s">
        <v>1678</v>
      </c>
      <c r="L6" s="2482"/>
      <c r="M6" s="2483"/>
      <c r="N6" s="2483"/>
      <c r="O6" s="2483"/>
      <c r="P6" s="3388"/>
      <c r="Q6" s="3389"/>
      <c r="R6" s="3396"/>
      <c r="S6" s="3397"/>
      <c r="T6" s="3405"/>
      <c r="U6" s="3406"/>
      <c r="V6" s="3372"/>
      <c r="W6" s="3372"/>
      <c r="X6" s="1264"/>
      <c r="Y6" s="3405"/>
      <c r="Z6" s="3406"/>
      <c r="AA6" s="3379"/>
      <c r="AB6" s="3372"/>
      <c r="AC6" s="3379"/>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70" t="s">
        <v>1680</v>
      </c>
      <c r="Q7" s="3402"/>
      <c r="R7" s="663" t="s">
        <v>14</v>
      </c>
      <c r="S7" s="664">
        <f t="shared" ref="S7:S15" si="0">F7</f>
        <v>0</v>
      </c>
      <c r="T7" s="663" t="s">
        <v>14</v>
      </c>
      <c r="U7" s="664">
        <f t="shared" ref="U7:U15" si="1">H7</f>
        <v>0</v>
      </c>
      <c r="V7" s="663" t="s">
        <v>14</v>
      </c>
      <c r="W7" s="664">
        <f t="shared" ref="W7:W15" si="2">J7</f>
        <v>0</v>
      </c>
      <c r="X7" s="665"/>
      <c r="Y7" s="3370" t="s">
        <v>1680</v>
      </c>
      <c r="Z7" s="337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70" t="s">
        <v>1683</v>
      </c>
      <c r="Q8" s="3371"/>
      <c r="R8" s="663" t="s">
        <v>14</v>
      </c>
      <c r="S8" s="664">
        <f t="shared" si="0"/>
        <v>100</v>
      </c>
      <c r="T8" s="663" t="s">
        <v>14</v>
      </c>
      <c r="U8" s="664">
        <f t="shared" si="1"/>
        <v>100</v>
      </c>
      <c r="V8" s="663" t="s">
        <v>14</v>
      </c>
      <c r="W8" s="664">
        <f t="shared" si="2"/>
        <v>100</v>
      </c>
      <c r="X8" s="665"/>
      <c r="Y8" s="3370" t="s">
        <v>1683</v>
      </c>
      <c r="Z8" s="337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93"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93"/>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3"/>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93"/>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3"/>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3"/>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64" t="s">
        <v>1691</v>
      </c>
      <c r="Q15" s="1262" t="str">
        <f t="shared" si="6"/>
        <v>商业繁华度</v>
      </c>
      <c r="R15" s="666" t="s">
        <v>14</v>
      </c>
      <c r="S15" s="667">
        <f t="shared" si="0"/>
        <v>100</v>
      </c>
      <c r="T15" s="666" t="s">
        <v>14</v>
      </c>
      <c r="U15" s="667">
        <f t="shared" si="1"/>
        <v>100</v>
      </c>
      <c r="V15" s="666" t="s">
        <v>14</v>
      </c>
      <c r="W15" s="667">
        <f t="shared" si="2"/>
        <v>100</v>
      </c>
      <c r="X15" s="1264"/>
      <c r="Y15" s="337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65"/>
      <c r="Q16" s="1262"/>
      <c r="R16" s="666"/>
      <c r="S16" s="667"/>
      <c r="T16" s="666"/>
      <c r="U16" s="667"/>
      <c r="V16" s="666"/>
      <c r="W16" s="667"/>
      <c r="X16" s="1264"/>
      <c r="Y16" s="337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65"/>
      <c r="Q17" s="1262" t="str">
        <f>B17</f>
        <v>交通便捷度</v>
      </c>
      <c r="R17" s="666" t="s">
        <v>14</v>
      </c>
      <c r="S17" s="667">
        <f>F17</f>
        <v>100</v>
      </c>
      <c r="T17" s="666" t="s">
        <v>14</v>
      </c>
      <c r="U17" s="667">
        <f>H17</f>
        <v>100</v>
      </c>
      <c r="V17" s="666" t="s">
        <v>14</v>
      </c>
      <c r="W17" s="667">
        <f>J17</f>
        <v>100</v>
      </c>
      <c r="X17" s="1264"/>
      <c r="Y17" s="337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65"/>
      <c r="Q18" s="1262"/>
      <c r="R18" s="666"/>
      <c r="S18" s="667"/>
      <c r="T18" s="666"/>
      <c r="U18" s="667"/>
      <c r="V18" s="666"/>
      <c r="W18" s="667"/>
      <c r="X18" s="1264"/>
      <c r="Y18" s="337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65"/>
      <c r="Q19" s="1262" t="str">
        <f>B19</f>
        <v>公共配套设施</v>
      </c>
      <c r="R19" s="666" t="s">
        <v>14</v>
      </c>
      <c r="S19" s="667">
        <f>F19</f>
        <v>100</v>
      </c>
      <c r="T19" s="666" t="s">
        <v>14</v>
      </c>
      <c r="U19" s="667">
        <f>H19</f>
        <v>100</v>
      </c>
      <c r="V19" s="666" t="s">
        <v>14</v>
      </c>
      <c r="W19" s="667">
        <f>J19</f>
        <v>100</v>
      </c>
      <c r="X19" s="1264"/>
      <c r="Y19" s="337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65"/>
      <c r="Q20" s="1262"/>
      <c r="R20" s="666"/>
      <c r="S20" s="667"/>
      <c r="T20" s="666"/>
      <c r="U20" s="667"/>
      <c r="V20" s="666"/>
      <c r="W20" s="667"/>
      <c r="X20" s="1264"/>
      <c r="Y20" s="3374"/>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65"/>
      <c r="Q21" s="1262" t="str">
        <f>B21</f>
        <v>基础设施水平</v>
      </c>
      <c r="R21" s="666" t="s">
        <v>14</v>
      </c>
      <c r="S21" s="667">
        <f>F21</f>
        <v>100</v>
      </c>
      <c r="T21" s="666" t="s">
        <v>14</v>
      </c>
      <c r="U21" s="667">
        <f>H21</f>
        <v>100</v>
      </c>
      <c r="V21" s="666" t="s">
        <v>14</v>
      </c>
      <c r="W21" s="667">
        <f>J21</f>
        <v>100</v>
      </c>
      <c r="X21" s="1264"/>
      <c r="Y21" s="337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65"/>
      <c r="Q22" s="1262"/>
      <c r="R22" s="666"/>
      <c r="S22" s="667"/>
      <c r="T22" s="666"/>
      <c r="U22" s="667"/>
      <c r="V22" s="666"/>
      <c r="W22" s="667"/>
      <c r="X22" s="1264"/>
      <c r="Y22" s="337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65"/>
      <c r="Q23" s="1262" t="str">
        <f>B23</f>
        <v>自然及人文环境</v>
      </c>
      <c r="R23" s="666" t="s">
        <v>14</v>
      </c>
      <c r="S23" s="667">
        <f>F23</f>
        <v>100</v>
      </c>
      <c r="T23" s="666" t="s">
        <v>14</v>
      </c>
      <c r="U23" s="667">
        <f>H23</f>
        <v>100</v>
      </c>
      <c r="V23" s="666" t="s">
        <v>14</v>
      </c>
      <c r="W23" s="667">
        <f>J23</f>
        <v>100</v>
      </c>
      <c r="X23" s="1264"/>
      <c r="Y23" s="337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65"/>
      <c r="Q24" s="1262"/>
      <c r="R24" s="666"/>
      <c r="S24" s="667"/>
      <c r="T24" s="666"/>
      <c r="U24" s="667"/>
      <c r="V24" s="666"/>
      <c r="W24" s="667"/>
      <c r="X24" s="1264"/>
      <c r="Y24" s="337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65"/>
      <c r="Q25" s="1262" t="str">
        <f t="shared" ref="Q25:Q46" si="11">B25</f>
        <v>临街状况</v>
      </c>
      <c r="R25" s="666" t="s">
        <v>14</v>
      </c>
      <c r="S25" s="667">
        <f>F25</f>
        <v>100</v>
      </c>
      <c r="T25" s="666" t="s">
        <v>14</v>
      </c>
      <c r="U25" s="667">
        <f>H25</f>
        <v>100</v>
      </c>
      <c r="V25" s="666" t="s">
        <v>14</v>
      </c>
      <c r="W25" s="667">
        <f>J25</f>
        <v>100</v>
      </c>
      <c r="X25" s="1264"/>
      <c r="Y25" s="337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65"/>
      <c r="Q26" s="1262" t="str">
        <f t="shared" si="11"/>
        <v>平面位置/可视性</v>
      </c>
      <c r="R26" s="666" t="s">
        <v>14</v>
      </c>
      <c r="S26" s="667">
        <f>F26</f>
        <v>100</v>
      </c>
      <c r="T26" s="666" t="s">
        <v>14</v>
      </c>
      <c r="U26" s="667">
        <f>H26</f>
        <v>100</v>
      </c>
      <c r="V26" s="666" t="s">
        <v>14</v>
      </c>
      <c r="W26" s="667">
        <f>J26</f>
        <v>100</v>
      </c>
      <c r="X26" s="1264"/>
      <c r="Y26" s="337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65"/>
      <c r="Q27" s="530" t="str">
        <f t="shared" si="11"/>
        <v>人流量</v>
      </c>
      <c r="R27" s="663" t="s">
        <v>14</v>
      </c>
      <c r="S27" s="664">
        <f>F27</f>
        <v>100</v>
      </c>
      <c r="T27" s="663" t="s">
        <v>14</v>
      </c>
      <c r="U27" s="664">
        <f>H27</f>
        <v>100</v>
      </c>
      <c r="V27" s="663" t="s">
        <v>14</v>
      </c>
      <c r="W27" s="664">
        <f>J27</f>
        <v>100</v>
      </c>
      <c r="X27" s="665"/>
      <c r="Y27" s="337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6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65"/>
      <c r="Q29" s="1262">
        <f t="shared" si="11"/>
        <v>111</v>
      </c>
      <c r="R29" s="666" t="s">
        <v>14</v>
      </c>
      <c r="S29" s="667">
        <f t="shared" si="12"/>
        <v>100</v>
      </c>
      <c r="T29" s="666" t="s">
        <v>14</v>
      </c>
      <c r="U29" s="667">
        <f t="shared" si="13"/>
        <v>100</v>
      </c>
      <c r="V29" s="666" t="s">
        <v>14</v>
      </c>
      <c r="W29" s="667">
        <f t="shared" si="14"/>
        <v>100</v>
      </c>
      <c r="X29" s="1264"/>
      <c r="Y29" s="337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65"/>
      <c r="Q30" s="1262">
        <f t="shared" si="11"/>
        <v>111</v>
      </c>
      <c r="R30" s="666" t="s">
        <v>14</v>
      </c>
      <c r="S30" s="667">
        <f t="shared" si="12"/>
        <v>100</v>
      </c>
      <c r="T30" s="666" t="s">
        <v>14</v>
      </c>
      <c r="U30" s="667">
        <f t="shared" si="13"/>
        <v>100</v>
      </c>
      <c r="V30" s="666" t="s">
        <v>14</v>
      </c>
      <c r="W30" s="667">
        <f t="shared" si="14"/>
        <v>100</v>
      </c>
      <c r="X30" s="1264"/>
      <c r="Y30" s="337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65"/>
      <c r="Q31" s="1262">
        <f t="shared" si="11"/>
        <v>111</v>
      </c>
      <c r="R31" s="666" t="s">
        <v>14</v>
      </c>
      <c r="S31" s="667">
        <f t="shared" si="12"/>
        <v>100</v>
      </c>
      <c r="T31" s="666" t="s">
        <v>14</v>
      </c>
      <c r="U31" s="667">
        <f t="shared" si="13"/>
        <v>100</v>
      </c>
      <c r="V31" s="666" t="s">
        <v>14</v>
      </c>
      <c r="W31" s="667">
        <f t="shared" si="14"/>
        <v>100</v>
      </c>
      <c r="X31" s="1264"/>
      <c r="Y31" s="337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60" t="s">
        <v>1696</v>
      </c>
      <c r="Q32" s="1262" t="str">
        <f t="shared" si="11"/>
        <v>商业类型</v>
      </c>
      <c r="R32" s="666" t="s">
        <v>14</v>
      </c>
      <c r="S32" s="667">
        <f t="shared" si="12"/>
        <v>100</v>
      </c>
      <c r="T32" s="666" t="s">
        <v>14</v>
      </c>
      <c r="U32" s="667">
        <f t="shared" si="13"/>
        <v>100</v>
      </c>
      <c r="V32" s="666" t="s">
        <v>14</v>
      </c>
      <c r="W32" s="667">
        <f t="shared" si="14"/>
        <v>100</v>
      </c>
      <c r="X32" s="1264"/>
      <c r="Y32" s="337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61"/>
      <c r="Q33" s="531" t="str">
        <f t="shared" si="11"/>
        <v>项目建筑规模</v>
      </c>
      <c r="R33" s="668" t="s">
        <v>14</v>
      </c>
      <c r="S33" s="669" t="e">
        <f t="shared" si="12"/>
        <v>#N/A</v>
      </c>
      <c r="T33" s="668" t="s">
        <v>14</v>
      </c>
      <c r="U33" s="669" t="e">
        <f t="shared" si="13"/>
        <v>#N/A</v>
      </c>
      <c r="V33" s="668" t="s">
        <v>14</v>
      </c>
      <c r="W33" s="669" t="e">
        <f t="shared" si="14"/>
        <v>#N/A</v>
      </c>
      <c r="X33" s="670"/>
      <c r="Y33" s="3376"/>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61"/>
      <c r="Q34" s="1262" t="str">
        <f t="shared" si="11"/>
        <v>建筑结构</v>
      </c>
      <c r="R34" s="666" t="s">
        <v>14</v>
      </c>
      <c r="S34" s="667">
        <f t="shared" si="12"/>
        <v>100</v>
      </c>
      <c r="T34" s="666" t="s">
        <v>14</v>
      </c>
      <c r="U34" s="667">
        <f t="shared" si="13"/>
        <v>100</v>
      </c>
      <c r="V34" s="666" t="s">
        <v>14</v>
      </c>
      <c r="W34" s="667">
        <f t="shared" si="14"/>
        <v>100</v>
      </c>
      <c r="X34" s="1264"/>
      <c r="Y34" s="337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61"/>
      <c r="Q35" s="1262" t="str">
        <f t="shared" si="11"/>
        <v>公共部分装修</v>
      </c>
      <c r="R35" s="666" t="s">
        <v>14</v>
      </c>
      <c r="S35" s="667">
        <f t="shared" si="12"/>
        <v>100</v>
      </c>
      <c r="T35" s="666" t="s">
        <v>14</v>
      </c>
      <c r="U35" s="667">
        <f t="shared" si="13"/>
        <v>100</v>
      </c>
      <c r="V35" s="666" t="s">
        <v>14</v>
      </c>
      <c r="W35" s="667">
        <f t="shared" si="14"/>
        <v>100</v>
      </c>
      <c r="X35" s="1264"/>
      <c r="Y35" s="337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61"/>
      <c r="Q36" s="1262" t="str">
        <f t="shared" si="11"/>
        <v>成新度</v>
      </c>
      <c r="R36" s="666" t="s">
        <v>14</v>
      </c>
      <c r="S36" s="667" t="e">
        <f t="shared" si="12"/>
        <v>#N/A</v>
      </c>
      <c r="T36" s="666" t="s">
        <v>14</v>
      </c>
      <c r="U36" s="667" t="e">
        <f t="shared" si="13"/>
        <v>#N/A</v>
      </c>
      <c r="V36" s="666" t="s">
        <v>14</v>
      </c>
      <c r="W36" s="667" t="e">
        <f t="shared" si="14"/>
        <v>#N/A</v>
      </c>
      <c r="X36" s="1264"/>
      <c r="Y36" s="337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61"/>
      <c r="Q37" s="530" t="str">
        <f t="shared" si="11"/>
        <v>市政基础设施</v>
      </c>
      <c r="R37" s="663" t="s">
        <v>14</v>
      </c>
      <c r="S37" s="664">
        <f t="shared" si="12"/>
        <v>100</v>
      </c>
      <c r="T37" s="663" t="s">
        <v>14</v>
      </c>
      <c r="U37" s="664">
        <f t="shared" si="13"/>
        <v>100</v>
      </c>
      <c r="V37" s="663" t="s">
        <v>14</v>
      </c>
      <c r="W37" s="664">
        <f t="shared" si="14"/>
        <v>100</v>
      </c>
      <c r="X37" s="665"/>
      <c r="Y37" s="337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61" t="s">
        <v>1696</v>
      </c>
      <c r="Q38" s="1262" t="str">
        <f t="shared" si="11"/>
        <v>业态</v>
      </c>
      <c r="R38" s="666" t="s">
        <v>14</v>
      </c>
      <c r="S38" s="667">
        <f t="shared" si="12"/>
        <v>100</v>
      </c>
      <c r="T38" s="666" t="s">
        <v>14</v>
      </c>
      <c r="U38" s="667">
        <f t="shared" si="13"/>
        <v>100</v>
      </c>
      <c r="V38" s="666" t="s">
        <v>14</v>
      </c>
      <c r="W38" s="667">
        <f t="shared" si="14"/>
        <v>100</v>
      </c>
      <c r="X38" s="1264"/>
      <c r="Y38" s="337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61"/>
      <c r="Q39" s="1262" t="str">
        <f t="shared" si="11"/>
        <v>层高</v>
      </c>
      <c r="R39" s="666" t="s">
        <v>14</v>
      </c>
      <c r="S39" s="667">
        <f t="shared" si="12"/>
        <v>100</v>
      </c>
      <c r="T39" s="666" t="s">
        <v>14</v>
      </c>
      <c r="U39" s="667">
        <f t="shared" si="13"/>
        <v>100</v>
      </c>
      <c r="V39" s="666" t="s">
        <v>14</v>
      </c>
      <c r="W39" s="667">
        <f t="shared" si="14"/>
        <v>100</v>
      </c>
      <c r="X39" s="1264"/>
      <c r="Y39" s="337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61"/>
      <c r="Q40" s="1262" t="str">
        <f t="shared" si="11"/>
        <v>单套建筑面积</v>
      </c>
      <c r="R40" s="666" t="s">
        <v>14</v>
      </c>
      <c r="S40" s="667">
        <f t="shared" si="12"/>
        <v>100</v>
      </c>
      <c r="T40" s="666" t="s">
        <v>14</v>
      </c>
      <c r="U40" s="667">
        <f t="shared" si="13"/>
        <v>100</v>
      </c>
      <c r="V40" s="666" t="s">
        <v>14</v>
      </c>
      <c r="W40" s="667">
        <f t="shared" si="14"/>
        <v>100</v>
      </c>
      <c r="X40" s="1264"/>
      <c r="Y40" s="337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61"/>
      <c r="Q41" s="531" t="str">
        <f t="shared" si="11"/>
        <v>进深比</v>
      </c>
      <c r="R41" s="668" t="s">
        <v>14</v>
      </c>
      <c r="S41" s="669">
        <f t="shared" si="12"/>
        <v>100</v>
      </c>
      <c r="T41" s="668" t="s">
        <v>14</v>
      </c>
      <c r="U41" s="669">
        <f t="shared" si="13"/>
        <v>100</v>
      </c>
      <c r="V41" s="668" t="s">
        <v>14</v>
      </c>
      <c r="W41" s="669">
        <f t="shared" si="14"/>
        <v>100</v>
      </c>
      <c r="X41" s="670"/>
      <c r="Y41" s="3376"/>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61"/>
      <c r="Q42" s="1262" t="str">
        <f t="shared" si="11"/>
        <v>内部装修</v>
      </c>
      <c r="R42" s="666" t="s">
        <v>14</v>
      </c>
      <c r="S42" s="667">
        <f t="shared" si="12"/>
        <v>100</v>
      </c>
      <c r="T42" s="666" t="s">
        <v>14</v>
      </c>
      <c r="U42" s="667">
        <f t="shared" si="13"/>
        <v>100</v>
      </c>
      <c r="V42" s="666" t="s">
        <v>14</v>
      </c>
      <c r="W42" s="667">
        <f t="shared" si="14"/>
        <v>100</v>
      </c>
      <c r="X42" s="1264"/>
      <c r="Y42" s="3376"/>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61"/>
      <c r="Q43" s="1262" t="str">
        <f t="shared" si="11"/>
        <v>内部装修维护情况</v>
      </c>
      <c r="R43" s="666" t="s">
        <v>14</v>
      </c>
      <c r="S43" s="667">
        <f t="shared" si="12"/>
        <v>100</v>
      </c>
      <c r="T43" s="666" t="s">
        <v>14</v>
      </c>
      <c r="U43" s="667">
        <f t="shared" si="13"/>
        <v>100</v>
      </c>
      <c r="V43" s="666" t="s">
        <v>14</v>
      </c>
      <c r="W43" s="667">
        <f t="shared" si="14"/>
        <v>100</v>
      </c>
      <c r="X43" s="1264"/>
      <c r="Y43" s="3376"/>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61"/>
      <c r="Q44" s="530">
        <f t="shared" si="11"/>
        <v>111</v>
      </c>
      <c r="R44" s="663" t="s">
        <v>14</v>
      </c>
      <c r="S44" s="664">
        <f t="shared" si="12"/>
        <v>100</v>
      </c>
      <c r="T44" s="663" t="s">
        <v>14</v>
      </c>
      <c r="U44" s="664">
        <f t="shared" si="13"/>
        <v>100</v>
      </c>
      <c r="V44" s="663" t="s">
        <v>14</v>
      </c>
      <c r="W44" s="664">
        <f t="shared" si="14"/>
        <v>100</v>
      </c>
      <c r="X44" s="665"/>
      <c r="Y44" s="3376"/>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61"/>
      <c r="Q45" s="1262">
        <f t="shared" si="11"/>
        <v>111</v>
      </c>
      <c r="R45" s="666" t="s">
        <v>14</v>
      </c>
      <c r="S45" s="667">
        <f t="shared" si="12"/>
        <v>100</v>
      </c>
      <c r="T45" s="666" t="s">
        <v>14</v>
      </c>
      <c r="U45" s="667">
        <f t="shared" si="13"/>
        <v>100</v>
      </c>
      <c r="V45" s="666" t="s">
        <v>14</v>
      </c>
      <c r="W45" s="667">
        <f t="shared" si="14"/>
        <v>100</v>
      </c>
      <c r="X45" s="1264"/>
      <c r="Y45" s="337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62"/>
      <c r="Q46" s="1262">
        <f t="shared" si="11"/>
        <v>111</v>
      </c>
      <c r="R46" s="666" t="s">
        <v>14</v>
      </c>
      <c r="S46" s="667">
        <f t="shared" si="12"/>
        <v>100</v>
      </c>
      <c r="T46" s="666" t="s">
        <v>14</v>
      </c>
      <c r="U46" s="667">
        <f t="shared" si="13"/>
        <v>100</v>
      </c>
      <c r="V46" s="666" t="s">
        <v>14</v>
      </c>
      <c r="W46" s="667">
        <f t="shared" si="14"/>
        <v>100</v>
      </c>
      <c r="X46" s="1264"/>
      <c r="Y46" s="3463"/>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68" t="str">
        <f>A47</f>
        <v>成交单价（元/平方米）</v>
      </c>
      <c r="Q47" s="3368"/>
      <c r="R47" s="3372">
        <f>E47</f>
        <v>0</v>
      </c>
      <c r="S47" s="3372"/>
      <c r="T47" s="3372">
        <f>G47</f>
        <v>0</v>
      </c>
      <c r="U47" s="3372"/>
      <c r="V47" s="3372">
        <f>I47</f>
        <v>0</v>
      </c>
      <c r="W47" s="3372"/>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68" t="str">
        <f>A48</f>
        <v>比较价值（元/平方米）</v>
      </c>
      <c r="Q48" s="3368"/>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365" t="str">
        <f>A49</f>
        <v>估价对象XX用房的比较价值（楼面单价，元/平方米）</v>
      </c>
      <c r="Q49" s="3366"/>
      <c r="R49" s="3459" t="e">
        <f>IF(F1="售价",ROUND(IF(D48="简单平均",AVERAGE(R48:V48),R48*F48+T48*H48+V48*J48),0),ROUND(IF(D48="简单平均",AVERAGE(R48:V48),R48*F48+T48*H48+V48*J48),1))</f>
        <v>#DIV/0!</v>
      </c>
      <c r="S49" s="3459"/>
      <c r="T49" s="3459"/>
      <c r="U49" s="3459"/>
      <c r="V49" s="3459"/>
      <c r="W49" s="345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472" t="s">
        <v>1775</v>
      </c>
      <c r="Q4" s="3473"/>
      <c r="R4" s="3467" t="s">
        <v>1771</v>
      </c>
      <c r="S4" s="3468"/>
      <c r="T4" s="3467" t="s">
        <v>1772</v>
      </c>
      <c r="U4" s="3468"/>
      <c r="V4" s="3476" t="s">
        <v>1773</v>
      </c>
      <c r="W4" s="3476"/>
      <c r="X4" s="1808"/>
      <c r="Y4" s="3467" t="s">
        <v>1775</v>
      </c>
      <c r="Z4" s="3468"/>
      <c r="AA4" s="3466" t="s">
        <v>1771</v>
      </c>
      <c r="AB4" s="3466" t="s">
        <v>1772</v>
      </c>
      <c r="AC4" s="3469" t="s">
        <v>1773</v>
      </c>
    </row>
    <row r="5" spans="1:29" ht="15">
      <c r="A5" s="348"/>
      <c r="B5" s="349"/>
      <c r="C5" s="3398" t="s">
        <v>1673</v>
      </c>
      <c r="D5" s="3399"/>
      <c r="E5" s="3390" t="s">
        <v>1674</v>
      </c>
      <c r="F5" s="3391"/>
      <c r="G5" s="3398" t="s">
        <v>1675</v>
      </c>
      <c r="H5" s="3399"/>
      <c r="I5" s="3398" t="s">
        <v>1676</v>
      </c>
      <c r="J5" s="3399"/>
      <c r="K5" s="537"/>
      <c r="L5" s="2482"/>
      <c r="M5" s="2483"/>
      <c r="N5" s="2483"/>
      <c r="O5" s="2483"/>
      <c r="P5" s="3474"/>
      <c r="Q5" s="3387"/>
      <c r="R5" s="3396"/>
      <c r="S5" s="3397"/>
      <c r="T5" s="3396"/>
      <c r="U5" s="3397"/>
      <c r="V5" s="3372"/>
      <c r="W5" s="3372"/>
      <c r="X5" s="1264"/>
      <c r="Y5" s="3396"/>
      <c r="Z5" s="3397"/>
      <c r="AA5" s="3378"/>
      <c r="AB5" s="3378"/>
      <c r="AC5" s="3470"/>
    </row>
    <row r="6" spans="1:29" ht="15.75" thickBot="1">
      <c r="A6" s="350"/>
      <c r="B6" s="351"/>
      <c r="C6" s="3455" t="s">
        <v>1677</v>
      </c>
      <c r="D6" s="3456"/>
      <c r="E6" s="3457" t="s">
        <v>1677</v>
      </c>
      <c r="F6" s="3458"/>
      <c r="G6" s="3455" t="s">
        <v>1677</v>
      </c>
      <c r="H6" s="3456"/>
      <c r="I6" s="3455" t="s">
        <v>1677</v>
      </c>
      <c r="J6" s="3456"/>
      <c r="K6" s="537" t="s">
        <v>1678</v>
      </c>
      <c r="L6" s="2482"/>
      <c r="M6" s="2483"/>
      <c r="N6" s="2483"/>
      <c r="O6" s="2483"/>
      <c r="P6" s="3475"/>
      <c r="Q6" s="3389"/>
      <c r="R6" s="3396"/>
      <c r="S6" s="3397"/>
      <c r="T6" s="3405"/>
      <c r="U6" s="3406"/>
      <c r="V6" s="3372"/>
      <c r="W6" s="3372"/>
      <c r="X6" s="1264"/>
      <c r="Y6" s="3405"/>
      <c r="Z6" s="3406"/>
      <c r="AA6" s="3379"/>
      <c r="AB6" s="3379"/>
      <c r="AC6" s="3471"/>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7" t="s">
        <v>1680</v>
      </c>
      <c r="Q7" s="3402"/>
      <c r="R7" s="663" t="s">
        <v>14</v>
      </c>
      <c r="S7" s="664">
        <f t="shared" ref="S7:S15" si="0">F7</f>
        <v>0</v>
      </c>
      <c r="T7" s="663" t="s">
        <v>14</v>
      </c>
      <c r="U7" s="664">
        <f t="shared" ref="U7:U15" si="1">H7</f>
        <v>0</v>
      </c>
      <c r="V7" s="663" t="s">
        <v>14</v>
      </c>
      <c r="W7" s="664">
        <f t="shared" ref="W7:W15" si="2">J7</f>
        <v>0</v>
      </c>
      <c r="X7" s="665"/>
      <c r="Y7" s="3370" t="s">
        <v>1680</v>
      </c>
      <c r="Z7" s="337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7" t="s">
        <v>1683</v>
      </c>
      <c r="Q8" s="3371"/>
      <c r="R8" s="663" t="s">
        <v>14</v>
      </c>
      <c r="S8" s="664">
        <f t="shared" si="0"/>
        <v>100</v>
      </c>
      <c r="T8" s="663" t="s">
        <v>14</v>
      </c>
      <c r="U8" s="664">
        <f t="shared" si="1"/>
        <v>100</v>
      </c>
      <c r="V8" s="663" t="s">
        <v>14</v>
      </c>
      <c r="W8" s="664">
        <f t="shared" si="2"/>
        <v>100</v>
      </c>
      <c r="X8" s="665"/>
      <c r="Y8" s="3370" t="s">
        <v>1683</v>
      </c>
      <c r="Z8" s="337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93"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93"/>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3"/>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93"/>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93"/>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93"/>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64" t="s">
        <v>1691</v>
      </c>
      <c r="Q15" s="1262" t="str">
        <f t="shared" si="6"/>
        <v>办公集聚程度</v>
      </c>
      <c r="R15" s="666" t="s">
        <v>14</v>
      </c>
      <c r="S15" s="667">
        <f t="shared" si="0"/>
        <v>100</v>
      </c>
      <c r="T15" s="666" t="s">
        <v>14</v>
      </c>
      <c r="U15" s="667">
        <f t="shared" si="1"/>
        <v>100</v>
      </c>
      <c r="V15" s="666" t="s">
        <v>14</v>
      </c>
      <c r="W15" s="667">
        <f t="shared" si="2"/>
        <v>100</v>
      </c>
      <c r="X15" s="1264"/>
      <c r="Y15" s="337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65"/>
      <c r="Q16" s="1262"/>
      <c r="R16" s="666"/>
      <c r="S16" s="667"/>
      <c r="T16" s="666"/>
      <c r="U16" s="667"/>
      <c r="V16" s="666"/>
      <c r="W16" s="667"/>
      <c r="X16" s="1264"/>
      <c r="Y16" s="3374"/>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65"/>
      <c r="Q17" s="1262" t="str">
        <f>B17</f>
        <v>交通便捷度</v>
      </c>
      <c r="R17" s="666" t="s">
        <v>14</v>
      </c>
      <c r="S17" s="667">
        <f>F17</f>
        <v>100</v>
      </c>
      <c r="T17" s="666" t="s">
        <v>14</v>
      </c>
      <c r="U17" s="667">
        <f>H17</f>
        <v>100</v>
      </c>
      <c r="V17" s="666" t="s">
        <v>14</v>
      </c>
      <c r="W17" s="667">
        <f>J17</f>
        <v>100</v>
      </c>
      <c r="X17" s="1264"/>
      <c r="Y17" s="337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65"/>
      <c r="Q18" s="1262"/>
      <c r="R18" s="666"/>
      <c r="S18" s="667"/>
      <c r="T18" s="666"/>
      <c r="U18" s="667"/>
      <c r="V18" s="666"/>
      <c r="W18" s="667"/>
      <c r="X18" s="1264"/>
      <c r="Y18" s="3374"/>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65"/>
      <c r="Q19" s="1262" t="str">
        <f>B19</f>
        <v>公共配套设施</v>
      </c>
      <c r="R19" s="666" t="s">
        <v>14</v>
      </c>
      <c r="S19" s="667">
        <f>F19</f>
        <v>100</v>
      </c>
      <c r="T19" s="666" t="s">
        <v>14</v>
      </c>
      <c r="U19" s="667">
        <f>H19</f>
        <v>100</v>
      </c>
      <c r="V19" s="666" t="s">
        <v>14</v>
      </c>
      <c r="W19" s="667">
        <f>J19</f>
        <v>100</v>
      </c>
      <c r="X19" s="1264"/>
      <c r="Y19" s="337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65"/>
      <c r="Q20" s="1262"/>
      <c r="R20" s="666"/>
      <c r="S20" s="667"/>
      <c r="T20" s="666"/>
      <c r="U20" s="667"/>
      <c r="V20" s="666"/>
      <c r="W20" s="667"/>
      <c r="X20" s="1264"/>
      <c r="Y20" s="3374"/>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65"/>
      <c r="Q21" s="1262" t="str">
        <f>B21</f>
        <v>基础设施水平</v>
      </c>
      <c r="R21" s="666" t="s">
        <v>14</v>
      </c>
      <c r="S21" s="667">
        <f>F21</f>
        <v>100</v>
      </c>
      <c r="T21" s="666" t="s">
        <v>14</v>
      </c>
      <c r="U21" s="667">
        <f>H21</f>
        <v>100</v>
      </c>
      <c r="V21" s="666" t="s">
        <v>14</v>
      </c>
      <c r="W21" s="667">
        <f>J21</f>
        <v>100</v>
      </c>
      <c r="X21" s="1264"/>
      <c r="Y21" s="337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65"/>
      <c r="Q22" s="1262"/>
      <c r="R22" s="666"/>
      <c r="S22" s="667"/>
      <c r="T22" s="666"/>
      <c r="U22" s="667"/>
      <c r="V22" s="666"/>
      <c r="W22" s="667"/>
      <c r="X22" s="1264"/>
      <c r="Y22" s="3374"/>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65"/>
      <c r="Q23" s="1262" t="str">
        <f>B23</f>
        <v>环境质量</v>
      </c>
      <c r="R23" s="666" t="s">
        <v>14</v>
      </c>
      <c r="S23" s="667">
        <f>F23</f>
        <v>100</v>
      </c>
      <c r="T23" s="666" t="s">
        <v>14</v>
      </c>
      <c r="U23" s="667">
        <f>H23</f>
        <v>100</v>
      </c>
      <c r="V23" s="666" t="s">
        <v>14</v>
      </c>
      <c r="W23" s="667">
        <f>J23</f>
        <v>100</v>
      </c>
      <c r="X23" s="1264"/>
      <c r="Y23" s="337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65"/>
      <c r="Q24" s="1262"/>
      <c r="R24" s="666"/>
      <c r="S24" s="667"/>
      <c r="T24" s="666"/>
      <c r="U24" s="667"/>
      <c r="V24" s="666"/>
      <c r="W24" s="667"/>
      <c r="X24" s="1264"/>
      <c r="Y24" s="337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65"/>
      <c r="Q25" s="1262" t="str">
        <f>B25</f>
        <v>毗邻道路的类型与等级</v>
      </c>
      <c r="R25" s="666" t="s">
        <v>14</v>
      </c>
      <c r="S25" s="667">
        <f>F25</f>
        <v>100</v>
      </c>
      <c r="T25" s="666" t="s">
        <v>14</v>
      </c>
      <c r="U25" s="667">
        <f>H25</f>
        <v>100</v>
      </c>
      <c r="V25" s="666" t="s">
        <v>14</v>
      </c>
      <c r="W25" s="667">
        <f>J25</f>
        <v>100</v>
      </c>
      <c r="X25" s="1264"/>
      <c r="Y25" s="337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5"/>
      <c r="Q26" s="1262"/>
      <c r="R26" s="666"/>
      <c r="S26" s="667"/>
      <c r="T26" s="666"/>
      <c r="U26" s="667"/>
      <c r="V26" s="666"/>
      <c r="W26" s="667"/>
      <c r="X26" s="1264"/>
      <c r="Y26" s="337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5"/>
      <c r="Q27" s="1262" t="str">
        <f t="shared" ref="Q27:Q47" si="11">B27</f>
        <v>楼层</v>
      </c>
      <c r="R27" s="666" t="s">
        <v>14</v>
      </c>
      <c r="S27" s="667">
        <f>F27</f>
        <v>100</v>
      </c>
      <c r="T27" s="666" t="s">
        <v>14</v>
      </c>
      <c r="U27" s="667">
        <f>H27</f>
        <v>100</v>
      </c>
      <c r="V27" s="666" t="s">
        <v>14</v>
      </c>
      <c r="W27" s="667">
        <f>J27</f>
        <v>100</v>
      </c>
      <c r="X27" s="1264"/>
      <c r="Y27" s="337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5"/>
      <c r="Q28" s="530" t="str">
        <f t="shared" si="11"/>
        <v>朝向</v>
      </c>
      <c r="R28" s="663" t="s">
        <v>14</v>
      </c>
      <c r="S28" s="664">
        <f>F28</f>
        <v>100</v>
      </c>
      <c r="T28" s="663" t="s">
        <v>14</v>
      </c>
      <c r="U28" s="664">
        <f>H28</f>
        <v>100</v>
      </c>
      <c r="V28" s="663" t="s">
        <v>14</v>
      </c>
      <c r="W28" s="664">
        <f>J28</f>
        <v>100</v>
      </c>
      <c r="X28" s="665"/>
      <c r="Y28" s="337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5"/>
      <c r="Q29" s="1262">
        <f t="shared" si="11"/>
        <v>111</v>
      </c>
      <c r="R29" s="666" t="s">
        <v>14</v>
      </c>
      <c r="S29" s="667">
        <f t="shared" ref="S29:S47" si="12">F29</f>
        <v>100</v>
      </c>
      <c r="T29" s="666" t="s">
        <v>14</v>
      </c>
      <c r="U29" s="667">
        <f t="shared" ref="U29:U47" si="13">H29</f>
        <v>100</v>
      </c>
      <c r="V29" s="666" t="s">
        <v>14</v>
      </c>
      <c r="W29" s="667">
        <f t="shared" ref="W29:W47" si="14">J29</f>
        <v>100</v>
      </c>
      <c r="X29" s="1264"/>
      <c r="Y29" s="337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5"/>
      <c r="Q30" s="1262">
        <f t="shared" si="11"/>
        <v>111</v>
      </c>
      <c r="R30" s="666" t="s">
        <v>14</v>
      </c>
      <c r="S30" s="667">
        <f t="shared" si="12"/>
        <v>100</v>
      </c>
      <c r="T30" s="666" t="s">
        <v>14</v>
      </c>
      <c r="U30" s="667">
        <f t="shared" si="13"/>
        <v>100</v>
      </c>
      <c r="V30" s="666" t="s">
        <v>14</v>
      </c>
      <c r="W30" s="667">
        <f t="shared" si="14"/>
        <v>100</v>
      </c>
      <c r="X30" s="1264"/>
      <c r="Y30" s="337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5"/>
      <c r="Q31" s="1262">
        <f t="shared" si="11"/>
        <v>111</v>
      </c>
      <c r="R31" s="666" t="s">
        <v>14</v>
      </c>
      <c r="S31" s="667">
        <f t="shared" si="12"/>
        <v>100</v>
      </c>
      <c r="T31" s="666" t="s">
        <v>14</v>
      </c>
      <c r="U31" s="667">
        <f t="shared" si="13"/>
        <v>100</v>
      </c>
      <c r="V31" s="666" t="s">
        <v>14</v>
      </c>
      <c r="W31" s="667">
        <f t="shared" si="14"/>
        <v>100</v>
      </c>
      <c r="X31" s="1264"/>
      <c r="Y31" s="337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5"/>
      <c r="Q32" s="1262">
        <f t="shared" si="11"/>
        <v>111</v>
      </c>
      <c r="R32" s="666" t="s">
        <v>14</v>
      </c>
      <c r="S32" s="667">
        <f t="shared" si="12"/>
        <v>100</v>
      </c>
      <c r="T32" s="666" t="s">
        <v>14</v>
      </c>
      <c r="U32" s="667">
        <f t="shared" si="13"/>
        <v>100</v>
      </c>
      <c r="V32" s="666" t="s">
        <v>14</v>
      </c>
      <c r="W32" s="667">
        <f t="shared" si="14"/>
        <v>100</v>
      </c>
      <c r="X32" s="1264"/>
      <c r="Y32" s="337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60" t="s">
        <v>1696</v>
      </c>
      <c r="Q33" s="1262" t="str">
        <f t="shared" si="11"/>
        <v>建筑类型</v>
      </c>
      <c r="R33" s="666" t="s">
        <v>14</v>
      </c>
      <c r="S33" s="667">
        <f t="shared" si="12"/>
        <v>100</v>
      </c>
      <c r="T33" s="666" t="s">
        <v>14</v>
      </c>
      <c r="U33" s="667">
        <f t="shared" si="13"/>
        <v>100</v>
      </c>
      <c r="V33" s="666" t="s">
        <v>14</v>
      </c>
      <c r="W33" s="667">
        <f t="shared" si="14"/>
        <v>100</v>
      </c>
      <c r="X33" s="1264"/>
      <c r="Y33" s="337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61"/>
      <c r="Q34" s="531" t="str">
        <f t="shared" si="11"/>
        <v>项目建筑规模</v>
      </c>
      <c r="R34" s="668" t="s">
        <v>14</v>
      </c>
      <c r="S34" s="669" t="e">
        <f t="shared" si="12"/>
        <v>#N/A</v>
      </c>
      <c r="T34" s="668" t="s">
        <v>14</v>
      </c>
      <c r="U34" s="669" t="e">
        <f t="shared" si="13"/>
        <v>#N/A</v>
      </c>
      <c r="V34" s="668" t="s">
        <v>14</v>
      </c>
      <c r="W34" s="669" t="e">
        <f t="shared" si="14"/>
        <v>#N/A</v>
      </c>
      <c r="X34" s="670"/>
      <c r="Y34" s="337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61"/>
      <c r="Q35" s="1262" t="str">
        <f t="shared" si="11"/>
        <v>建筑结构</v>
      </c>
      <c r="R35" s="666" t="s">
        <v>14</v>
      </c>
      <c r="S35" s="667">
        <f t="shared" si="12"/>
        <v>100</v>
      </c>
      <c r="T35" s="666" t="s">
        <v>14</v>
      </c>
      <c r="U35" s="667">
        <f t="shared" si="13"/>
        <v>100</v>
      </c>
      <c r="V35" s="666" t="s">
        <v>14</v>
      </c>
      <c r="W35" s="667">
        <f t="shared" si="14"/>
        <v>100</v>
      </c>
      <c r="X35" s="1264"/>
      <c r="Y35" s="337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1"/>
      <c r="Q36" s="1262" t="str">
        <f t="shared" si="11"/>
        <v>公共部分装修</v>
      </c>
      <c r="R36" s="666" t="s">
        <v>14</v>
      </c>
      <c r="S36" s="667">
        <f t="shared" si="12"/>
        <v>100</v>
      </c>
      <c r="T36" s="666" t="s">
        <v>14</v>
      </c>
      <c r="U36" s="667">
        <f t="shared" si="13"/>
        <v>100</v>
      </c>
      <c r="V36" s="666" t="s">
        <v>14</v>
      </c>
      <c r="W36" s="667">
        <f t="shared" si="14"/>
        <v>100</v>
      </c>
      <c r="X36" s="1264"/>
      <c r="Y36" s="337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61"/>
      <c r="Q37" s="1262" t="str">
        <f t="shared" si="11"/>
        <v>成新度</v>
      </c>
      <c r="R37" s="666" t="s">
        <v>14</v>
      </c>
      <c r="S37" s="667" t="e">
        <f t="shared" si="12"/>
        <v>#N/A</v>
      </c>
      <c r="T37" s="666" t="s">
        <v>14</v>
      </c>
      <c r="U37" s="667" t="e">
        <f t="shared" si="13"/>
        <v>#N/A</v>
      </c>
      <c r="V37" s="666" t="s">
        <v>14</v>
      </c>
      <c r="W37" s="667" t="e">
        <f t="shared" si="14"/>
        <v>#N/A</v>
      </c>
      <c r="X37" s="1264"/>
      <c r="Y37" s="337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61"/>
      <c r="Q38" s="530" t="str">
        <f t="shared" si="11"/>
        <v>写字楼等级</v>
      </c>
      <c r="R38" s="663" t="s">
        <v>14</v>
      </c>
      <c r="S38" s="664">
        <f t="shared" si="12"/>
        <v>100</v>
      </c>
      <c r="T38" s="663" t="s">
        <v>14</v>
      </c>
      <c r="U38" s="664">
        <f t="shared" si="13"/>
        <v>100</v>
      </c>
      <c r="V38" s="663" t="s">
        <v>14</v>
      </c>
      <c r="W38" s="664">
        <f t="shared" si="14"/>
        <v>100</v>
      </c>
      <c r="X38" s="665"/>
      <c r="Y38" s="337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61" t="s">
        <v>1696</v>
      </c>
      <c r="Q39" s="1262" t="str">
        <f t="shared" si="11"/>
        <v>物业管理</v>
      </c>
      <c r="R39" s="666" t="s">
        <v>14</v>
      </c>
      <c r="S39" s="667">
        <f t="shared" si="12"/>
        <v>100</v>
      </c>
      <c r="T39" s="666" t="s">
        <v>14</v>
      </c>
      <c r="U39" s="667">
        <f t="shared" si="13"/>
        <v>100</v>
      </c>
      <c r="V39" s="666" t="s">
        <v>14</v>
      </c>
      <c r="W39" s="667">
        <f t="shared" si="14"/>
        <v>100</v>
      </c>
      <c r="X39" s="1264"/>
      <c r="Y39" s="337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61"/>
      <c r="Q40" s="1262" t="str">
        <f t="shared" si="11"/>
        <v>市政基础设施</v>
      </c>
      <c r="R40" s="666" t="s">
        <v>14</v>
      </c>
      <c r="S40" s="667">
        <f t="shared" si="12"/>
        <v>100</v>
      </c>
      <c r="T40" s="666" t="s">
        <v>14</v>
      </c>
      <c r="U40" s="667">
        <f t="shared" si="13"/>
        <v>100</v>
      </c>
      <c r="V40" s="666" t="s">
        <v>14</v>
      </c>
      <c r="W40" s="667">
        <f t="shared" si="14"/>
        <v>100</v>
      </c>
      <c r="X40" s="1264"/>
      <c r="Y40" s="337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61"/>
      <c r="Q41" s="1262" t="str">
        <f t="shared" si="11"/>
        <v>层高</v>
      </c>
      <c r="R41" s="666" t="s">
        <v>14</v>
      </c>
      <c r="S41" s="667">
        <f t="shared" si="12"/>
        <v>100</v>
      </c>
      <c r="T41" s="666" t="s">
        <v>14</v>
      </c>
      <c r="U41" s="667">
        <f t="shared" si="13"/>
        <v>100</v>
      </c>
      <c r="V41" s="666" t="s">
        <v>14</v>
      </c>
      <c r="W41" s="667">
        <f t="shared" si="14"/>
        <v>100</v>
      </c>
      <c r="X41" s="1264"/>
      <c r="Y41" s="337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1"/>
      <c r="Q42" s="531" t="str">
        <f t="shared" si="11"/>
        <v>单套建筑面积</v>
      </c>
      <c r="R42" s="668" t="s">
        <v>14</v>
      </c>
      <c r="S42" s="669">
        <f t="shared" si="12"/>
        <v>100</v>
      </c>
      <c r="T42" s="668" t="s">
        <v>14</v>
      </c>
      <c r="U42" s="669">
        <f t="shared" si="13"/>
        <v>100</v>
      </c>
      <c r="V42" s="668" t="s">
        <v>14</v>
      </c>
      <c r="W42" s="669">
        <f t="shared" si="14"/>
        <v>100</v>
      </c>
      <c r="X42" s="670"/>
      <c r="Y42" s="337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61"/>
      <c r="Q43" s="1262" t="str">
        <f t="shared" si="11"/>
        <v>内部装修</v>
      </c>
      <c r="R43" s="666" t="s">
        <v>14</v>
      </c>
      <c r="S43" s="667">
        <f t="shared" si="12"/>
        <v>100</v>
      </c>
      <c r="T43" s="666" t="s">
        <v>14</v>
      </c>
      <c r="U43" s="667">
        <f t="shared" si="13"/>
        <v>100</v>
      </c>
      <c r="V43" s="666" t="s">
        <v>14</v>
      </c>
      <c r="W43" s="667">
        <f t="shared" si="14"/>
        <v>100</v>
      </c>
      <c r="X43" s="1264"/>
      <c r="Y43" s="337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61"/>
      <c r="Q44" s="1262" t="str">
        <f t="shared" si="11"/>
        <v>内部装修维护情况</v>
      </c>
      <c r="R44" s="666" t="s">
        <v>14</v>
      </c>
      <c r="S44" s="667">
        <f t="shared" si="12"/>
        <v>100</v>
      </c>
      <c r="T44" s="666" t="s">
        <v>14</v>
      </c>
      <c r="U44" s="667">
        <f t="shared" si="13"/>
        <v>100</v>
      </c>
      <c r="V44" s="666" t="s">
        <v>14</v>
      </c>
      <c r="W44" s="667">
        <f t="shared" si="14"/>
        <v>100</v>
      </c>
      <c r="X44" s="1264"/>
      <c r="Y44" s="337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61"/>
      <c r="Q45" s="530">
        <f t="shared" si="11"/>
        <v>111</v>
      </c>
      <c r="R45" s="663" t="s">
        <v>14</v>
      </c>
      <c r="S45" s="664">
        <f t="shared" si="12"/>
        <v>100</v>
      </c>
      <c r="T45" s="663" t="s">
        <v>14</v>
      </c>
      <c r="U45" s="664">
        <f t="shared" si="13"/>
        <v>100</v>
      </c>
      <c r="V45" s="663" t="s">
        <v>14</v>
      </c>
      <c r="W45" s="664">
        <f t="shared" si="14"/>
        <v>100</v>
      </c>
      <c r="X45" s="665"/>
      <c r="Y45" s="337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61"/>
      <c r="Q46" s="1262">
        <f t="shared" si="11"/>
        <v>111</v>
      </c>
      <c r="R46" s="666" t="s">
        <v>14</v>
      </c>
      <c r="S46" s="667">
        <f t="shared" si="12"/>
        <v>100</v>
      </c>
      <c r="T46" s="666" t="s">
        <v>14</v>
      </c>
      <c r="U46" s="667">
        <f t="shared" si="13"/>
        <v>100</v>
      </c>
      <c r="V46" s="666" t="s">
        <v>14</v>
      </c>
      <c r="W46" s="667">
        <f t="shared" si="14"/>
        <v>100</v>
      </c>
      <c r="X46" s="1264"/>
      <c r="Y46" s="337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62"/>
      <c r="Q47" s="1262">
        <f t="shared" si="11"/>
        <v>111</v>
      </c>
      <c r="R47" s="666" t="s">
        <v>14</v>
      </c>
      <c r="S47" s="667">
        <f t="shared" si="12"/>
        <v>100</v>
      </c>
      <c r="T47" s="666" t="s">
        <v>14</v>
      </c>
      <c r="U47" s="667">
        <f t="shared" si="13"/>
        <v>100</v>
      </c>
      <c r="V47" s="666" t="s">
        <v>14</v>
      </c>
      <c r="W47" s="667">
        <f t="shared" si="14"/>
        <v>100</v>
      </c>
      <c r="X47" s="1264"/>
      <c r="Y47" s="3463"/>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93" t="str">
        <f>A48</f>
        <v>成交单价（元/平方米）</v>
      </c>
      <c r="Q48" s="3368"/>
      <c r="R48" s="3372">
        <f>E48</f>
        <v>0</v>
      </c>
      <c r="S48" s="3372"/>
      <c r="T48" s="3372">
        <f>G48</f>
        <v>0</v>
      </c>
      <c r="U48" s="3372"/>
      <c r="V48" s="3372">
        <f>I48</f>
        <v>0</v>
      </c>
      <c r="W48" s="3372"/>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93" t="str">
        <f>A49</f>
        <v>比较价值（元/平方米）</v>
      </c>
      <c r="Q49" s="3368"/>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0" t="s">
        <v>1770</v>
      </c>
      <c r="D4" s="3381"/>
      <c r="E4" s="3382" t="s">
        <v>1771</v>
      </c>
      <c r="F4" s="3383"/>
      <c r="G4" s="3380" t="s">
        <v>1772</v>
      </c>
      <c r="H4" s="3381"/>
      <c r="I4" s="3380" t="s">
        <v>1773</v>
      </c>
      <c r="J4" s="3381"/>
      <c r="K4" s="537" t="s">
        <v>1774</v>
      </c>
      <c r="L4" s="859"/>
      <c r="M4" s="860"/>
      <c r="N4" s="860"/>
      <c r="O4" s="860"/>
      <c r="P4" s="3384" t="s">
        <v>1775</v>
      </c>
      <c r="Q4" s="3385"/>
      <c r="R4" s="3394" t="s">
        <v>1771</v>
      </c>
      <c r="S4" s="3395"/>
      <c r="T4" s="3394" t="s">
        <v>1772</v>
      </c>
      <c r="U4" s="3395"/>
      <c r="V4" s="3372" t="s">
        <v>1773</v>
      </c>
      <c r="W4" s="3372"/>
      <c r="X4" s="1264"/>
      <c r="Y4" s="3394" t="s">
        <v>1775</v>
      </c>
      <c r="Z4" s="3395"/>
      <c r="AA4" s="3377" t="s">
        <v>1771</v>
      </c>
      <c r="AB4" s="3378" t="s">
        <v>1772</v>
      </c>
      <c r="AC4" s="3377" t="s">
        <v>1773</v>
      </c>
    </row>
    <row r="5" spans="1:29" ht="15">
      <c r="A5" s="348"/>
      <c r="B5" s="349"/>
      <c r="C5" s="3398" t="s">
        <v>1673</v>
      </c>
      <c r="D5" s="3399"/>
      <c r="E5" s="3390" t="s">
        <v>1674</v>
      </c>
      <c r="F5" s="3391"/>
      <c r="G5" s="3398" t="s">
        <v>1675</v>
      </c>
      <c r="H5" s="3399"/>
      <c r="I5" s="3398" t="s">
        <v>1676</v>
      </c>
      <c r="J5" s="3399"/>
      <c r="K5" s="537"/>
      <c r="L5" s="859"/>
      <c r="M5" s="860"/>
      <c r="N5" s="860"/>
      <c r="O5" s="860"/>
      <c r="P5" s="3386"/>
      <c r="Q5" s="3387"/>
      <c r="R5" s="3396"/>
      <c r="S5" s="3397"/>
      <c r="T5" s="3396"/>
      <c r="U5" s="3397"/>
      <c r="V5" s="3372"/>
      <c r="W5" s="3372"/>
      <c r="X5" s="1264"/>
      <c r="Y5" s="3396"/>
      <c r="Z5" s="3397"/>
      <c r="AA5" s="3378"/>
      <c r="AB5" s="3378"/>
      <c r="AC5" s="3378"/>
    </row>
    <row r="6" spans="1:29" ht="15.75" thickBot="1">
      <c r="A6" s="350"/>
      <c r="B6" s="351"/>
      <c r="C6" s="3455" t="s">
        <v>1677</v>
      </c>
      <c r="D6" s="3456"/>
      <c r="E6" s="3457" t="s">
        <v>1677</v>
      </c>
      <c r="F6" s="3458"/>
      <c r="G6" s="3455" t="s">
        <v>1677</v>
      </c>
      <c r="H6" s="3456"/>
      <c r="I6" s="3455" t="s">
        <v>1677</v>
      </c>
      <c r="J6" s="3456"/>
      <c r="K6" s="537" t="s">
        <v>1678</v>
      </c>
      <c r="L6" s="859"/>
      <c r="M6" s="860"/>
      <c r="N6" s="860"/>
      <c r="O6" s="860"/>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70" t="s">
        <v>1680</v>
      </c>
      <c r="Q7" s="3402"/>
      <c r="R7" s="663" t="s">
        <v>14</v>
      </c>
      <c r="S7" s="664">
        <f t="shared" ref="S7:S15" si="0">F7</f>
        <v>0</v>
      </c>
      <c r="T7" s="663" t="s">
        <v>14</v>
      </c>
      <c r="U7" s="664">
        <f t="shared" ref="U7:U15" si="1">H7</f>
        <v>0</v>
      </c>
      <c r="V7" s="663" t="s">
        <v>14</v>
      </c>
      <c r="W7" s="664">
        <f t="shared" ref="W7:W15" si="2">J7</f>
        <v>0</v>
      </c>
      <c r="X7" s="665"/>
      <c r="Y7" s="3370" t="s">
        <v>1680</v>
      </c>
      <c r="Z7" s="337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0" t="s">
        <v>1683</v>
      </c>
      <c r="Q8" s="3371"/>
      <c r="R8" s="663" t="s">
        <v>14</v>
      </c>
      <c r="S8" s="664">
        <f t="shared" si="0"/>
        <v>100</v>
      </c>
      <c r="T8" s="663" t="s">
        <v>14</v>
      </c>
      <c r="U8" s="664">
        <f t="shared" si="1"/>
        <v>100</v>
      </c>
      <c r="V8" s="663" t="s">
        <v>14</v>
      </c>
      <c r="W8" s="664">
        <f t="shared" si="2"/>
        <v>100</v>
      </c>
      <c r="X8" s="665"/>
      <c r="Y8" s="3370" t="s">
        <v>1683</v>
      </c>
      <c r="Z8" s="337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8"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68"/>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8"/>
      <c r="Q11" s="530" t="str">
        <f t="shared" si="6"/>
        <v>容积率</v>
      </c>
      <c r="R11" s="663" t="s">
        <v>14</v>
      </c>
      <c r="S11" s="664">
        <f t="shared" si="0"/>
        <v>100</v>
      </c>
      <c r="T11" s="663" t="s">
        <v>14</v>
      </c>
      <c r="U11" s="664">
        <f t="shared" si="1"/>
        <v>100</v>
      </c>
      <c r="V11" s="663" t="s">
        <v>14</v>
      </c>
      <c r="W11" s="664">
        <f t="shared" si="2"/>
        <v>100</v>
      </c>
      <c r="X11" s="665"/>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8"/>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8"/>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8"/>
      <c r="Q14" s="530">
        <f t="shared" si="6"/>
        <v>111</v>
      </c>
      <c r="R14" s="663" t="s">
        <v>14</v>
      </c>
      <c r="S14" s="664">
        <f t="shared" si="0"/>
        <v>100</v>
      </c>
      <c r="T14" s="663" t="s">
        <v>14</v>
      </c>
      <c r="U14" s="664">
        <f t="shared" si="1"/>
        <v>100</v>
      </c>
      <c r="V14" s="663" t="s">
        <v>14</v>
      </c>
      <c r="W14" s="664">
        <f t="shared" si="2"/>
        <v>100</v>
      </c>
      <c r="X14" s="665"/>
      <c r="Y14" s="3341"/>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3" t="s">
        <v>1691</v>
      </c>
      <c r="Q15" s="1262" t="str">
        <f t="shared" si="6"/>
        <v>产业集聚程度</v>
      </c>
      <c r="R15" s="666" t="s">
        <v>14</v>
      </c>
      <c r="S15" s="667">
        <f t="shared" si="0"/>
        <v>100</v>
      </c>
      <c r="T15" s="666" t="s">
        <v>14</v>
      </c>
      <c r="U15" s="667">
        <f t="shared" si="1"/>
        <v>100</v>
      </c>
      <c r="V15" s="666" t="s">
        <v>14</v>
      </c>
      <c r="W15" s="667">
        <f t="shared" si="2"/>
        <v>100</v>
      </c>
      <c r="X15" s="1264"/>
      <c r="Y15" s="337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4"/>
      <c r="Q16" s="1262"/>
      <c r="R16" s="666"/>
      <c r="S16" s="667"/>
      <c r="T16" s="666"/>
      <c r="U16" s="667"/>
      <c r="V16" s="666"/>
      <c r="W16" s="667"/>
      <c r="X16" s="1264"/>
      <c r="Y16" s="3374"/>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4"/>
      <c r="Q17" s="1262" t="str">
        <f>B17</f>
        <v>交通便捷度</v>
      </c>
      <c r="R17" s="666" t="s">
        <v>14</v>
      </c>
      <c r="S17" s="667">
        <f>F17</f>
        <v>100</v>
      </c>
      <c r="T17" s="666" t="s">
        <v>14</v>
      </c>
      <c r="U17" s="667">
        <f>H17</f>
        <v>100</v>
      </c>
      <c r="V17" s="666" t="s">
        <v>14</v>
      </c>
      <c r="W17" s="667">
        <f>J17</f>
        <v>100</v>
      </c>
      <c r="X17" s="1264"/>
      <c r="Y17" s="337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4"/>
      <c r="Q18" s="1262"/>
      <c r="R18" s="666"/>
      <c r="S18" s="667"/>
      <c r="T18" s="666"/>
      <c r="U18" s="667"/>
      <c r="V18" s="666"/>
      <c r="W18" s="667"/>
      <c r="X18" s="1264"/>
      <c r="Y18" s="3374"/>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4"/>
      <c r="Q19" s="1262" t="str">
        <f>B19</f>
        <v>公共配套设施</v>
      </c>
      <c r="R19" s="666" t="s">
        <v>14</v>
      </c>
      <c r="S19" s="667">
        <f>F19</f>
        <v>100</v>
      </c>
      <c r="T19" s="666" t="s">
        <v>14</v>
      </c>
      <c r="U19" s="667">
        <f>H19</f>
        <v>100</v>
      </c>
      <c r="V19" s="666" t="s">
        <v>14</v>
      </c>
      <c r="W19" s="667">
        <f>J19</f>
        <v>100</v>
      </c>
      <c r="X19" s="1264"/>
      <c r="Y19" s="337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4"/>
      <c r="Q20" s="1262"/>
      <c r="R20" s="666"/>
      <c r="S20" s="667"/>
      <c r="T20" s="666"/>
      <c r="U20" s="667"/>
      <c r="V20" s="666"/>
      <c r="W20" s="667"/>
      <c r="X20" s="1264"/>
      <c r="Y20" s="3374"/>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4"/>
      <c r="Q21" s="1262" t="str">
        <f>B21</f>
        <v>基础设施水平</v>
      </c>
      <c r="R21" s="666" t="s">
        <v>14</v>
      </c>
      <c r="S21" s="667">
        <f>F21</f>
        <v>100</v>
      </c>
      <c r="T21" s="666" t="s">
        <v>14</v>
      </c>
      <c r="U21" s="667">
        <f>H21</f>
        <v>100</v>
      </c>
      <c r="V21" s="666" t="s">
        <v>14</v>
      </c>
      <c r="W21" s="667">
        <f>J21</f>
        <v>100</v>
      </c>
      <c r="X21" s="1264"/>
      <c r="Y21" s="337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74"/>
      <c r="Q22" s="1262"/>
      <c r="R22" s="666"/>
      <c r="S22" s="667"/>
      <c r="T22" s="666"/>
      <c r="U22" s="667"/>
      <c r="V22" s="666"/>
      <c r="W22" s="667"/>
      <c r="X22" s="1264"/>
      <c r="Y22" s="3374"/>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4"/>
      <c r="Q23" s="1262" t="str">
        <f>B23</f>
        <v>环境质量</v>
      </c>
      <c r="R23" s="666" t="s">
        <v>14</v>
      </c>
      <c r="S23" s="667">
        <f>F23</f>
        <v>100</v>
      </c>
      <c r="T23" s="666" t="s">
        <v>14</v>
      </c>
      <c r="U23" s="667">
        <f>H23</f>
        <v>100</v>
      </c>
      <c r="V23" s="666" t="s">
        <v>14</v>
      </c>
      <c r="W23" s="667">
        <f>J23</f>
        <v>100</v>
      </c>
      <c r="X23" s="1264"/>
      <c r="Y23" s="337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74"/>
      <c r="Q24" s="1262"/>
      <c r="R24" s="666"/>
      <c r="S24" s="667"/>
      <c r="T24" s="666"/>
      <c r="U24" s="667"/>
      <c r="V24" s="666"/>
      <c r="W24" s="667"/>
      <c r="X24" s="1264"/>
      <c r="Y24" s="337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4"/>
      <c r="Q25" s="1262">
        <f>B25</f>
        <v>111</v>
      </c>
      <c r="R25" s="666" t="s">
        <v>14</v>
      </c>
      <c r="S25" s="667">
        <f>F25</f>
        <v>100</v>
      </c>
      <c r="T25" s="666" t="s">
        <v>14</v>
      </c>
      <c r="U25" s="667">
        <f>H25</f>
        <v>100</v>
      </c>
      <c r="V25" s="666" t="s">
        <v>14</v>
      </c>
      <c r="W25" s="667">
        <f>J25</f>
        <v>100</v>
      </c>
      <c r="X25" s="1264"/>
      <c r="Y25" s="337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4"/>
      <c r="Q26" s="1262">
        <f t="shared" ref="Q26:Q40" si="11">B26</f>
        <v>111</v>
      </c>
      <c r="R26" s="666" t="s">
        <v>14</v>
      </c>
      <c r="S26" s="667">
        <f>F26</f>
        <v>100</v>
      </c>
      <c r="T26" s="666" t="s">
        <v>14</v>
      </c>
      <c r="U26" s="667">
        <f>H26</f>
        <v>100</v>
      </c>
      <c r="V26" s="666" t="s">
        <v>14</v>
      </c>
      <c r="W26" s="667">
        <f>J26</f>
        <v>100</v>
      </c>
      <c r="X26" s="1264"/>
      <c r="Y26" s="337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4"/>
      <c r="Q27" s="530">
        <f t="shared" si="11"/>
        <v>111</v>
      </c>
      <c r="R27" s="663" t="s">
        <v>14</v>
      </c>
      <c r="S27" s="664">
        <f>F27</f>
        <v>100</v>
      </c>
      <c r="T27" s="663" t="s">
        <v>14</v>
      </c>
      <c r="U27" s="664">
        <f>H27</f>
        <v>100</v>
      </c>
      <c r="V27" s="663" t="s">
        <v>14</v>
      </c>
      <c r="W27" s="664">
        <f>J27</f>
        <v>100</v>
      </c>
      <c r="X27" s="665"/>
      <c r="Y27" s="337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4"/>
      <c r="Q28" s="1262">
        <f t="shared" si="11"/>
        <v>111</v>
      </c>
      <c r="R28" s="666" t="s">
        <v>14</v>
      </c>
      <c r="S28" s="667">
        <f t="shared" ref="S28:S40" si="12">F28</f>
        <v>100</v>
      </c>
      <c r="T28" s="666" t="s">
        <v>14</v>
      </c>
      <c r="U28" s="667">
        <f t="shared" ref="U28:U40" si="13">H28</f>
        <v>100</v>
      </c>
      <c r="V28" s="666" t="s">
        <v>14</v>
      </c>
      <c r="W28" s="667">
        <f t="shared" ref="W28:W40" si="14">J28</f>
        <v>100</v>
      </c>
      <c r="X28" s="1264"/>
      <c r="Y28" s="337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75" t="s">
        <v>1696</v>
      </c>
      <c r="Q29" s="1262" t="str">
        <f t="shared" si="11"/>
        <v>建筑类型</v>
      </c>
      <c r="R29" s="666" t="s">
        <v>14</v>
      </c>
      <c r="S29" s="667">
        <f t="shared" si="12"/>
        <v>100</v>
      </c>
      <c r="T29" s="666" t="s">
        <v>14</v>
      </c>
      <c r="U29" s="667">
        <f t="shared" si="13"/>
        <v>100</v>
      </c>
      <c r="V29" s="666" t="s">
        <v>14</v>
      </c>
      <c r="W29" s="667">
        <f t="shared" si="14"/>
        <v>100</v>
      </c>
      <c r="X29" s="1264"/>
      <c r="Y29" s="337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6"/>
      <c r="Q30" s="531" t="str">
        <f t="shared" si="11"/>
        <v>项目建筑规模</v>
      </c>
      <c r="R30" s="668" t="s">
        <v>14</v>
      </c>
      <c r="S30" s="669" t="e">
        <f t="shared" si="12"/>
        <v>#N/A</v>
      </c>
      <c r="T30" s="668" t="s">
        <v>14</v>
      </c>
      <c r="U30" s="669" t="e">
        <f t="shared" si="13"/>
        <v>#N/A</v>
      </c>
      <c r="V30" s="668" t="s">
        <v>14</v>
      </c>
      <c r="W30" s="669" t="e">
        <f t="shared" si="14"/>
        <v>#N/A</v>
      </c>
      <c r="X30" s="670"/>
      <c r="Y30" s="337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6"/>
      <c r="Q31" s="1262" t="str">
        <f t="shared" si="11"/>
        <v>建筑结构</v>
      </c>
      <c r="R31" s="666" t="s">
        <v>14</v>
      </c>
      <c r="S31" s="667">
        <f t="shared" si="12"/>
        <v>100</v>
      </c>
      <c r="T31" s="666" t="s">
        <v>14</v>
      </c>
      <c r="U31" s="667">
        <f t="shared" si="13"/>
        <v>100</v>
      </c>
      <c r="V31" s="666" t="s">
        <v>14</v>
      </c>
      <c r="W31" s="667">
        <f t="shared" si="14"/>
        <v>100</v>
      </c>
      <c r="X31" s="1264"/>
      <c r="Y31" s="337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6"/>
      <c r="Q32" s="1262" t="str">
        <f t="shared" si="11"/>
        <v>公共部分装修</v>
      </c>
      <c r="R32" s="666" t="s">
        <v>14</v>
      </c>
      <c r="S32" s="667">
        <f t="shared" si="12"/>
        <v>100</v>
      </c>
      <c r="T32" s="666" t="s">
        <v>14</v>
      </c>
      <c r="U32" s="667">
        <f t="shared" si="13"/>
        <v>100</v>
      </c>
      <c r="V32" s="666" t="s">
        <v>14</v>
      </c>
      <c r="W32" s="667">
        <f t="shared" si="14"/>
        <v>100</v>
      </c>
      <c r="X32" s="1264"/>
      <c r="Y32" s="337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6"/>
      <c r="Q33" s="1262" t="str">
        <f t="shared" si="11"/>
        <v>成新度</v>
      </c>
      <c r="R33" s="666" t="s">
        <v>14</v>
      </c>
      <c r="S33" s="667" t="e">
        <f t="shared" si="12"/>
        <v>#N/A</v>
      </c>
      <c r="T33" s="666" t="s">
        <v>14</v>
      </c>
      <c r="U33" s="667" t="e">
        <f t="shared" si="13"/>
        <v>#N/A</v>
      </c>
      <c r="V33" s="666" t="s">
        <v>14</v>
      </c>
      <c r="W33" s="667" t="e">
        <f t="shared" si="14"/>
        <v>#N/A</v>
      </c>
      <c r="X33" s="1264"/>
      <c r="Y33" s="337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6"/>
      <c r="Q34" s="530" t="str">
        <f t="shared" si="11"/>
        <v>物业管理</v>
      </c>
      <c r="R34" s="663" t="s">
        <v>14</v>
      </c>
      <c r="S34" s="664">
        <f t="shared" si="12"/>
        <v>100</v>
      </c>
      <c r="T34" s="663" t="s">
        <v>14</v>
      </c>
      <c r="U34" s="664">
        <f t="shared" si="13"/>
        <v>100</v>
      </c>
      <c r="V34" s="663" t="s">
        <v>14</v>
      </c>
      <c r="W34" s="664">
        <f t="shared" si="14"/>
        <v>100</v>
      </c>
      <c r="X34" s="665"/>
      <c r="Y34" s="337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6" t="s">
        <v>1696</v>
      </c>
      <c r="Q35" s="1262" t="str">
        <f t="shared" si="11"/>
        <v>市政基础设施</v>
      </c>
      <c r="R35" s="666" t="s">
        <v>14</v>
      </c>
      <c r="S35" s="667">
        <f t="shared" si="12"/>
        <v>100</v>
      </c>
      <c r="T35" s="666" t="s">
        <v>14</v>
      </c>
      <c r="U35" s="667">
        <f t="shared" si="13"/>
        <v>100</v>
      </c>
      <c r="V35" s="666" t="s">
        <v>14</v>
      </c>
      <c r="W35" s="667">
        <f t="shared" si="14"/>
        <v>100</v>
      </c>
      <c r="X35" s="1264"/>
      <c r="Y35" s="337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6"/>
      <c r="Q36" s="1262" t="str">
        <f t="shared" si="11"/>
        <v>内部装修</v>
      </c>
      <c r="R36" s="666" t="s">
        <v>14</v>
      </c>
      <c r="S36" s="667">
        <f t="shared" si="12"/>
        <v>100</v>
      </c>
      <c r="T36" s="666" t="s">
        <v>14</v>
      </c>
      <c r="U36" s="667">
        <f t="shared" si="13"/>
        <v>100</v>
      </c>
      <c r="V36" s="666" t="s">
        <v>14</v>
      </c>
      <c r="W36" s="667">
        <f t="shared" si="14"/>
        <v>100</v>
      </c>
      <c r="X36" s="1264"/>
      <c r="Y36" s="337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6"/>
      <c r="Q37" s="1262" t="str">
        <f t="shared" si="11"/>
        <v>内部装修状况</v>
      </c>
      <c r="R37" s="666" t="s">
        <v>14</v>
      </c>
      <c r="S37" s="667">
        <f t="shared" si="12"/>
        <v>100</v>
      </c>
      <c r="T37" s="666" t="s">
        <v>14</v>
      </c>
      <c r="U37" s="667">
        <f t="shared" si="13"/>
        <v>100</v>
      </c>
      <c r="V37" s="666" t="s">
        <v>14</v>
      </c>
      <c r="W37" s="667">
        <f t="shared" si="14"/>
        <v>100</v>
      </c>
      <c r="X37" s="1264"/>
      <c r="Y37" s="337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6"/>
      <c r="Q38" s="531">
        <f t="shared" si="11"/>
        <v>111</v>
      </c>
      <c r="R38" s="668" t="s">
        <v>14</v>
      </c>
      <c r="S38" s="669">
        <f t="shared" si="12"/>
        <v>100</v>
      </c>
      <c r="T38" s="668" t="s">
        <v>14</v>
      </c>
      <c r="U38" s="669">
        <f t="shared" si="13"/>
        <v>100</v>
      </c>
      <c r="V38" s="668" t="s">
        <v>14</v>
      </c>
      <c r="W38" s="669">
        <f t="shared" si="14"/>
        <v>100</v>
      </c>
      <c r="X38" s="670"/>
      <c r="Y38" s="337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6"/>
      <c r="Q39" s="1262">
        <f t="shared" si="11"/>
        <v>111</v>
      </c>
      <c r="R39" s="666" t="s">
        <v>14</v>
      </c>
      <c r="S39" s="667">
        <f t="shared" si="12"/>
        <v>100</v>
      </c>
      <c r="T39" s="666" t="s">
        <v>14</v>
      </c>
      <c r="U39" s="667">
        <f t="shared" si="13"/>
        <v>100</v>
      </c>
      <c r="V39" s="666" t="s">
        <v>14</v>
      </c>
      <c r="W39" s="667">
        <f t="shared" si="14"/>
        <v>100</v>
      </c>
      <c r="X39" s="1264"/>
      <c r="Y39" s="337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63"/>
      <c r="Q40" s="1262">
        <f t="shared" si="11"/>
        <v>111</v>
      </c>
      <c r="R40" s="666" t="s">
        <v>14</v>
      </c>
      <c r="S40" s="667">
        <f t="shared" si="12"/>
        <v>100</v>
      </c>
      <c r="T40" s="666" t="s">
        <v>14</v>
      </c>
      <c r="U40" s="667">
        <f t="shared" si="13"/>
        <v>100</v>
      </c>
      <c r="V40" s="666" t="s">
        <v>14</v>
      </c>
      <c r="W40" s="667">
        <f t="shared" si="14"/>
        <v>100</v>
      </c>
      <c r="X40" s="1264"/>
      <c r="Y40" s="346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8" t="str">
        <f>A41</f>
        <v>成交单价（元/平方米）</v>
      </c>
      <c r="Q41" s="3368"/>
      <c r="R41" s="3372">
        <f>E41</f>
        <v>0</v>
      </c>
      <c r="S41" s="3372"/>
      <c r="T41" s="3372">
        <f>G41</f>
        <v>0</v>
      </c>
      <c r="U41" s="3372"/>
      <c r="V41" s="3372">
        <f>I41</f>
        <v>0</v>
      </c>
      <c r="W41" s="3372"/>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8" t="str">
        <f>A42</f>
        <v>比较价值（元/平方米）</v>
      </c>
      <c r="Q42" s="3368"/>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5" t="str">
        <f>A43</f>
        <v>估价对象XX用房的比较价值（楼面单价，元/平方米）</v>
      </c>
      <c r="Q43" s="3366"/>
      <c r="R43" s="3459" t="e">
        <f>IF(F1="售价",ROUND(IF(D42="简单平均",AVERAGE(R42:V42),R42*F42+T42*H42+V42*J42),0),ROUND(IF(D42="简单平均",AVERAGE(R42:V42),R42*F42+T42*H42+V42*J42),1))</f>
        <v>#DIV/0!</v>
      </c>
      <c r="S43" s="3459"/>
      <c r="T43" s="3459"/>
      <c r="U43" s="3459"/>
      <c r="V43" s="3459"/>
      <c r="W43" s="3459"/>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384" t="s">
        <v>1775</v>
      </c>
      <c r="Q4" s="3385"/>
      <c r="R4" s="3394" t="s">
        <v>1771</v>
      </c>
      <c r="S4" s="3395"/>
      <c r="T4" s="3394" t="s">
        <v>1772</v>
      </c>
      <c r="U4" s="3395"/>
      <c r="V4" s="3372" t="s">
        <v>1773</v>
      </c>
      <c r="W4" s="3372"/>
      <c r="X4" s="1264"/>
      <c r="Y4" s="3394" t="s">
        <v>1775</v>
      </c>
      <c r="Z4" s="3395"/>
      <c r="AA4" s="3377" t="s">
        <v>1771</v>
      </c>
      <c r="AB4" s="3378" t="s">
        <v>1772</v>
      </c>
      <c r="AC4" s="3377" t="s">
        <v>1773</v>
      </c>
    </row>
    <row r="5" spans="1:29" ht="15">
      <c r="A5" s="348"/>
      <c r="B5" s="349"/>
      <c r="C5" s="3398" t="s">
        <v>1673</v>
      </c>
      <c r="D5" s="3399"/>
      <c r="E5" s="3390" t="s">
        <v>1674</v>
      </c>
      <c r="F5" s="3391"/>
      <c r="G5" s="3398" t="s">
        <v>1675</v>
      </c>
      <c r="H5" s="3399"/>
      <c r="I5" s="3398" t="s">
        <v>1676</v>
      </c>
      <c r="J5" s="3399"/>
      <c r="K5" s="537"/>
      <c r="L5" s="2482"/>
      <c r="M5" s="2483"/>
      <c r="N5" s="2483"/>
      <c r="O5" s="2483"/>
      <c r="P5" s="3386"/>
      <c r="Q5" s="3387"/>
      <c r="R5" s="3396"/>
      <c r="S5" s="3397"/>
      <c r="T5" s="3396"/>
      <c r="U5" s="3397"/>
      <c r="V5" s="3372"/>
      <c r="W5" s="3372"/>
      <c r="X5" s="1264"/>
      <c r="Y5" s="3396"/>
      <c r="Z5" s="3397"/>
      <c r="AA5" s="3378"/>
      <c r="AB5" s="3378"/>
      <c r="AC5" s="3378"/>
    </row>
    <row r="6" spans="1:29" ht="15.75" thickBot="1">
      <c r="A6" s="350"/>
      <c r="B6" s="351"/>
      <c r="C6" s="3455" t="s">
        <v>1677</v>
      </c>
      <c r="D6" s="3456"/>
      <c r="E6" s="3457" t="s">
        <v>1677</v>
      </c>
      <c r="F6" s="3458"/>
      <c r="G6" s="3455" t="s">
        <v>1677</v>
      </c>
      <c r="H6" s="3456"/>
      <c r="I6" s="3455" t="s">
        <v>1677</v>
      </c>
      <c r="J6" s="3456"/>
      <c r="K6" s="537" t="s">
        <v>1678</v>
      </c>
      <c r="L6" s="2482"/>
      <c r="M6" s="2483"/>
      <c r="N6" s="2483"/>
      <c r="O6" s="2483"/>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70" t="s">
        <v>1680</v>
      </c>
      <c r="Q7" s="3402"/>
      <c r="R7" s="663" t="s">
        <v>14</v>
      </c>
      <c r="S7" s="664">
        <f t="shared" ref="S7:S14" si="0">F7</f>
        <v>0</v>
      </c>
      <c r="T7" s="663" t="s">
        <v>14</v>
      </c>
      <c r="U7" s="664">
        <f t="shared" ref="U7:U14" si="1">H7</f>
        <v>0</v>
      </c>
      <c r="V7" s="663" t="s">
        <v>14</v>
      </c>
      <c r="W7" s="664">
        <f t="shared" ref="W7:W14" si="2">J7</f>
        <v>0</v>
      </c>
      <c r="X7" s="665"/>
      <c r="Y7" s="3370" t="s">
        <v>1680</v>
      </c>
      <c r="Z7" s="337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70" t="s">
        <v>1683</v>
      </c>
      <c r="Q8" s="3371"/>
      <c r="R8" s="663" t="s">
        <v>14</v>
      </c>
      <c r="S8" s="664">
        <f t="shared" si="0"/>
        <v>100</v>
      </c>
      <c r="T8" s="663" t="s">
        <v>14</v>
      </c>
      <c r="U8" s="664">
        <f t="shared" si="1"/>
        <v>100</v>
      </c>
      <c r="V8" s="663" t="s">
        <v>14</v>
      </c>
      <c r="W8" s="664">
        <f t="shared" si="2"/>
        <v>100</v>
      </c>
      <c r="X8" s="665"/>
      <c r="Y8" s="3370" t="s">
        <v>1683</v>
      </c>
      <c r="Z8" s="337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8"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8"/>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8"/>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8"/>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8"/>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3" t="s">
        <v>1691</v>
      </c>
      <c r="Q14" s="1262" t="str">
        <f t="shared" si="6"/>
        <v>交通便捷度</v>
      </c>
      <c r="R14" s="666" t="s">
        <v>14</v>
      </c>
      <c r="S14" s="667">
        <f t="shared" si="0"/>
        <v>100</v>
      </c>
      <c r="T14" s="666" t="s">
        <v>14</v>
      </c>
      <c r="U14" s="667">
        <f t="shared" si="1"/>
        <v>100</v>
      </c>
      <c r="V14" s="666" t="s">
        <v>14</v>
      </c>
      <c r="W14" s="667">
        <f t="shared" si="2"/>
        <v>100</v>
      </c>
      <c r="X14" s="1264"/>
      <c r="Y14" s="337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74"/>
      <c r="Q15" s="1262"/>
      <c r="R15" s="666"/>
      <c r="S15" s="667"/>
      <c r="T15" s="666"/>
      <c r="U15" s="667"/>
      <c r="V15" s="666"/>
      <c r="W15" s="667"/>
      <c r="X15" s="1264"/>
      <c r="Y15" s="3374"/>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4"/>
      <c r="Q16" s="1262" t="str">
        <f>B16</f>
        <v>公共配套设施</v>
      </c>
      <c r="R16" s="666" t="s">
        <v>14</v>
      </c>
      <c r="S16" s="667">
        <f>F16</f>
        <v>100</v>
      </c>
      <c r="T16" s="666" t="s">
        <v>14</v>
      </c>
      <c r="U16" s="667">
        <f>H16</f>
        <v>100</v>
      </c>
      <c r="V16" s="666" t="s">
        <v>14</v>
      </c>
      <c r="W16" s="667">
        <f>J16</f>
        <v>100</v>
      </c>
      <c r="X16" s="1264"/>
      <c r="Y16" s="337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74"/>
      <c r="Q17" s="1262"/>
      <c r="R17" s="666"/>
      <c r="S17" s="667"/>
      <c r="T17" s="666"/>
      <c r="U17" s="667"/>
      <c r="V17" s="666"/>
      <c r="W17" s="667"/>
      <c r="X17" s="1264"/>
      <c r="Y17" s="3374"/>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4"/>
      <c r="Q18" s="1262" t="str">
        <f>B18</f>
        <v>基础设施水平</v>
      </c>
      <c r="R18" s="666" t="s">
        <v>14</v>
      </c>
      <c r="S18" s="667">
        <f>F18</f>
        <v>100</v>
      </c>
      <c r="T18" s="666" t="s">
        <v>14</v>
      </c>
      <c r="U18" s="667">
        <f>H18</f>
        <v>100</v>
      </c>
      <c r="V18" s="666" t="s">
        <v>14</v>
      </c>
      <c r="W18" s="667">
        <f>J18</f>
        <v>100</v>
      </c>
      <c r="X18" s="1264"/>
      <c r="Y18" s="337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74"/>
      <c r="Q19" s="1262"/>
      <c r="R19" s="666"/>
      <c r="S19" s="667"/>
      <c r="T19" s="666"/>
      <c r="U19" s="667"/>
      <c r="V19" s="666"/>
      <c r="W19" s="667"/>
      <c r="X19" s="1264"/>
      <c r="Y19" s="3374"/>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4"/>
      <c r="Q20" s="1262" t="str">
        <f>B20</f>
        <v>自然及人文环境</v>
      </c>
      <c r="R20" s="666" t="s">
        <v>14</v>
      </c>
      <c r="S20" s="667">
        <f>F20</f>
        <v>100</v>
      </c>
      <c r="T20" s="666" t="s">
        <v>14</v>
      </c>
      <c r="U20" s="667">
        <f>H20</f>
        <v>100</v>
      </c>
      <c r="V20" s="666" t="s">
        <v>14</v>
      </c>
      <c r="W20" s="667">
        <f>J20</f>
        <v>100</v>
      </c>
      <c r="X20" s="1264"/>
      <c r="Y20" s="337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74"/>
      <c r="Q21" s="1262"/>
      <c r="R21" s="666"/>
      <c r="S21" s="667"/>
      <c r="T21" s="666"/>
      <c r="U21" s="667"/>
      <c r="V21" s="666"/>
      <c r="W21" s="667"/>
      <c r="X21" s="1264"/>
      <c r="Y21" s="337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4"/>
      <c r="Q22" s="1262" t="str">
        <f>B22</f>
        <v>楼层</v>
      </c>
      <c r="R22" s="666" t="s">
        <v>14</v>
      </c>
      <c r="S22" s="667">
        <f>F22</f>
        <v>100</v>
      </c>
      <c r="T22" s="666" t="s">
        <v>14</v>
      </c>
      <c r="U22" s="667">
        <f>H22</f>
        <v>100</v>
      </c>
      <c r="V22" s="666" t="s">
        <v>14</v>
      </c>
      <c r="W22" s="667">
        <f>J22</f>
        <v>100</v>
      </c>
      <c r="X22" s="1264"/>
      <c r="Y22" s="337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4"/>
      <c r="Q23" s="1262">
        <f>B23</f>
        <v>111</v>
      </c>
      <c r="R23" s="666" t="s">
        <v>14</v>
      </c>
      <c r="S23" s="667">
        <f>F23</f>
        <v>100</v>
      </c>
      <c r="T23" s="666" t="s">
        <v>14</v>
      </c>
      <c r="U23" s="667">
        <f>H23</f>
        <v>100</v>
      </c>
      <c r="V23" s="666" t="s">
        <v>14</v>
      </c>
      <c r="W23" s="667">
        <f>J23</f>
        <v>100</v>
      </c>
      <c r="X23" s="1264"/>
      <c r="Y23" s="337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4"/>
      <c r="Q24" s="1262">
        <f t="shared" ref="Q24:Q36" si="11">B24</f>
        <v>111</v>
      </c>
      <c r="R24" s="666" t="s">
        <v>14</v>
      </c>
      <c r="S24" s="667">
        <f>F24</f>
        <v>100</v>
      </c>
      <c r="T24" s="666" t="s">
        <v>14</v>
      </c>
      <c r="U24" s="667">
        <f>H24</f>
        <v>100</v>
      </c>
      <c r="V24" s="666" t="s">
        <v>14</v>
      </c>
      <c r="W24" s="667">
        <f>J24</f>
        <v>100</v>
      </c>
      <c r="X24" s="1264"/>
      <c r="Y24" s="337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74"/>
      <c r="Q25" s="530">
        <f t="shared" si="11"/>
        <v>111</v>
      </c>
      <c r="R25" s="663" t="s">
        <v>14</v>
      </c>
      <c r="S25" s="664">
        <f>F25</f>
        <v>100</v>
      </c>
      <c r="T25" s="663" t="s">
        <v>14</v>
      </c>
      <c r="U25" s="664">
        <f>H25</f>
        <v>100</v>
      </c>
      <c r="V25" s="663" t="s">
        <v>14</v>
      </c>
      <c r="W25" s="664">
        <f>J25</f>
        <v>100</v>
      </c>
      <c r="X25" s="665"/>
      <c r="Y25" s="337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7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6"/>
      <c r="Q27" s="531" t="str">
        <f t="shared" si="11"/>
        <v>项目停车位配比</v>
      </c>
      <c r="R27" s="668" t="s">
        <v>14</v>
      </c>
      <c r="S27" s="669">
        <f t="shared" si="12"/>
        <v>100</v>
      </c>
      <c r="T27" s="668" t="s">
        <v>14</v>
      </c>
      <c r="U27" s="669">
        <f t="shared" si="13"/>
        <v>100</v>
      </c>
      <c r="V27" s="668" t="s">
        <v>14</v>
      </c>
      <c r="W27" s="669">
        <f t="shared" si="14"/>
        <v>100</v>
      </c>
      <c r="X27" s="670"/>
      <c r="Y27" s="337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6"/>
      <c r="Q28" s="1262" t="str">
        <f t="shared" si="11"/>
        <v>公共部分装修</v>
      </c>
      <c r="R28" s="666" t="s">
        <v>14</v>
      </c>
      <c r="S28" s="667">
        <f t="shared" si="12"/>
        <v>100</v>
      </c>
      <c r="T28" s="666" t="s">
        <v>14</v>
      </c>
      <c r="U28" s="667">
        <f t="shared" si="13"/>
        <v>100</v>
      </c>
      <c r="V28" s="666" t="s">
        <v>14</v>
      </c>
      <c r="W28" s="667">
        <f t="shared" si="14"/>
        <v>100</v>
      </c>
      <c r="X28" s="1264"/>
      <c r="Y28" s="337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6"/>
      <c r="Q29" s="1262" t="str">
        <f t="shared" si="11"/>
        <v>成新率</v>
      </c>
      <c r="R29" s="666" t="s">
        <v>14</v>
      </c>
      <c r="S29" s="667" t="e">
        <f t="shared" si="12"/>
        <v>#N/A</v>
      </c>
      <c r="T29" s="666" t="s">
        <v>14</v>
      </c>
      <c r="U29" s="667" t="e">
        <f t="shared" si="13"/>
        <v>#N/A</v>
      </c>
      <c r="V29" s="666" t="s">
        <v>14</v>
      </c>
      <c r="W29" s="667" t="e">
        <f t="shared" si="14"/>
        <v>#N/A</v>
      </c>
      <c r="X29" s="1264"/>
      <c r="Y29" s="337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6"/>
      <c r="Q30" s="1262" t="str">
        <f t="shared" si="11"/>
        <v>物业等级</v>
      </c>
      <c r="R30" s="666" t="s">
        <v>14</v>
      </c>
      <c r="S30" s="667">
        <f t="shared" si="12"/>
        <v>100</v>
      </c>
      <c r="T30" s="666" t="s">
        <v>14</v>
      </c>
      <c r="U30" s="667">
        <f t="shared" si="13"/>
        <v>100</v>
      </c>
      <c r="V30" s="666" t="s">
        <v>14</v>
      </c>
      <c r="W30" s="667">
        <f t="shared" si="14"/>
        <v>100</v>
      </c>
      <c r="X30" s="1264"/>
      <c r="Y30" s="337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6"/>
      <c r="Q31" s="530" t="str">
        <f t="shared" si="11"/>
        <v>停车位面积</v>
      </c>
      <c r="R31" s="663" t="s">
        <v>14</v>
      </c>
      <c r="S31" s="664" t="e">
        <f t="shared" si="12"/>
        <v>#N/A</v>
      </c>
      <c r="T31" s="663" t="s">
        <v>14</v>
      </c>
      <c r="U31" s="664" t="e">
        <f t="shared" si="13"/>
        <v>#N/A</v>
      </c>
      <c r="V31" s="663" t="s">
        <v>14</v>
      </c>
      <c r="W31" s="664" t="e">
        <f t="shared" si="14"/>
        <v>#N/A</v>
      </c>
      <c r="X31" s="665"/>
      <c r="Y31" s="337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6" t="s">
        <v>1696</v>
      </c>
      <c r="Q32" s="1262" t="str">
        <f t="shared" si="11"/>
        <v>车位类型</v>
      </c>
      <c r="R32" s="666" t="s">
        <v>14</v>
      </c>
      <c r="S32" s="667">
        <f t="shared" si="12"/>
        <v>100</v>
      </c>
      <c r="T32" s="666" t="s">
        <v>14</v>
      </c>
      <c r="U32" s="667">
        <f t="shared" si="13"/>
        <v>100</v>
      </c>
      <c r="V32" s="666" t="s">
        <v>14</v>
      </c>
      <c r="W32" s="667">
        <f t="shared" si="14"/>
        <v>100</v>
      </c>
      <c r="X32" s="1264"/>
      <c r="Y32" s="337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6"/>
      <c r="Q33" s="1262" t="str">
        <f t="shared" si="11"/>
        <v>是否直接入户</v>
      </c>
      <c r="R33" s="666" t="s">
        <v>14</v>
      </c>
      <c r="S33" s="667">
        <f t="shared" si="12"/>
        <v>100</v>
      </c>
      <c r="T33" s="666" t="s">
        <v>14</v>
      </c>
      <c r="U33" s="667">
        <f t="shared" si="13"/>
        <v>100</v>
      </c>
      <c r="V33" s="666" t="s">
        <v>14</v>
      </c>
      <c r="W33" s="667">
        <f t="shared" si="14"/>
        <v>100</v>
      </c>
      <c r="X33" s="1264"/>
      <c r="Y33" s="337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6"/>
      <c r="Q34" s="1262">
        <f t="shared" si="11"/>
        <v>111</v>
      </c>
      <c r="R34" s="666" t="s">
        <v>14</v>
      </c>
      <c r="S34" s="667">
        <f t="shared" si="12"/>
        <v>100</v>
      </c>
      <c r="T34" s="666" t="s">
        <v>14</v>
      </c>
      <c r="U34" s="667">
        <f t="shared" si="13"/>
        <v>100</v>
      </c>
      <c r="V34" s="666" t="s">
        <v>14</v>
      </c>
      <c r="W34" s="667">
        <f t="shared" si="14"/>
        <v>100</v>
      </c>
      <c r="X34" s="1264"/>
      <c r="Y34" s="337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6"/>
      <c r="Q35" s="531">
        <f t="shared" si="11"/>
        <v>111</v>
      </c>
      <c r="R35" s="668" t="s">
        <v>14</v>
      </c>
      <c r="S35" s="669">
        <f t="shared" si="12"/>
        <v>100</v>
      </c>
      <c r="T35" s="668" t="s">
        <v>14</v>
      </c>
      <c r="U35" s="669">
        <f t="shared" si="13"/>
        <v>100</v>
      </c>
      <c r="V35" s="668" t="s">
        <v>14</v>
      </c>
      <c r="W35" s="669">
        <f t="shared" si="14"/>
        <v>100</v>
      </c>
      <c r="X35" s="670"/>
      <c r="Y35" s="3376"/>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6"/>
      <c r="Q36" s="1262">
        <f t="shared" si="11"/>
        <v>111</v>
      </c>
      <c r="R36" s="666" t="s">
        <v>14</v>
      </c>
      <c r="S36" s="667">
        <f t="shared" si="12"/>
        <v>100</v>
      </c>
      <c r="T36" s="666" t="s">
        <v>14</v>
      </c>
      <c r="U36" s="667">
        <f t="shared" si="13"/>
        <v>100</v>
      </c>
      <c r="V36" s="666" t="s">
        <v>14</v>
      </c>
      <c r="W36" s="667">
        <f t="shared" si="14"/>
        <v>100</v>
      </c>
      <c r="X36" s="1264"/>
      <c r="Y36" s="3376"/>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368" t="str">
        <f>A37</f>
        <v>成交单价</v>
      </c>
      <c r="Q37" s="3368"/>
      <c r="R37" s="3372">
        <f>E37</f>
        <v>0</v>
      </c>
      <c r="S37" s="3372"/>
      <c r="T37" s="3372">
        <f>G37</f>
        <v>0</v>
      </c>
      <c r="U37" s="3372"/>
      <c r="V37" s="3372">
        <f>I37</f>
        <v>0</v>
      </c>
      <c r="W37" s="3372"/>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68" t="str">
        <f>A38</f>
        <v>比较价值（元/平方米）</v>
      </c>
      <c r="Q38" s="3368"/>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65" t="str">
        <f>A39</f>
        <v>估价对象XX用房的比较价值（楼面单价，元/平方米）</v>
      </c>
      <c r="Q39" s="3366"/>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384" t="s">
        <v>1775</v>
      </c>
      <c r="Q4" s="3385"/>
      <c r="R4" s="3394" t="s">
        <v>1771</v>
      </c>
      <c r="S4" s="3395"/>
      <c r="T4" s="3394" t="s">
        <v>1772</v>
      </c>
      <c r="U4" s="3395"/>
      <c r="V4" s="3372" t="s">
        <v>1773</v>
      </c>
      <c r="W4" s="3372"/>
      <c r="X4" s="1264"/>
      <c r="Y4" s="3394" t="s">
        <v>1775</v>
      </c>
      <c r="Z4" s="3395"/>
      <c r="AA4" s="3377" t="s">
        <v>1771</v>
      </c>
      <c r="AB4" s="3378" t="s">
        <v>1772</v>
      </c>
      <c r="AC4" s="3377" t="s">
        <v>1773</v>
      </c>
    </row>
    <row r="5" spans="1:29" ht="15">
      <c r="A5" s="348"/>
      <c r="B5" s="349"/>
      <c r="C5" s="3398" t="s">
        <v>1673</v>
      </c>
      <c r="D5" s="3399"/>
      <c r="E5" s="3390" t="s">
        <v>1674</v>
      </c>
      <c r="F5" s="3391"/>
      <c r="G5" s="3398" t="s">
        <v>1675</v>
      </c>
      <c r="H5" s="3399"/>
      <c r="I5" s="3398" t="s">
        <v>1676</v>
      </c>
      <c r="J5" s="3399"/>
      <c r="K5" s="537"/>
      <c r="L5" s="2482"/>
      <c r="M5" s="2483"/>
      <c r="N5" s="2483"/>
      <c r="O5" s="2483"/>
      <c r="P5" s="3386"/>
      <c r="Q5" s="3387"/>
      <c r="R5" s="3396"/>
      <c r="S5" s="3397"/>
      <c r="T5" s="3396"/>
      <c r="U5" s="3397"/>
      <c r="V5" s="3372"/>
      <c r="W5" s="3372"/>
      <c r="X5" s="1264"/>
      <c r="Y5" s="3396"/>
      <c r="Z5" s="3397"/>
      <c r="AA5" s="3378"/>
      <c r="AB5" s="3378"/>
      <c r="AC5" s="3378"/>
    </row>
    <row r="6" spans="1:29" ht="15.75" thickBot="1">
      <c r="A6" s="350"/>
      <c r="B6" s="351"/>
      <c r="C6" s="3455" t="s">
        <v>1677</v>
      </c>
      <c r="D6" s="3456"/>
      <c r="E6" s="3457" t="s">
        <v>1677</v>
      </c>
      <c r="F6" s="3458"/>
      <c r="G6" s="3455" t="s">
        <v>1677</v>
      </c>
      <c r="H6" s="3456"/>
      <c r="I6" s="3455" t="s">
        <v>1677</v>
      </c>
      <c r="J6" s="3456"/>
      <c r="K6" s="537" t="s">
        <v>1678</v>
      </c>
      <c r="L6" s="2482"/>
      <c r="M6" s="2483"/>
      <c r="N6" s="2483"/>
      <c r="O6" s="2483"/>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70" t="s">
        <v>1680</v>
      </c>
      <c r="Q7" s="3402"/>
      <c r="R7" s="663" t="s">
        <v>14</v>
      </c>
      <c r="S7" s="664">
        <f t="shared" ref="S7:S14" si="0">F7</f>
        <v>0</v>
      </c>
      <c r="T7" s="663" t="s">
        <v>14</v>
      </c>
      <c r="U7" s="664">
        <f t="shared" ref="U7:U14" si="1">H7</f>
        <v>0</v>
      </c>
      <c r="V7" s="663" t="s">
        <v>14</v>
      </c>
      <c r="W7" s="664">
        <f t="shared" ref="W7:W14" si="2">J7</f>
        <v>0</v>
      </c>
      <c r="X7" s="665"/>
      <c r="Y7" s="3370" t="s">
        <v>1680</v>
      </c>
      <c r="Z7" s="337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70" t="s">
        <v>1683</v>
      </c>
      <c r="Q8" s="3371"/>
      <c r="R8" s="663" t="s">
        <v>14</v>
      </c>
      <c r="S8" s="664">
        <f t="shared" si="0"/>
        <v>100</v>
      </c>
      <c r="T8" s="663" t="s">
        <v>14</v>
      </c>
      <c r="U8" s="664">
        <f t="shared" si="1"/>
        <v>100</v>
      </c>
      <c r="V8" s="663" t="s">
        <v>14</v>
      </c>
      <c r="W8" s="664">
        <f t="shared" si="2"/>
        <v>100</v>
      </c>
      <c r="X8" s="665"/>
      <c r="Y8" s="3370" t="s">
        <v>1683</v>
      </c>
      <c r="Z8" s="337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8" t="s">
        <v>1686</v>
      </c>
      <c r="Q9" s="530" t="str">
        <f t="shared" ref="Q9:Q14" si="6">B9</f>
        <v>用途</v>
      </c>
      <c r="R9" s="663" t="s">
        <v>14</v>
      </c>
      <c r="S9" s="664">
        <f t="shared" si="0"/>
        <v>100</v>
      </c>
      <c r="T9" s="663" t="s">
        <v>14</v>
      </c>
      <c r="U9" s="664">
        <f t="shared" si="1"/>
        <v>100</v>
      </c>
      <c r="V9" s="663" t="s">
        <v>14</v>
      </c>
      <c r="W9" s="664">
        <f t="shared" si="2"/>
        <v>100</v>
      </c>
      <c r="X9" s="665"/>
      <c r="Y9" s="3341"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8"/>
      <c r="Q10" s="530" t="str">
        <f t="shared" si="6"/>
        <v>土地使用年限（年）</v>
      </c>
      <c r="R10" s="663" t="s">
        <v>14</v>
      </c>
      <c r="S10" s="664">
        <f t="shared" si="0"/>
        <v>100</v>
      </c>
      <c r="T10" s="663" t="s">
        <v>14</v>
      </c>
      <c r="U10" s="664">
        <f t="shared" si="1"/>
        <v>100</v>
      </c>
      <c r="V10" s="663" t="s">
        <v>14</v>
      </c>
      <c r="W10" s="664">
        <f t="shared" si="2"/>
        <v>100</v>
      </c>
      <c r="X10" s="665"/>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8"/>
      <c r="Q11" s="530">
        <f t="shared" si="6"/>
        <v>111</v>
      </c>
      <c r="R11" s="663" t="s">
        <v>14</v>
      </c>
      <c r="S11" s="664">
        <f t="shared" si="0"/>
        <v>100</v>
      </c>
      <c r="T11" s="663" t="s">
        <v>14</v>
      </c>
      <c r="U11" s="664">
        <f t="shared" si="1"/>
        <v>100</v>
      </c>
      <c r="V11" s="663" t="s">
        <v>14</v>
      </c>
      <c r="W11" s="664">
        <f t="shared" si="2"/>
        <v>100</v>
      </c>
      <c r="X11" s="665"/>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8"/>
      <c r="Q12" s="530">
        <f t="shared" si="6"/>
        <v>111</v>
      </c>
      <c r="R12" s="663" t="s">
        <v>14</v>
      </c>
      <c r="S12" s="664">
        <f t="shared" si="0"/>
        <v>100</v>
      </c>
      <c r="T12" s="663" t="s">
        <v>14</v>
      </c>
      <c r="U12" s="664">
        <f t="shared" si="1"/>
        <v>100</v>
      </c>
      <c r="V12" s="663" t="s">
        <v>14</v>
      </c>
      <c r="W12" s="664">
        <f t="shared" si="2"/>
        <v>100</v>
      </c>
      <c r="X12" s="665"/>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8"/>
      <c r="Q13" s="530">
        <f t="shared" si="6"/>
        <v>111</v>
      </c>
      <c r="R13" s="663" t="s">
        <v>14</v>
      </c>
      <c r="S13" s="664">
        <f t="shared" si="0"/>
        <v>100</v>
      </c>
      <c r="T13" s="663" t="s">
        <v>14</v>
      </c>
      <c r="U13" s="664">
        <f t="shared" si="1"/>
        <v>100</v>
      </c>
      <c r="V13" s="663" t="s">
        <v>14</v>
      </c>
      <c r="W13" s="664">
        <f t="shared" si="2"/>
        <v>100</v>
      </c>
      <c r="X13" s="665"/>
      <c r="Y13" s="3341"/>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3" t="s">
        <v>1691</v>
      </c>
      <c r="Q14" s="1262" t="str">
        <f t="shared" si="6"/>
        <v>交通便捷度</v>
      </c>
      <c r="R14" s="666" t="s">
        <v>14</v>
      </c>
      <c r="S14" s="667">
        <f t="shared" si="0"/>
        <v>100</v>
      </c>
      <c r="T14" s="666" t="s">
        <v>14</v>
      </c>
      <c r="U14" s="667">
        <f t="shared" si="1"/>
        <v>100</v>
      </c>
      <c r="V14" s="666" t="s">
        <v>14</v>
      </c>
      <c r="W14" s="667">
        <f t="shared" si="2"/>
        <v>100</v>
      </c>
      <c r="X14" s="1264"/>
      <c r="Y14" s="337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74"/>
      <c r="Q15" s="1262"/>
      <c r="R15" s="666"/>
      <c r="S15" s="667"/>
      <c r="T15" s="666"/>
      <c r="U15" s="667"/>
      <c r="V15" s="666"/>
      <c r="W15" s="667"/>
      <c r="X15" s="1264"/>
      <c r="Y15" s="3374"/>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4"/>
      <c r="Q16" s="1262" t="str">
        <f>B16</f>
        <v>公共配套设施</v>
      </c>
      <c r="R16" s="666" t="s">
        <v>14</v>
      </c>
      <c r="S16" s="667">
        <f>F16</f>
        <v>100</v>
      </c>
      <c r="T16" s="666" t="s">
        <v>14</v>
      </c>
      <c r="U16" s="667">
        <f>H16</f>
        <v>100</v>
      </c>
      <c r="V16" s="666" t="s">
        <v>14</v>
      </c>
      <c r="W16" s="667">
        <f>J16</f>
        <v>100</v>
      </c>
      <c r="X16" s="1264"/>
      <c r="Y16" s="337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74"/>
      <c r="Q17" s="1262"/>
      <c r="R17" s="666"/>
      <c r="S17" s="667"/>
      <c r="T17" s="666"/>
      <c r="U17" s="667"/>
      <c r="V17" s="666"/>
      <c r="W17" s="667"/>
      <c r="X17" s="1264"/>
      <c r="Y17" s="3374"/>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4"/>
      <c r="Q18" s="1262" t="str">
        <f>B18</f>
        <v>基础设施水平</v>
      </c>
      <c r="R18" s="666" t="s">
        <v>14</v>
      </c>
      <c r="S18" s="667">
        <f>F18</f>
        <v>100</v>
      </c>
      <c r="T18" s="666" t="s">
        <v>14</v>
      </c>
      <c r="U18" s="667">
        <f>H18</f>
        <v>100</v>
      </c>
      <c r="V18" s="666" t="s">
        <v>14</v>
      </c>
      <c r="W18" s="667">
        <f>J18</f>
        <v>100</v>
      </c>
      <c r="X18" s="1264"/>
      <c r="Y18" s="337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74"/>
      <c r="Q19" s="1262"/>
      <c r="R19" s="666"/>
      <c r="S19" s="667"/>
      <c r="T19" s="666"/>
      <c r="U19" s="667"/>
      <c r="V19" s="666"/>
      <c r="W19" s="667"/>
      <c r="X19" s="1264"/>
      <c r="Y19" s="3374"/>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4"/>
      <c r="Q20" s="1262" t="str">
        <f>B20</f>
        <v>自然及人文环境</v>
      </c>
      <c r="R20" s="666" t="s">
        <v>14</v>
      </c>
      <c r="S20" s="667">
        <f>F20</f>
        <v>100</v>
      </c>
      <c r="T20" s="666" t="s">
        <v>14</v>
      </c>
      <c r="U20" s="667">
        <f>H20</f>
        <v>100</v>
      </c>
      <c r="V20" s="666" t="s">
        <v>14</v>
      </c>
      <c r="W20" s="667">
        <f>J20</f>
        <v>100</v>
      </c>
      <c r="X20" s="1264"/>
      <c r="Y20" s="337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74"/>
      <c r="Q21" s="1262"/>
      <c r="R21" s="666"/>
      <c r="S21" s="667"/>
      <c r="T21" s="666"/>
      <c r="U21" s="667"/>
      <c r="V21" s="666"/>
      <c r="W21" s="667"/>
      <c r="X21" s="1264"/>
      <c r="Y21" s="337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4"/>
      <c r="Q22" s="1262" t="str">
        <f>B22</f>
        <v>楼层</v>
      </c>
      <c r="R22" s="666" t="s">
        <v>14</v>
      </c>
      <c r="S22" s="667">
        <f>F22</f>
        <v>100</v>
      </c>
      <c r="T22" s="666" t="s">
        <v>14</v>
      </c>
      <c r="U22" s="667">
        <f>H22</f>
        <v>100</v>
      </c>
      <c r="V22" s="666" t="s">
        <v>14</v>
      </c>
      <c r="W22" s="667">
        <f>J22</f>
        <v>100</v>
      </c>
      <c r="X22" s="1264"/>
      <c r="Y22" s="337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4"/>
      <c r="Q23" s="1262">
        <f>B23</f>
        <v>111</v>
      </c>
      <c r="R23" s="666" t="s">
        <v>14</v>
      </c>
      <c r="S23" s="667">
        <f>F23</f>
        <v>100</v>
      </c>
      <c r="T23" s="666" t="s">
        <v>14</v>
      </c>
      <c r="U23" s="667">
        <f>H23</f>
        <v>100</v>
      </c>
      <c r="V23" s="666" t="s">
        <v>14</v>
      </c>
      <c r="W23" s="667">
        <f>J23</f>
        <v>100</v>
      </c>
      <c r="X23" s="1264"/>
      <c r="Y23" s="337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4"/>
      <c r="Q24" s="1262">
        <f t="shared" ref="Q24:Q34" si="11">B24</f>
        <v>111</v>
      </c>
      <c r="R24" s="666" t="s">
        <v>14</v>
      </c>
      <c r="S24" s="667">
        <f>F24</f>
        <v>100</v>
      </c>
      <c r="T24" s="666" t="s">
        <v>14</v>
      </c>
      <c r="U24" s="667">
        <f>H24</f>
        <v>100</v>
      </c>
      <c r="V24" s="666" t="s">
        <v>14</v>
      </c>
      <c r="W24" s="667">
        <f>J24</f>
        <v>100</v>
      </c>
      <c r="X24" s="1264"/>
      <c r="Y24" s="337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74"/>
      <c r="Q25" s="530">
        <f t="shared" si="11"/>
        <v>111</v>
      </c>
      <c r="R25" s="663" t="s">
        <v>14</v>
      </c>
      <c r="S25" s="664">
        <f>F25</f>
        <v>100</v>
      </c>
      <c r="T25" s="663" t="s">
        <v>14</v>
      </c>
      <c r="U25" s="664">
        <f>H25</f>
        <v>100</v>
      </c>
      <c r="V25" s="663" t="s">
        <v>14</v>
      </c>
      <c r="W25" s="664">
        <f>J25</f>
        <v>100</v>
      </c>
      <c r="X25" s="665"/>
      <c r="Y25" s="337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37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6"/>
      <c r="Q27" s="531" t="str">
        <f t="shared" si="11"/>
        <v>成新率</v>
      </c>
      <c r="R27" s="668" t="s">
        <v>14</v>
      </c>
      <c r="S27" s="669" t="e">
        <f t="shared" si="12"/>
        <v>#N/A</v>
      </c>
      <c r="T27" s="668" t="s">
        <v>14</v>
      </c>
      <c r="U27" s="669" t="e">
        <f t="shared" si="13"/>
        <v>#N/A</v>
      </c>
      <c r="V27" s="668" t="s">
        <v>14</v>
      </c>
      <c r="W27" s="669" t="e">
        <f t="shared" si="14"/>
        <v>#N/A</v>
      </c>
      <c r="X27" s="670"/>
      <c r="Y27" s="337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6"/>
      <c r="Q28" s="1262" t="str">
        <f t="shared" si="11"/>
        <v>物业等级</v>
      </c>
      <c r="R28" s="666" t="s">
        <v>14</v>
      </c>
      <c r="S28" s="667">
        <f t="shared" si="12"/>
        <v>100</v>
      </c>
      <c r="T28" s="666" t="s">
        <v>14</v>
      </c>
      <c r="U28" s="667">
        <f t="shared" si="13"/>
        <v>100</v>
      </c>
      <c r="V28" s="666" t="s">
        <v>14</v>
      </c>
      <c r="W28" s="667">
        <f t="shared" si="14"/>
        <v>100</v>
      </c>
      <c r="X28" s="1264"/>
      <c r="Y28" s="337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6"/>
      <c r="Q29" s="1262" t="str">
        <f t="shared" si="11"/>
        <v>有无电梯</v>
      </c>
      <c r="R29" s="666" t="s">
        <v>14</v>
      </c>
      <c r="S29" s="667">
        <f t="shared" si="12"/>
        <v>100</v>
      </c>
      <c r="T29" s="666" t="s">
        <v>14</v>
      </c>
      <c r="U29" s="667">
        <f t="shared" si="13"/>
        <v>100</v>
      </c>
      <c r="V29" s="666" t="s">
        <v>14</v>
      </c>
      <c r="W29" s="667">
        <f t="shared" si="14"/>
        <v>100</v>
      </c>
      <c r="X29" s="1264"/>
      <c r="Y29" s="337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6"/>
      <c r="Q30" s="1262" t="str">
        <f t="shared" si="11"/>
        <v>建筑面积</v>
      </c>
      <c r="R30" s="666" t="s">
        <v>14</v>
      </c>
      <c r="S30" s="667" t="e">
        <f t="shared" si="12"/>
        <v>#N/A</v>
      </c>
      <c r="T30" s="666" t="s">
        <v>14</v>
      </c>
      <c r="U30" s="667" t="e">
        <f t="shared" si="13"/>
        <v>#N/A</v>
      </c>
      <c r="V30" s="666" t="s">
        <v>14</v>
      </c>
      <c r="W30" s="667" t="e">
        <f t="shared" si="14"/>
        <v>#N/A</v>
      </c>
      <c r="X30" s="1264"/>
      <c r="Y30" s="337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76"/>
      <c r="Q31" s="530" t="str">
        <f t="shared" si="11"/>
        <v>是否封闭</v>
      </c>
      <c r="R31" s="663" t="s">
        <v>14</v>
      </c>
      <c r="S31" s="664">
        <f t="shared" si="12"/>
        <v>100</v>
      </c>
      <c r="T31" s="663" t="s">
        <v>14</v>
      </c>
      <c r="U31" s="664">
        <f t="shared" si="13"/>
        <v>100</v>
      </c>
      <c r="V31" s="663" t="s">
        <v>14</v>
      </c>
      <c r="W31" s="664">
        <f t="shared" si="14"/>
        <v>100</v>
      </c>
      <c r="X31" s="665"/>
      <c r="Y31" s="337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6" t="s">
        <v>1696</v>
      </c>
      <c r="Q32" s="1262">
        <f t="shared" si="11"/>
        <v>111</v>
      </c>
      <c r="R32" s="666" t="s">
        <v>14</v>
      </c>
      <c r="S32" s="667">
        <f t="shared" si="12"/>
        <v>100</v>
      </c>
      <c r="T32" s="666" t="s">
        <v>14</v>
      </c>
      <c r="U32" s="667">
        <f t="shared" si="13"/>
        <v>100</v>
      </c>
      <c r="V32" s="666" t="s">
        <v>14</v>
      </c>
      <c r="W32" s="667">
        <f t="shared" si="14"/>
        <v>100</v>
      </c>
      <c r="X32" s="1264"/>
      <c r="Y32" s="337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6"/>
      <c r="Q33" s="1262">
        <f t="shared" si="11"/>
        <v>111</v>
      </c>
      <c r="R33" s="666" t="s">
        <v>14</v>
      </c>
      <c r="S33" s="667">
        <f t="shared" si="12"/>
        <v>100</v>
      </c>
      <c r="T33" s="666" t="s">
        <v>14</v>
      </c>
      <c r="U33" s="667">
        <f t="shared" si="13"/>
        <v>100</v>
      </c>
      <c r="V33" s="666" t="s">
        <v>14</v>
      </c>
      <c r="W33" s="667">
        <f t="shared" si="14"/>
        <v>100</v>
      </c>
      <c r="X33" s="1264"/>
      <c r="Y33" s="337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76"/>
      <c r="Q34" s="1262">
        <f t="shared" si="11"/>
        <v>111</v>
      </c>
      <c r="R34" s="666" t="s">
        <v>14</v>
      </c>
      <c r="S34" s="667">
        <f t="shared" si="12"/>
        <v>100</v>
      </c>
      <c r="T34" s="666" t="s">
        <v>14</v>
      </c>
      <c r="U34" s="667">
        <f t="shared" si="13"/>
        <v>100</v>
      </c>
      <c r="V34" s="666" t="s">
        <v>14</v>
      </c>
      <c r="W34" s="667">
        <f t="shared" si="14"/>
        <v>100</v>
      </c>
      <c r="X34" s="1264"/>
      <c r="Y34" s="337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68" t="str">
        <f>A35</f>
        <v>成交单价（元/平方米）</v>
      </c>
      <c r="Q35" s="3368"/>
      <c r="R35" s="3372">
        <f>E35</f>
        <v>0</v>
      </c>
      <c r="S35" s="3372"/>
      <c r="T35" s="3372">
        <f>G35</f>
        <v>0</v>
      </c>
      <c r="U35" s="3372"/>
      <c r="V35" s="3372">
        <f>I35</f>
        <v>0</v>
      </c>
      <c r="W35" s="3372"/>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68" t="str">
        <f>A36</f>
        <v>比较价值（元/平方米）</v>
      </c>
      <c r="Q36" s="3368"/>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365" t="str">
        <f>A37</f>
        <v>估价对象XX用房的比较价值（楼面单价，元/平方米）</v>
      </c>
      <c r="Q37" s="3366"/>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80" t="s">
        <v>1770</v>
      </c>
      <c r="D4" s="3381"/>
      <c r="E4" s="3382" t="s">
        <v>1771</v>
      </c>
      <c r="F4" s="3383"/>
      <c r="G4" s="3380" t="s">
        <v>1772</v>
      </c>
      <c r="H4" s="3381"/>
      <c r="I4" s="3380" t="s">
        <v>1773</v>
      </c>
      <c r="J4" s="3381"/>
      <c r="K4" s="537" t="s">
        <v>1774</v>
      </c>
      <c r="L4" s="2482"/>
      <c r="M4" s="2483"/>
      <c r="N4" s="2483"/>
      <c r="O4" s="2483"/>
      <c r="P4" s="3384" t="s">
        <v>1775</v>
      </c>
      <c r="Q4" s="3385"/>
      <c r="R4" s="3394" t="s">
        <v>1771</v>
      </c>
      <c r="S4" s="3395"/>
      <c r="T4" s="3394" t="s">
        <v>1772</v>
      </c>
      <c r="U4" s="3395"/>
      <c r="V4" s="3372" t="s">
        <v>1773</v>
      </c>
      <c r="W4" s="3372"/>
      <c r="X4" s="1264"/>
      <c r="Y4" s="3394" t="s">
        <v>1775</v>
      </c>
      <c r="Z4" s="3395"/>
      <c r="AA4" s="3377" t="s">
        <v>1771</v>
      </c>
      <c r="AB4" s="3378" t="s">
        <v>1772</v>
      </c>
      <c r="AC4" s="3377" t="s">
        <v>1773</v>
      </c>
    </row>
    <row r="5" spans="1:29" ht="15">
      <c r="A5" s="348"/>
      <c r="B5" s="349"/>
      <c r="C5" s="3398" t="s">
        <v>1673</v>
      </c>
      <c r="D5" s="3399"/>
      <c r="E5" s="3390" t="s">
        <v>1674</v>
      </c>
      <c r="F5" s="3391"/>
      <c r="G5" s="3398" t="s">
        <v>1675</v>
      </c>
      <c r="H5" s="3399"/>
      <c r="I5" s="3398" t="s">
        <v>1676</v>
      </c>
      <c r="J5" s="3399"/>
      <c r="K5" s="537"/>
      <c r="L5" s="2482"/>
      <c r="M5" s="2483"/>
      <c r="N5" s="2483"/>
      <c r="O5" s="2483"/>
      <c r="P5" s="3386"/>
      <c r="Q5" s="3387"/>
      <c r="R5" s="3396"/>
      <c r="S5" s="3397"/>
      <c r="T5" s="3396"/>
      <c r="U5" s="3397"/>
      <c r="V5" s="3372"/>
      <c r="W5" s="3372"/>
      <c r="X5" s="1264"/>
      <c r="Y5" s="3396"/>
      <c r="Z5" s="3397"/>
      <c r="AA5" s="3378"/>
      <c r="AB5" s="3378"/>
      <c r="AC5" s="3378"/>
    </row>
    <row r="6" spans="1:29" ht="15.75" thickBot="1">
      <c r="A6" s="350"/>
      <c r="B6" s="351"/>
      <c r="C6" s="3455" t="s">
        <v>1677</v>
      </c>
      <c r="D6" s="3456"/>
      <c r="E6" s="3457" t="s">
        <v>1677</v>
      </c>
      <c r="F6" s="3458"/>
      <c r="G6" s="3455" t="s">
        <v>1677</v>
      </c>
      <c r="H6" s="3456"/>
      <c r="I6" s="3455" t="s">
        <v>1677</v>
      </c>
      <c r="J6" s="3456"/>
      <c r="K6" s="537" t="s">
        <v>1678</v>
      </c>
      <c r="L6" s="2482"/>
      <c r="M6" s="2483"/>
      <c r="N6" s="2483"/>
      <c r="O6" s="2483"/>
      <c r="P6" s="3388"/>
      <c r="Q6" s="3389"/>
      <c r="R6" s="3396"/>
      <c r="S6" s="3397"/>
      <c r="T6" s="3405"/>
      <c r="U6" s="3406"/>
      <c r="V6" s="3372"/>
      <c r="W6" s="3372"/>
      <c r="X6" s="1264"/>
      <c r="Y6" s="3405"/>
      <c r="Z6" s="3406"/>
      <c r="AA6" s="3379"/>
      <c r="AB6" s="3379"/>
      <c r="AC6" s="3379"/>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70" t="s">
        <v>1680</v>
      </c>
      <c r="Q7" s="3402"/>
      <c r="R7" s="663" t="s">
        <v>14</v>
      </c>
      <c r="S7" s="664">
        <f t="shared" ref="S7:S15" si="0">F7</f>
        <v>0</v>
      </c>
      <c r="T7" s="663" t="s">
        <v>14</v>
      </c>
      <c r="U7" s="664">
        <f t="shared" ref="U7:U15" si="1">H7</f>
        <v>0</v>
      </c>
      <c r="V7" s="663" t="s">
        <v>14</v>
      </c>
      <c r="W7" s="664">
        <f t="shared" ref="W7:W15" si="2">J7</f>
        <v>0</v>
      </c>
      <c r="X7" s="665"/>
      <c r="Y7" s="3370" t="s">
        <v>1680</v>
      </c>
      <c r="Z7" s="337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70" t="s">
        <v>1683</v>
      </c>
      <c r="Q8" s="3371"/>
      <c r="R8" s="663" t="s">
        <v>14</v>
      </c>
      <c r="S8" s="664">
        <f t="shared" si="0"/>
        <v>0</v>
      </c>
      <c r="T8" s="663" t="s">
        <v>14</v>
      </c>
      <c r="U8" s="664">
        <f t="shared" si="1"/>
        <v>0</v>
      </c>
      <c r="V8" s="663" t="s">
        <v>14</v>
      </c>
      <c r="W8" s="664">
        <f t="shared" si="2"/>
        <v>0</v>
      </c>
      <c r="X8" s="665"/>
      <c r="Y8" s="3370" t="s">
        <v>1683</v>
      </c>
      <c r="Z8" s="3371"/>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8" t="s">
        <v>1686</v>
      </c>
      <c r="Q9" s="530" t="str">
        <f t="shared" ref="Q9:Q15" si="6">B9</f>
        <v>用途</v>
      </c>
      <c r="R9" s="663" t="s">
        <v>14</v>
      </c>
      <c r="S9" s="664">
        <f t="shared" si="0"/>
        <v>100</v>
      </c>
      <c r="T9" s="663" t="s">
        <v>14</v>
      </c>
      <c r="U9" s="664">
        <f t="shared" si="1"/>
        <v>100</v>
      </c>
      <c r="V9" s="663" t="s">
        <v>14</v>
      </c>
      <c r="W9" s="664">
        <f t="shared" si="2"/>
        <v>100</v>
      </c>
      <c r="X9" s="665"/>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368"/>
      <c r="Q10" s="530" t="str">
        <f t="shared" si="6"/>
        <v>土地使用年限（年）</v>
      </c>
      <c r="R10" s="663" t="s">
        <v>14</v>
      </c>
      <c r="S10" s="664">
        <f t="shared" si="0"/>
        <v>140</v>
      </c>
      <c r="T10" s="663" t="s">
        <v>14</v>
      </c>
      <c r="U10" s="664">
        <f t="shared" si="1"/>
        <v>140</v>
      </c>
      <c r="V10" s="663" t="s">
        <v>14</v>
      </c>
      <c r="W10" s="664">
        <f t="shared" si="2"/>
        <v>140</v>
      </c>
      <c r="X10" s="665"/>
      <c r="Y10" s="3341"/>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8"/>
      <c r="Q11" s="530" t="str">
        <f t="shared" si="6"/>
        <v>容积率</v>
      </c>
      <c r="R11" s="663" t="s">
        <v>14</v>
      </c>
      <c r="S11" s="664" t="e">
        <f t="shared" si="0"/>
        <v>#N/A</v>
      </c>
      <c r="T11" s="663" t="s">
        <v>14</v>
      </c>
      <c r="U11" s="664" t="e">
        <f t="shared" si="1"/>
        <v>#N/A</v>
      </c>
      <c r="V11" s="663" t="s">
        <v>14</v>
      </c>
      <c r="W11" s="664" t="e">
        <f t="shared" si="2"/>
        <v>#N/A</v>
      </c>
      <c r="X11" s="665"/>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8"/>
      <c r="Q12" s="530" t="str">
        <f t="shared" si="6"/>
        <v>配建</v>
      </c>
      <c r="R12" s="663" t="s">
        <v>14</v>
      </c>
      <c r="S12" s="664">
        <f t="shared" si="0"/>
        <v>100</v>
      </c>
      <c r="T12" s="663" t="s">
        <v>14</v>
      </c>
      <c r="U12" s="664">
        <f t="shared" si="1"/>
        <v>100</v>
      </c>
      <c r="V12" s="663" t="s">
        <v>14</v>
      </c>
      <c r="W12" s="664">
        <f t="shared" si="2"/>
        <v>100</v>
      </c>
      <c r="X12" s="665"/>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8"/>
      <c r="Q13" s="530">
        <f t="shared" si="6"/>
        <v>111</v>
      </c>
      <c r="R13" s="663" t="s">
        <v>14</v>
      </c>
      <c r="S13" s="664">
        <f t="shared" si="0"/>
        <v>100</v>
      </c>
      <c r="T13" s="663" t="s">
        <v>14</v>
      </c>
      <c r="U13" s="664">
        <f t="shared" si="1"/>
        <v>100</v>
      </c>
      <c r="V13" s="663" t="s">
        <v>14</v>
      </c>
      <c r="W13" s="664">
        <f t="shared" si="2"/>
        <v>100</v>
      </c>
      <c r="X13" s="665"/>
      <c r="Y13" s="334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8"/>
      <c r="Q14" s="530">
        <f t="shared" si="6"/>
        <v>111</v>
      </c>
      <c r="R14" s="663" t="s">
        <v>14</v>
      </c>
      <c r="S14" s="664">
        <f t="shared" si="0"/>
        <v>100</v>
      </c>
      <c r="T14" s="663" t="s">
        <v>14</v>
      </c>
      <c r="U14" s="664">
        <f t="shared" si="1"/>
        <v>100</v>
      </c>
      <c r="V14" s="663" t="s">
        <v>14</v>
      </c>
      <c r="W14" s="664">
        <f t="shared" si="2"/>
        <v>100</v>
      </c>
      <c r="X14" s="665"/>
      <c r="Y14" s="334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3" t="s">
        <v>1691</v>
      </c>
      <c r="Q15" s="1262" t="str">
        <f t="shared" si="6"/>
        <v>居住社区成熟度</v>
      </c>
      <c r="R15" s="666" t="s">
        <v>14</v>
      </c>
      <c r="S15" s="667">
        <f t="shared" si="0"/>
        <v>100</v>
      </c>
      <c r="T15" s="666" t="s">
        <v>14</v>
      </c>
      <c r="U15" s="667">
        <f t="shared" si="1"/>
        <v>100</v>
      </c>
      <c r="V15" s="666" t="s">
        <v>14</v>
      </c>
      <c r="W15" s="667">
        <f t="shared" si="2"/>
        <v>100</v>
      </c>
      <c r="X15" s="1264"/>
      <c r="Y15" s="337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74"/>
      <c r="Q16" s="1262"/>
      <c r="R16" s="666"/>
      <c r="S16" s="667"/>
      <c r="T16" s="666"/>
      <c r="U16" s="667"/>
      <c r="V16" s="666"/>
      <c r="W16" s="667"/>
      <c r="X16" s="1264"/>
      <c r="Y16" s="3374"/>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4"/>
      <c r="Q17" s="1262" t="str">
        <f>B17</f>
        <v>商业繁华度</v>
      </c>
      <c r="R17" s="666" t="s">
        <v>14</v>
      </c>
      <c r="S17" s="667">
        <f>F17</f>
        <v>100</v>
      </c>
      <c r="T17" s="666" t="s">
        <v>14</v>
      </c>
      <c r="U17" s="667">
        <f>H17</f>
        <v>100</v>
      </c>
      <c r="V17" s="666" t="s">
        <v>14</v>
      </c>
      <c r="W17" s="667">
        <f>J17</f>
        <v>100</v>
      </c>
      <c r="X17" s="1264"/>
      <c r="Y17" s="337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74"/>
      <c r="Q18" s="1262"/>
      <c r="R18" s="666"/>
      <c r="S18" s="667"/>
      <c r="T18" s="666"/>
      <c r="U18" s="667"/>
      <c r="V18" s="666"/>
      <c r="W18" s="667"/>
      <c r="X18" s="1264"/>
      <c r="Y18" s="3374"/>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4"/>
      <c r="Q19" s="1262" t="str">
        <f>B19</f>
        <v>办公集聚程度</v>
      </c>
      <c r="R19" s="666" t="s">
        <v>14</v>
      </c>
      <c r="S19" s="667">
        <f>F19</f>
        <v>100</v>
      </c>
      <c r="T19" s="666" t="s">
        <v>14</v>
      </c>
      <c r="U19" s="667">
        <f>H19</f>
        <v>100</v>
      </c>
      <c r="V19" s="666" t="s">
        <v>14</v>
      </c>
      <c r="W19" s="667">
        <f>J19</f>
        <v>100</v>
      </c>
      <c r="X19" s="1264"/>
      <c r="Y19" s="337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74"/>
      <c r="Q20" s="1262"/>
      <c r="R20" s="666"/>
      <c r="S20" s="667"/>
      <c r="T20" s="666"/>
      <c r="U20" s="667"/>
      <c r="V20" s="666"/>
      <c r="W20" s="667"/>
      <c r="X20" s="1264"/>
      <c r="Y20" s="3374"/>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4"/>
      <c r="Q21" s="1262" t="str">
        <f>B21</f>
        <v>交通便捷度</v>
      </c>
      <c r="R21" s="666" t="s">
        <v>14</v>
      </c>
      <c r="S21" s="667">
        <f>F21</f>
        <v>100</v>
      </c>
      <c r="T21" s="666" t="s">
        <v>14</v>
      </c>
      <c r="U21" s="667">
        <f>H21</f>
        <v>100</v>
      </c>
      <c r="V21" s="666" t="s">
        <v>14</v>
      </c>
      <c r="W21" s="667">
        <f>J21</f>
        <v>100</v>
      </c>
      <c r="X21" s="1264"/>
      <c r="Y21" s="337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74"/>
      <c r="Q22" s="1262"/>
      <c r="R22" s="666"/>
      <c r="S22" s="667"/>
      <c r="T22" s="666"/>
      <c r="U22" s="667"/>
      <c r="V22" s="666"/>
      <c r="W22" s="667"/>
      <c r="X22" s="1264"/>
      <c r="Y22" s="337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4"/>
      <c r="Q23" s="1262" t="str">
        <f t="shared" ref="Q23:Q37" si="8">B23</f>
        <v>区域土地利用方向</v>
      </c>
      <c r="R23" s="666" t="s">
        <v>14</v>
      </c>
      <c r="S23" s="667">
        <f>F23</f>
        <v>100</v>
      </c>
      <c r="T23" s="666" t="s">
        <v>14</v>
      </c>
      <c r="U23" s="667">
        <f>H23</f>
        <v>100</v>
      </c>
      <c r="V23" s="666" t="s">
        <v>14</v>
      </c>
      <c r="W23" s="667">
        <f>J23</f>
        <v>100</v>
      </c>
      <c r="X23" s="1264"/>
      <c r="Y23" s="337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74"/>
      <c r="Q24" s="1262"/>
      <c r="R24" s="666"/>
      <c r="S24" s="667"/>
      <c r="T24" s="666"/>
      <c r="U24" s="667"/>
      <c r="V24" s="666"/>
      <c r="W24" s="667"/>
      <c r="X24" s="1264"/>
      <c r="Y24" s="3374"/>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4"/>
      <c r="Q25" s="1262" t="str">
        <f t="shared" si="8"/>
        <v>自然及人文环境状况</v>
      </c>
      <c r="R25" s="666" t="s">
        <v>14</v>
      </c>
      <c r="S25" s="667">
        <f>F25</f>
        <v>100</v>
      </c>
      <c r="T25" s="666" t="s">
        <v>14</v>
      </c>
      <c r="U25" s="667">
        <f>H25</f>
        <v>100</v>
      </c>
      <c r="V25" s="666" t="s">
        <v>14</v>
      </c>
      <c r="W25" s="667">
        <f>J25</f>
        <v>100</v>
      </c>
      <c r="X25" s="1264"/>
      <c r="Y25" s="337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74"/>
      <c r="Q26" s="1262"/>
      <c r="R26" s="666"/>
      <c r="S26" s="667"/>
      <c r="T26" s="666"/>
      <c r="U26" s="667"/>
      <c r="V26" s="666"/>
      <c r="W26" s="667"/>
      <c r="X26" s="1264"/>
      <c r="Y26" s="3374"/>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74"/>
      <c r="Q27" s="530" t="str">
        <f t="shared" si="8"/>
        <v>公共配套设施</v>
      </c>
      <c r="R27" s="663" t="s">
        <v>14</v>
      </c>
      <c r="S27" s="664">
        <f>F27</f>
        <v>100</v>
      </c>
      <c r="T27" s="663" t="s">
        <v>14</v>
      </c>
      <c r="U27" s="664">
        <f>H27</f>
        <v>100</v>
      </c>
      <c r="V27" s="663" t="s">
        <v>14</v>
      </c>
      <c r="W27" s="664">
        <f>J27</f>
        <v>100</v>
      </c>
      <c r="X27" s="665"/>
      <c r="Y27" s="337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74"/>
      <c r="Q28" s="530"/>
      <c r="R28" s="663"/>
      <c r="S28" s="664"/>
      <c r="T28" s="663"/>
      <c r="U28" s="664"/>
      <c r="V28" s="663"/>
      <c r="W28" s="664"/>
      <c r="X28" s="665"/>
      <c r="Y28" s="3374"/>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74"/>
      <c r="Q29" s="530" t="str">
        <f t="shared" ref="Q29" si="9">B29</f>
        <v>基础设施水平</v>
      </c>
      <c r="R29" s="663" t="s">
        <v>14</v>
      </c>
      <c r="S29" s="664">
        <f>F29</f>
        <v>100</v>
      </c>
      <c r="T29" s="663" t="s">
        <v>14</v>
      </c>
      <c r="U29" s="664">
        <f>H29</f>
        <v>100</v>
      </c>
      <c r="V29" s="663" t="s">
        <v>14</v>
      </c>
      <c r="W29" s="664">
        <f>J29</f>
        <v>100</v>
      </c>
      <c r="X29" s="665"/>
      <c r="Y29" s="337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74"/>
      <c r="Q30" s="530"/>
      <c r="R30" s="663"/>
      <c r="S30" s="664"/>
      <c r="T30" s="663"/>
      <c r="U30" s="664"/>
      <c r="V30" s="663"/>
      <c r="W30" s="664"/>
      <c r="X30" s="665"/>
      <c r="Y30" s="337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4"/>
      <c r="Q32" s="1262" t="str">
        <f t="shared" si="8"/>
        <v>毗邻道路的类型与等级</v>
      </c>
      <c r="R32" s="666" t="s">
        <v>14</v>
      </c>
      <c r="S32" s="667">
        <f t="shared" si="10"/>
        <v>100</v>
      </c>
      <c r="T32" s="666" t="s">
        <v>14</v>
      </c>
      <c r="U32" s="667">
        <f t="shared" si="11"/>
        <v>100</v>
      </c>
      <c r="V32" s="666" t="s">
        <v>14</v>
      </c>
      <c r="W32" s="667">
        <f t="shared" si="12"/>
        <v>100</v>
      </c>
      <c r="X32" s="1264"/>
      <c r="Y32" s="337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74"/>
      <c r="Q33" s="1262"/>
      <c r="R33" s="666"/>
      <c r="S33" s="667"/>
      <c r="T33" s="666"/>
      <c r="U33" s="667"/>
      <c r="V33" s="666"/>
      <c r="W33" s="667"/>
      <c r="X33" s="1264"/>
      <c r="Y33" s="337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4"/>
      <c r="Q34" s="1262" t="str">
        <f t="shared" si="8"/>
        <v>土地级别</v>
      </c>
      <c r="R34" s="666" t="s">
        <v>14</v>
      </c>
      <c r="S34" s="667">
        <f t="shared" si="10"/>
        <v>100</v>
      </c>
      <c r="T34" s="666" t="s">
        <v>14</v>
      </c>
      <c r="U34" s="667">
        <f t="shared" si="11"/>
        <v>100</v>
      </c>
      <c r="V34" s="666" t="s">
        <v>14</v>
      </c>
      <c r="W34" s="667">
        <f t="shared" si="12"/>
        <v>100</v>
      </c>
      <c r="X34" s="1264"/>
      <c r="Y34" s="337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4"/>
      <c r="Q35" s="1262">
        <f t="shared" si="8"/>
        <v>111</v>
      </c>
      <c r="R35" s="666" t="s">
        <v>14</v>
      </c>
      <c r="S35" s="667">
        <f t="shared" si="10"/>
        <v>100</v>
      </c>
      <c r="T35" s="666" t="s">
        <v>14</v>
      </c>
      <c r="U35" s="667">
        <f t="shared" si="11"/>
        <v>100</v>
      </c>
      <c r="V35" s="666" t="s">
        <v>14</v>
      </c>
      <c r="W35" s="667">
        <f t="shared" si="12"/>
        <v>100</v>
      </c>
      <c r="X35" s="1264"/>
      <c r="Y35" s="337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75" t="s">
        <v>1696</v>
      </c>
      <c r="Q36" s="1262">
        <f t="shared" si="8"/>
        <v>111</v>
      </c>
      <c r="R36" s="666" t="s">
        <v>14</v>
      </c>
      <c r="S36" s="667">
        <f t="shared" si="10"/>
        <v>100</v>
      </c>
      <c r="T36" s="666" t="s">
        <v>14</v>
      </c>
      <c r="U36" s="667">
        <f t="shared" si="11"/>
        <v>100</v>
      </c>
      <c r="V36" s="666" t="s">
        <v>14</v>
      </c>
      <c r="W36" s="667">
        <f t="shared" si="12"/>
        <v>100</v>
      </c>
      <c r="X36" s="1264"/>
      <c r="Y36" s="337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6"/>
      <c r="Q37" s="1262">
        <f t="shared" si="8"/>
        <v>111</v>
      </c>
      <c r="R37" s="668" t="s">
        <v>14</v>
      </c>
      <c r="S37" s="669">
        <f t="shared" si="10"/>
        <v>100</v>
      </c>
      <c r="T37" s="668" t="s">
        <v>14</v>
      </c>
      <c r="U37" s="669">
        <f t="shared" si="11"/>
        <v>100</v>
      </c>
      <c r="V37" s="668" t="s">
        <v>14</v>
      </c>
      <c r="W37" s="669">
        <f t="shared" si="12"/>
        <v>100</v>
      </c>
      <c r="X37" s="670"/>
      <c r="Y37" s="3376"/>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6"/>
      <c r="Q38" s="1262" t="str">
        <f>B38</f>
        <v>宗地面积</v>
      </c>
      <c r="R38" s="666" t="s">
        <v>14</v>
      </c>
      <c r="S38" s="667" t="e">
        <f t="shared" si="10"/>
        <v>#N/A</v>
      </c>
      <c r="T38" s="666" t="s">
        <v>14</v>
      </c>
      <c r="U38" s="667" t="e">
        <f t="shared" si="11"/>
        <v>#N/A</v>
      </c>
      <c r="V38" s="666" t="s">
        <v>14</v>
      </c>
      <c r="W38" s="667" t="e">
        <f t="shared" si="12"/>
        <v>#N/A</v>
      </c>
      <c r="X38" s="1264"/>
      <c r="Y38" s="337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76"/>
      <c r="Q39" s="1262" t="str">
        <f t="shared" ref="Q39:Q45" si="14">B39</f>
        <v>宗地形状</v>
      </c>
      <c r="R39" s="666" t="s">
        <v>14</v>
      </c>
      <c r="S39" s="667">
        <f t="shared" si="10"/>
        <v>100</v>
      </c>
      <c r="T39" s="666" t="s">
        <v>14</v>
      </c>
      <c r="U39" s="667">
        <f t="shared" si="11"/>
        <v>100</v>
      </c>
      <c r="V39" s="666" t="s">
        <v>14</v>
      </c>
      <c r="W39" s="667">
        <f t="shared" si="12"/>
        <v>100</v>
      </c>
      <c r="X39" s="1264"/>
      <c r="Y39" s="337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76"/>
      <c r="Q40" s="1262" t="str">
        <f t="shared" si="14"/>
        <v>临街宽度及深度</v>
      </c>
      <c r="R40" s="666" t="s">
        <v>14</v>
      </c>
      <c r="S40" s="667">
        <f t="shared" si="10"/>
        <v>100</v>
      </c>
      <c r="T40" s="666" t="s">
        <v>14</v>
      </c>
      <c r="U40" s="667">
        <f t="shared" si="11"/>
        <v>100</v>
      </c>
      <c r="V40" s="666" t="s">
        <v>14</v>
      </c>
      <c r="W40" s="667">
        <f t="shared" si="12"/>
        <v>100</v>
      </c>
      <c r="X40" s="1264"/>
      <c r="Y40" s="337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76"/>
      <c r="Q41" s="1262" t="str">
        <f t="shared" si="14"/>
        <v>宗地开发程度</v>
      </c>
      <c r="R41" s="663" t="s">
        <v>14</v>
      </c>
      <c r="S41" s="664">
        <f t="shared" si="10"/>
        <v>100</v>
      </c>
      <c r="T41" s="663" t="s">
        <v>14</v>
      </c>
      <c r="U41" s="664">
        <f t="shared" si="11"/>
        <v>100</v>
      </c>
      <c r="V41" s="663" t="s">
        <v>14</v>
      </c>
      <c r="W41" s="664">
        <f t="shared" si="12"/>
        <v>100</v>
      </c>
      <c r="X41" s="665"/>
      <c r="Y41" s="337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76" t="s">
        <v>1696</v>
      </c>
      <c r="Q42" s="1262" t="str">
        <f t="shared" si="14"/>
        <v>工程地质条件</v>
      </c>
      <c r="R42" s="666" t="s">
        <v>14</v>
      </c>
      <c r="S42" s="667">
        <f t="shared" si="10"/>
        <v>100</v>
      </c>
      <c r="T42" s="666" t="s">
        <v>14</v>
      </c>
      <c r="U42" s="667">
        <f t="shared" si="11"/>
        <v>100</v>
      </c>
      <c r="V42" s="666" t="s">
        <v>14</v>
      </c>
      <c r="W42" s="667">
        <f t="shared" si="12"/>
        <v>100</v>
      </c>
      <c r="X42" s="1264"/>
      <c r="Y42" s="337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6"/>
      <c r="Q43" s="1262">
        <f t="shared" si="14"/>
        <v>111</v>
      </c>
      <c r="R43" s="666" t="s">
        <v>14</v>
      </c>
      <c r="S43" s="667">
        <f t="shared" si="10"/>
        <v>100</v>
      </c>
      <c r="T43" s="666" t="s">
        <v>14</v>
      </c>
      <c r="U43" s="667">
        <f t="shared" si="11"/>
        <v>100</v>
      </c>
      <c r="V43" s="666" t="s">
        <v>14</v>
      </c>
      <c r="W43" s="667">
        <f t="shared" si="12"/>
        <v>100</v>
      </c>
      <c r="X43" s="1264"/>
      <c r="Y43" s="337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6"/>
      <c r="Q44" s="1262">
        <f t="shared" si="14"/>
        <v>111</v>
      </c>
      <c r="R44" s="666" t="s">
        <v>14</v>
      </c>
      <c r="S44" s="667">
        <f t="shared" si="10"/>
        <v>100</v>
      </c>
      <c r="T44" s="666" t="s">
        <v>14</v>
      </c>
      <c r="U44" s="667">
        <f t="shared" si="11"/>
        <v>100</v>
      </c>
      <c r="V44" s="666" t="s">
        <v>14</v>
      </c>
      <c r="W44" s="667">
        <f t="shared" si="12"/>
        <v>100</v>
      </c>
      <c r="X44" s="1264"/>
      <c r="Y44" s="337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6"/>
      <c r="Q45" s="1262">
        <f t="shared" si="14"/>
        <v>111</v>
      </c>
      <c r="R45" s="668" t="s">
        <v>14</v>
      </c>
      <c r="S45" s="669">
        <f t="shared" si="10"/>
        <v>100</v>
      </c>
      <c r="T45" s="668" t="s">
        <v>14</v>
      </c>
      <c r="U45" s="669">
        <f t="shared" si="11"/>
        <v>100</v>
      </c>
      <c r="V45" s="668" t="s">
        <v>14</v>
      </c>
      <c r="W45" s="669">
        <f t="shared" si="12"/>
        <v>100</v>
      </c>
      <c r="X45" s="670"/>
      <c r="Y45" s="3376"/>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68" t="str">
        <f>A46</f>
        <v>成交单价</v>
      </c>
      <c r="Q46" s="3368"/>
      <c r="R46" s="3372">
        <f>E46</f>
        <v>0</v>
      </c>
      <c r="S46" s="3372"/>
      <c r="T46" s="3372">
        <f>G46</f>
        <v>0</v>
      </c>
      <c r="U46" s="3372"/>
      <c r="V46" s="3372">
        <f>I46</f>
        <v>0</v>
      </c>
      <c r="W46" s="3372"/>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68" t="str">
        <f>A47</f>
        <v>比较价值（元/平方米）</v>
      </c>
      <c r="Q47" s="3368"/>
      <c r="R47" s="3369" t="e">
        <f>ROUND(PRODUCT(R46,AA7:AA45),0)</f>
        <v>#DIV/0!</v>
      </c>
      <c r="S47" s="3369"/>
      <c r="T47" s="3369" t="e">
        <f>ROUND(PRODUCT(T46,AB7:AB45),0)</f>
        <v>#DIV/0!</v>
      </c>
      <c r="U47" s="3369"/>
      <c r="V47" s="3369" t="e">
        <f>ROUND(PRODUCT(V46,AC7:AC45),0)</f>
        <v>#DIV/0!</v>
      </c>
      <c r="W47" s="3369"/>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365" t="str">
        <f>A48</f>
        <v>估价对象XX用房的比较价值（楼面单价，元/平方米）</v>
      </c>
      <c r="Q48" s="3366"/>
      <c r="R48" s="3367" t="e">
        <f>ROUND(IF(D47="简单平均",AVERAGE(R47:W47),R47*F47+T47*H47+V47*J47),0)</f>
        <v>#DIV/0!</v>
      </c>
      <c r="S48" s="3367"/>
      <c r="T48" s="3367"/>
      <c r="U48" s="3367"/>
      <c r="V48" s="3367"/>
      <c r="W48" s="336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80" t="s">
        <v>1887</v>
      </c>
      <c r="H55" s="3392"/>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393"/>
      <c r="H56" s="3368"/>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85" t="s">
        <v>2083</v>
      </c>
      <c r="D1" s="3486"/>
      <c r="E1" s="3486"/>
      <c r="F1" s="3486"/>
      <c r="G1" s="3486"/>
      <c r="H1" s="3486"/>
      <c r="I1" s="3486"/>
      <c r="J1" s="3486"/>
      <c r="K1" s="3486"/>
      <c r="L1" s="3486"/>
      <c r="M1" s="3486"/>
      <c r="N1" s="3486"/>
      <c r="O1" s="3486"/>
      <c r="P1" s="3486"/>
      <c r="Q1" s="3486"/>
      <c r="R1" s="3486"/>
      <c r="S1" s="3487"/>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95" t="s">
        <v>2599</v>
      </c>
      <c r="B20" s="3488" t="s">
        <v>2620</v>
      </c>
      <c r="C20" s="2838" t="s">
        <v>2431</v>
      </c>
      <c r="D20" s="2839"/>
      <c r="E20" s="2840">
        <v>1</v>
      </c>
      <c r="F20" s="2841" t="s">
        <v>2432</v>
      </c>
      <c r="G20" s="2841"/>
    </row>
    <row r="21" spans="1:13" ht="19.5" customHeight="1">
      <c r="A21" s="3496"/>
      <c r="B21" s="3489"/>
      <c r="C21" s="2842" t="s">
        <v>2433</v>
      </c>
      <c r="D21" s="2843"/>
      <c r="E21" s="2844">
        <v>1</v>
      </c>
      <c r="F21" s="2841" t="s">
        <v>2434</v>
      </c>
      <c r="G21" s="2841"/>
    </row>
    <row r="22" spans="1:13" ht="19.5" customHeight="1">
      <c r="A22" s="3496"/>
      <c r="B22" s="3489"/>
      <c r="C22" s="2842" t="s">
        <v>2435</v>
      </c>
      <c r="D22" s="2843"/>
      <c r="E22" s="2844">
        <v>0.9</v>
      </c>
      <c r="F22" s="2841" t="s">
        <v>2436</v>
      </c>
      <c r="G22" s="2841"/>
    </row>
    <row r="23" spans="1:13" ht="19.5" customHeight="1">
      <c r="A23" s="3496"/>
      <c r="B23" s="3489"/>
      <c r="C23" s="2842" t="s">
        <v>2437</v>
      </c>
      <c r="D23" s="2843"/>
      <c r="E23" s="2844">
        <v>0.9</v>
      </c>
      <c r="F23" s="2841" t="s">
        <v>2438</v>
      </c>
      <c r="G23" s="2841"/>
    </row>
    <row r="24" spans="1:13" ht="19.5" customHeight="1">
      <c r="A24" s="3496"/>
      <c r="B24" s="3489"/>
      <c r="C24" s="2842" t="s">
        <v>2439</v>
      </c>
      <c r="D24" s="2843"/>
      <c r="E24" s="2844">
        <v>0.8</v>
      </c>
      <c r="F24" s="2841" t="s">
        <v>2440</v>
      </c>
      <c r="G24" s="2841"/>
    </row>
    <row r="25" spans="1:13" ht="19.5" customHeight="1" thickBot="1">
      <c r="A25" s="3497"/>
      <c r="B25" s="3490"/>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91" t="s">
        <v>2623</v>
      </c>
      <c r="B27" s="3488" t="s">
        <v>2604</v>
      </c>
      <c r="C27" s="2838" t="s">
        <v>2444</v>
      </c>
      <c r="D27" s="2839"/>
      <c r="E27" s="2840">
        <v>1</v>
      </c>
      <c r="F27" s="2841" t="s">
        <v>2445</v>
      </c>
      <c r="G27" s="2841"/>
    </row>
    <row r="28" spans="1:13" ht="19.5" customHeight="1">
      <c r="A28" s="3492"/>
      <c r="B28" s="3489"/>
      <c r="C28" s="2842" t="s">
        <v>2446</v>
      </c>
      <c r="D28" s="2843"/>
      <c r="E28" s="2844">
        <v>1</v>
      </c>
      <c r="F28" s="2841" t="s">
        <v>2447</v>
      </c>
      <c r="G28" s="2841"/>
    </row>
    <row r="29" spans="1:13" ht="19.5" customHeight="1">
      <c r="A29" s="3492"/>
      <c r="B29" s="3489"/>
      <c r="C29" s="2842" t="s">
        <v>2448</v>
      </c>
      <c r="D29" s="2843"/>
      <c r="E29" s="2844">
        <v>0.8</v>
      </c>
      <c r="F29" s="2841" t="s">
        <v>2449</v>
      </c>
      <c r="G29" s="2841"/>
    </row>
    <row r="30" spans="1:13" ht="19.5" customHeight="1">
      <c r="A30" s="3492"/>
      <c r="B30" s="3489"/>
      <c r="C30" s="2842" t="s">
        <v>2450</v>
      </c>
      <c r="D30" s="2843"/>
      <c r="E30" s="2844">
        <v>0.8</v>
      </c>
      <c r="F30" s="2841" t="s">
        <v>2451</v>
      </c>
      <c r="G30" s="2841"/>
    </row>
    <row r="31" spans="1:13" ht="19.5" customHeight="1">
      <c r="A31" s="3492"/>
      <c r="B31" s="3489"/>
      <c r="C31" s="2842" t="s">
        <v>2452</v>
      </c>
      <c r="D31" s="2843"/>
      <c r="E31" s="2844">
        <v>0.8</v>
      </c>
      <c r="F31" s="2841" t="s">
        <v>2453</v>
      </c>
      <c r="G31" s="2841"/>
    </row>
    <row r="32" spans="1:13" ht="19.5" customHeight="1">
      <c r="A32" s="3492"/>
      <c r="B32" s="3489"/>
      <c r="C32" s="2842" t="s">
        <v>2454</v>
      </c>
      <c r="D32" s="2843"/>
      <c r="E32" s="2844">
        <v>0.7</v>
      </c>
      <c r="F32" s="2841" t="s">
        <v>2455</v>
      </c>
      <c r="G32" s="2841"/>
    </row>
    <row r="33" spans="1:7" ht="19.5" customHeight="1">
      <c r="A33" s="3492"/>
      <c r="B33" s="3489"/>
      <c r="C33" s="2842" t="s">
        <v>2456</v>
      </c>
      <c r="D33" s="2843"/>
      <c r="E33" s="2844">
        <v>0.8</v>
      </c>
      <c r="F33" s="2841" t="s">
        <v>2457</v>
      </c>
      <c r="G33" s="2841"/>
    </row>
    <row r="34" spans="1:7" ht="19.5" customHeight="1">
      <c r="A34" s="3492"/>
      <c r="B34" s="3489"/>
      <c r="C34" s="2842" t="s">
        <v>2458</v>
      </c>
      <c r="D34" s="2843"/>
      <c r="E34" s="2844">
        <v>0.6</v>
      </c>
      <c r="F34" s="2841" t="s">
        <v>2459</v>
      </c>
      <c r="G34" s="2841"/>
    </row>
    <row r="35" spans="1:7" ht="19.5" customHeight="1">
      <c r="A35" s="3492"/>
      <c r="B35" s="3489"/>
      <c r="C35" s="2842" t="s">
        <v>2460</v>
      </c>
      <c r="D35" s="2843"/>
      <c r="E35" s="2844">
        <v>0.2</v>
      </c>
      <c r="F35" s="2841" t="s">
        <v>2461</v>
      </c>
      <c r="G35" s="2841"/>
    </row>
    <row r="36" spans="1:7" ht="19.5" customHeight="1">
      <c r="A36" s="3492"/>
      <c r="B36" s="3489"/>
      <c r="C36" s="2842" t="s">
        <v>2462</v>
      </c>
      <c r="D36" s="2843"/>
      <c r="E36" s="2844">
        <v>0.2</v>
      </c>
      <c r="F36" s="2841" t="s">
        <v>2463</v>
      </c>
      <c r="G36" s="2841"/>
    </row>
    <row r="37" spans="1:7" ht="19.5" customHeight="1">
      <c r="A37" s="3492"/>
      <c r="B37" s="3494" t="s">
        <v>2624</v>
      </c>
      <c r="C37" s="2842" t="s">
        <v>2464</v>
      </c>
      <c r="D37" s="2843"/>
      <c r="E37" s="2844">
        <v>0.6</v>
      </c>
      <c r="F37" s="2841" t="s">
        <v>2465</v>
      </c>
      <c r="G37" s="2841"/>
    </row>
    <row r="38" spans="1:7" ht="19.5" customHeight="1">
      <c r="A38" s="3492"/>
      <c r="B38" s="3489"/>
      <c r="C38" s="2842" t="s">
        <v>2466</v>
      </c>
      <c r="D38" s="2843"/>
      <c r="E38" s="2844">
        <v>0.6</v>
      </c>
      <c r="F38" s="2841" t="s">
        <v>2467</v>
      </c>
      <c r="G38" s="2841"/>
    </row>
    <row r="39" spans="1:7" ht="19.5" customHeight="1" thickBot="1">
      <c r="A39" s="3493"/>
      <c r="B39" s="3490"/>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95" t="s">
        <v>2602</v>
      </c>
      <c r="B41" s="3488" t="s">
        <v>2626</v>
      </c>
      <c r="C41" s="2838" t="s">
        <v>2471</v>
      </c>
      <c r="D41" s="2839"/>
      <c r="E41" s="2840">
        <v>1</v>
      </c>
      <c r="F41" s="2841" t="s">
        <v>2472</v>
      </c>
      <c r="G41" s="2841"/>
    </row>
    <row r="42" spans="1:7" ht="19.5" customHeight="1">
      <c r="A42" s="3496"/>
      <c r="B42" s="3489"/>
      <c r="C42" s="2842" t="s">
        <v>2473</v>
      </c>
      <c r="D42" s="2843"/>
      <c r="E42" s="2844">
        <v>1</v>
      </c>
      <c r="F42" s="2841" t="s">
        <v>2474</v>
      </c>
      <c r="G42" s="2841"/>
    </row>
    <row r="43" spans="1:7" ht="19.5" customHeight="1">
      <c r="A43" s="3496"/>
      <c r="B43" s="3498"/>
      <c r="C43" s="2842" t="s">
        <v>2475</v>
      </c>
      <c r="D43" s="2843"/>
      <c r="E43" s="2844">
        <v>1.5</v>
      </c>
      <c r="F43" s="2841" t="s">
        <v>2476</v>
      </c>
      <c r="G43" s="2841"/>
    </row>
    <row r="44" spans="1:7" ht="19.5" customHeight="1">
      <c r="A44" s="3496"/>
      <c r="B44" s="2853" t="s">
        <v>2627</v>
      </c>
      <c r="C44" s="2842" t="s">
        <v>2628</v>
      </c>
      <c r="D44" s="2843"/>
      <c r="E44" s="2844">
        <v>2</v>
      </c>
      <c r="F44" s="2841" t="s">
        <v>2477</v>
      </c>
      <c r="G44" s="2841"/>
    </row>
    <row r="45" spans="1:7" ht="19.5" customHeight="1">
      <c r="A45" s="3496"/>
      <c r="B45" s="3494" t="s">
        <v>2629</v>
      </c>
      <c r="C45" s="2842" t="s">
        <v>2478</v>
      </c>
      <c r="D45" s="2843"/>
      <c r="E45" s="2844">
        <v>1</v>
      </c>
      <c r="F45" s="2841" t="s">
        <v>2479</v>
      </c>
      <c r="G45" s="2841"/>
    </row>
    <row r="46" spans="1:7" ht="19.5" customHeight="1">
      <c r="A46" s="3496"/>
      <c r="B46" s="3489"/>
      <c r="C46" s="2842" t="s">
        <v>2480</v>
      </c>
      <c r="D46" s="2843"/>
      <c r="E46" s="2844">
        <v>1</v>
      </c>
      <c r="F46" s="2841" t="s">
        <v>2481</v>
      </c>
      <c r="G46" s="2841"/>
    </row>
    <row r="47" spans="1:7" ht="19.5" customHeight="1">
      <c r="A47" s="3496"/>
      <c r="B47" s="3489"/>
      <c r="C47" s="2842" t="s">
        <v>2482</v>
      </c>
      <c r="D47" s="2843"/>
      <c r="E47" s="2844">
        <v>1</v>
      </c>
      <c r="F47" s="2841" t="s">
        <v>2483</v>
      </c>
      <c r="G47" s="2841"/>
    </row>
    <row r="48" spans="1:7" ht="19.5" customHeight="1">
      <c r="A48" s="3496"/>
      <c r="B48" s="3489"/>
      <c r="C48" s="2842" t="s">
        <v>2484</v>
      </c>
      <c r="D48" s="2843"/>
      <c r="E48" s="2844">
        <v>1</v>
      </c>
      <c r="F48" s="2841" t="s">
        <v>2485</v>
      </c>
      <c r="G48" s="2841"/>
    </row>
    <row r="49" spans="1:7" ht="19.5" customHeight="1">
      <c r="A49" s="3496"/>
      <c r="B49" s="3489"/>
      <c r="C49" s="2842" t="s">
        <v>2486</v>
      </c>
      <c r="D49" s="2843"/>
      <c r="E49" s="2844">
        <v>1</v>
      </c>
      <c r="F49" s="2841" t="s">
        <v>2487</v>
      </c>
      <c r="G49" s="2841"/>
    </row>
    <row r="50" spans="1:7" ht="19.5" customHeight="1">
      <c r="A50" s="3496"/>
      <c r="B50" s="3489"/>
      <c r="C50" s="2842" t="s">
        <v>2488</v>
      </c>
      <c r="D50" s="2843"/>
      <c r="E50" s="2844">
        <v>1</v>
      </c>
      <c r="F50" s="2841" t="s">
        <v>2489</v>
      </c>
      <c r="G50" s="2841"/>
    </row>
    <row r="51" spans="1:7" ht="19.5" customHeight="1" thickBot="1">
      <c r="A51" s="3497"/>
      <c r="B51" s="3490"/>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94" t="s">
        <v>2643</v>
      </c>
      <c r="C73" s="2827" t="s">
        <v>2644</v>
      </c>
      <c r="D73" s="2827" t="s">
        <v>2645</v>
      </c>
      <c r="E73" s="2853">
        <v>0.2</v>
      </c>
      <c r="F73" s="2853">
        <v>25</v>
      </c>
    </row>
    <row r="74" spans="1:7" ht="24">
      <c r="A74" s="2853">
        <v>2</v>
      </c>
      <c r="B74" s="3489"/>
      <c r="C74" s="2827" t="s">
        <v>2646</v>
      </c>
      <c r="D74" s="2827" t="s">
        <v>2647</v>
      </c>
      <c r="E74" s="2853">
        <v>0.2</v>
      </c>
      <c r="F74" s="2853">
        <v>25</v>
      </c>
    </row>
    <row r="75" spans="1:7" ht="24">
      <c r="A75" s="2853">
        <v>3</v>
      </c>
      <c r="B75" s="3489"/>
      <c r="C75" s="2827" t="s">
        <v>2648</v>
      </c>
      <c r="D75" s="2827" t="s">
        <v>2649</v>
      </c>
      <c r="E75" s="2853">
        <v>0.2</v>
      </c>
      <c r="F75" s="2853">
        <v>25</v>
      </c>
    </row>
    <row r="76" spans="1:7" ht="13.5">
      <c r="A76" s="2853">
        <v>4</v>
      </c>
      <c r="B76" s="3489"/>
      <c r="C76" s="2827" t="s">
        <v>2650</v>
      </c>
      <c r="D76" s="2827" t="s">
        <v>2651</v>
      </c>
      <c r="E76" s="2853">
        <v>0.15</v>
      </c>
      <c r="F76" s="2853">
        <v>20</v>
      </c>
    </row>
    <row r="77" spans="1:7" ht="24">
      <c r="A77" s="2853">
        <v>5</v>
      </c>
      <c r="B77" s="3489"/>
      <c r="C77" s="2827" t="s">
        <v>2652</v>
      </c>
      <c r="D77" s="2827" t="s">
        <v>2653</v>
      </c>
      <c r="E77" s="2853">
        <v>0.15</v>
      </c>
      <c r="F77" s="2853">
        <v>20</v>
      </c>
    </row>
    <row r="78" spans="1:7" ht="24">
      <c r="A78" s="2853">
        <v>6</v>
      </c>
      <c r="B78" s="3489"/>
      <c r="C78" s="2827" t="s">
        <v>2654</v>
      </c>
      <c r="D78" s="2827" t="s">
        <v>2655</v>
      </c>
      <c r="E78" s="2853">
        <v>0.15</v>
      </c>
      <c r="F78" s="2853">
        <v>20</v>
      </c>
    </row>
    <row r="79" spans="1:7" ht="24">
      <c r="A79" s="2853">
        <v>7</v>
      </c>
      <c r="B79" s="3489"/>
      <c r="C79" s="2827" t="s">
        <v>2656</v>
      </c>
      <c r="D79" s="2827" t="s">
        <v>2657</v>
      </c>
      <c r="E79" s="2853">
        <v>0.15</v>
      </c>
      <c r="F79" s="2853">
        <v>20</v>
      </c>
    </row>
    <row r="80" spans="1:7" ht="24">
      <c r="A80" s="2853">
        <v>8</v>
      </c>
      <c r="B80" s="3489"/>
      <c r="C80" s="2827" t="s">
        <v>2658</v>
      </c>
      <c r="D80" s="2827" t="s">
        <v>2659</v>
      </c>
      <c r="E80" s="2853">
        <v>0.1</v>
      </c>
      <c r="F80" s="2853">
        <v>15</v>
      </c>
    </row>
    <row r="81" spans="1:6" ht="24">
      <c r="A81" s="2853">
        <v>9</v>
      </c>
      <c r="B81" s="3489"/>
      <c r="C81" s="2827" t="s">
        <v>2660</v>
      </c>
      <c r="D81" s="2827" t="s">
        <v>2661</v>
      </c>
      <c r="E81" s="2853">
        <v>0.1</v>
      </c>
      <c r="F81" s="2853">
        <v>15</v>
      </c>
    </row>
    <row r="82" spans="1:6" ht="24">
      <c r="A82" s="2853">
        <v>10</v>
      </c>
      <c r="B82" s="3489"/>
      <c r="C82" s="2827" t="s">
        <v>2662</v>
      </c>
      <c r="D82" s="2827" t="s">
        <v>2663</v>
      </c>
      <c r="E82" s="2853">
        <v>0.1</v>
      </c>
      <c r="F82" s="2853">
        <v>15</v>
      </c>
    </row>
    <row r="83" spans="1:6" ht="24">
      <c r="A83" s="2853">
        <v>11</v>
      </c>
      <c r="B83" s="3489"/>
      <c r="C83" s="2827" t="s">
        <v>2664</v>
      </c>
      <c r="D83" s="2827" t="s">
        <v>2665</v>
      </c>
      <c r="E83" s="2853">
        <v>0.1</v>
      </c>
      <c r="F83" s="2853">
        <v>15</v>
      </c>
    </row>
    <row r="84" spans="1:6" ht="24">
      <c r="A84" s="2853">
        <v>12</v>
      </c>
      <c r="B84" s="3489"/>
      <c r="C84" s="2827" t="s">
        <v>2666</v>
      </c>
      <c r="D84" s="2827" t="s">
        <v>2667</v>
      </c>
      <c r="E84" s="2853">
        <v>0.1</v>
      </c>
      <c r="F84" s="2853">
        <v>15</v>
      </c>
    </row>
    <row r="85" spans="1:6" ht="13.5">
      <c r="A85" s="2853">
        <v>13</v>
      </c>
      <c r="B85" s="3489"/>
      <c r="C85" s="2827" t="s">
        <v>2668</v>
      </c>
      <c r="D85" s="2827" t="s">
        <v>2669</v>
      </c>
      <c r="E85" s="2853">
        <v>0.1</v>
      </c>
      <c r="F85" s="2853">
        <v>15</v>
      </c>
    </row>
    <row r="86" spans="1:6" ht="13.5">
      <c r="A86" s="2853">
        <v>14</v>
      </c>
      <c r="B86" s="3489"/>
      <c r="C86" s="2827" t="s">
        <v>2670</v>
      </c>
      <c r="D86" s="2827" t="s">
        <v>2671</v>
      </c>
      <c r="E86" s="2853">
        <v>0.1</v>
      </c>
      <c r="F86" s="2853">
        <v>15</v>
      </c>
    </row>
    <row r="87" spans="1:6" ht="13.5">
      <c r="A87" s="2853">
        <v>15</v>
      </c>
      <c r="B87" s="3489"/>
      <c r="C87" s="2827" t="s">
        <v>2672</v>
      </c>
      <c r="D87" s="2827" t="s">
        <v>2673</v>
      </c>
      <c r="E87" s="2853">
        <v>0.1</v>
      </c>
      <c r="F87" s="2853">
        <v>15</v>
      </c>
    </row>
    <row r="88" spans="1:6" ht="24">
      <c r="A88" s="2853">
        <v>16</v>
      </c>
      <c r="B88" s="3489"/>
      <c r="C88" s="2827" t="s">
        <v>2674</v>
      </c>
      <c r="D88" s="2827" t="s">
        <v>2675</v>
      </c>
      <c r="E88" s="2853">
        <v>0.1</v>
      </c>
      <c r="F88" s="2853">
        <v>15</v>
      </c>
    </row>
    <row r="89" spans="1:6" ht="24">
      <c r="A89" s="2853">
        <v>17</v>
      </c>
      <c r="B89" s="3498"/>
      <c r="C89" s="2827" t="s">
        <v>2676</v>
      </c>
      <c r="D89" s="2827" t="s">
        <v>2677</v>
      </c>
      <c r="E89" s="2853">
        <v>0.1</v>
      </c>
      <c r="F89" s="2853">
        <v>15</v>
      </c>
    </row>
    <row r="90" spans="1:6" ht="13.5">
      <c r="A90" s="2853">
        <v>18</v>
      </c>
      <c r="B90" s="3494" t="s">
        <v>2678</v>
      </c>
      <c r="C90" s="2827" t="s">
        <v>2679</v>
      </c>
      <c r="D90" s="2827" t="s">
        <v>2680</v>
      </c>
      <c r="E90" s="2853">
        <v>0.2</v>
      </c>
      <c r="F90" s="2853">
        <v>25</v>
      </c>
    </row>
    <row r="91" spans="1:6" ht="24">
      <c r="A91" s="2853">
        <v>19</v>
      </c>
      <c r="B91" s="3489"/>
      <c r="C91" s="2827" t="s">
        <v>2681</v>
      </c>
      <c r="D91" s="2827" t="s">
        <v>2682</v>
      </c>
      <c r="E91" s="2853">
        <v>0.2</v>
      </c>
      <c r="F91" s="2853">
        <v>25</v>
      </c>
    </row>
    <row r="92" spans="1:6" ht="13.5">
      <c r="A92" s="2853">
        <v>20</v>
      </c>
      <c r="B92" s="3489"/>
      <c r="C92" s="2827" t="s">
        <v>2683</v>
      </c>
      <c r="D92" s="2827" t="s">
        <v>2684</v>
      </c>
      <c r="E92" s="2853">
        <v>0.15</v>
      </c>
      <c r="F92" s="2853">
        <v>20</v>
      </c>
    </row>
    <row r="93" spans="1:6" ht="13.5">
      <c r="A93" s="2853">
        <v>21</v>
      </c>
      <c r="B93" s="3489"/>
      <c r="C93" s="2827" t="s">
        <v>2685</v>
      </c>
      <c r="D93" s="2827" t="s">
        <v>2686</v>
      </c>
      <c r="E93" s="2853">
        <v>0.15</v>
      </c>
      <c r="F93" s="2853">
        <v>20</v>
      </c>
    </row>
    <row r="94" spans="1:6" ht="13.5">
      <c r="A94" s="2853">
        <v>22</v>
      </c>
      <c r="B94" s="3489"/>
      <c r="C94" s="2827" t="s">
        <v>2687</v>
      </c>
      <c r="D94" s="2827" t="s">
        <v>2688</v>
      </c>
      <c r="E94" s="2853">
        <v>0.15</v>
      </c>
      <c r="F94" s="2853">
        <v>20</v>
      </c>
    </row>
    <row r="95" spans="1:6" ht="36">
      <c r="A95" s="2853">
        <v>23</v>
      </c>
      <c r="B95" s="3489"/>
      <c r="C95" s="2827" t="s">
        <v>2689</v>
      </c>
      <c r="D95" s="2827" t="s">
        <v>2690</v>
      </c>
      <c r="E95" s="2853">
        <v>0.15</v>
      </c>
      <c r="F95" s="2853">
        <v>20</v>
      </c>
    </row>
    <row r="96" spans="1:6" ht="13.5">
      <c r="A96" s="2853">
        <v>24</v>
      </c>
      <c r="B96" s="3489"/>
      <c r="C96" s="2827" t="s">
        <v>2691</v>
      </c>
      <c r="D96" s="2827" t="s">
        <v>2692</v>
      </c>
      <c r="E96" s="2853">
        <v>0.1</v>
      </c>
      <c r="F96" s="2853">
        <v>15</v>
      </c>
    </row>
    <row r="97" spans="1:6" ht="13.5">
      <c r="A97" s="2853">
        <v>25</v>
      </c>
      <c r="B97" s="3489"/>
      <c r="C97" s="2827" t="s">
        <v>2693</v>
      </c>
      <c r="D97" s="2827" t="s">
        <v>2694</v>
      </c>
      <c r="E97" s="2853">
        <v>0.1</v>
      </c>
      <c r="F97" s="2853">
        <v>15</v>
      </c>
    </row>
    <row r="98" spans="1:6" ht="24">
      <c r="A98" s="2853">
        <v>26</v>
      </c>
      <c r="B98" s="3489"/>
      <c r="C98" s="2827" t="s">
        <v>2695</v>
      </c>
      <c r="D98" s="2827" t="s">
        <v>2696</v>
      </c>
      <c r="E98" s="2853">
        <v>0.1</v>
      </c>
      <c r="F98" s="2853">
        <v>15</v>
      </c>
    </row>
    <row r="99" spans="1:6" ht="24">
      <c r="A99" s="2853">
        <v>27</v>
      </c>
      <c r="B99" s="3489"/>
      <c r="C99" s="2827" t="s">
        <v>2697</v>
      </c>
      <c r="D99" s="2827" t="s">
        <v>2698</v>
      </c>
      <c r="E99" s="2853">
        <v>0.1</v>
      </c>
      <c r="F99" s="2853">
        <v>15</v>
      </c>
    </row>
    <row r="100" spans="1:6" ht="13.5">
      <c r="A100" s="2853">
        <v>28</v>
      </c>
      <c r="B100" s="3489"/>
      <c r="C100" s="2827" t="s">
        <v>2699</v>
      </c>
      <c r="D100" s="2827" t="s">
        <v>2700</v>
      </c>
      <c r="E100" s="2853">
        <v>0.1</v>
      </c>
      <c r="F100" s="2853">
        <v>15</v>
      </c>
    </row>
    <row r="101" spans="1:6" ht="13.5">
      <c r="A101" s="2853">
        <v>29</v>
      </c>
      <c r="B101" s="3489"/>
      <c r="C101" s="2827" t="s">
        <v>2701</v>
      </c>
      <c r="D101" s="2827" t="s">
        <v>2702</v>
      </c>
      <c r="E101" s="2853">
        <v>0.1</v>
      </c>
      <c r="F101" s="2853">
        <v>15</v>
      </c>
    </row>
    <row r="102" spans="1:6" ht="13.5">
      <c r="A102" s="2853">
        <v>30</v>
      </c>
      <c r="B102" s="3489"/>
      <c r="C102" s="2827" t="s">
        <v>2703</v>
      </c>
      <c r="D102" s="2827" t="s">
        <v>2704</v>
      </c>
      <c r="E102" s="2853">
        <v>0.1</v>
      </c>
      <c r="F102" s="2853">
        <v>15</v>
      </c>
    </row>
    <row r="103" spans="1:6" ht="24">
      <c r="A103" s="2853">
        <v>31</v>
      </c>
      <c r="B103" s="3489"/>
      <c r="C103" s="2827" t="s">
        <v>2705</v>
      </c>
      <c r="D103" s="2827" t="s">
        <v>2706</v>
      </c>
      <c r="E103" s="2853">
        <v>0.1</v>
      </c>
      <c r="F103" s="2853">
        <v>15</v>
      </c>
    </row>
    <row r="104" spans="1:6" ht="24">
      <c r="A104" s="2853">
        <v>32</v>
      </c>
      <c r="B104" s="3489"/>
      <c r="C104" s="2827" t="s">
        <v>2707</v>
      </c>
      <c r="D104" s="2827" t="s">
        <v>2708</v>
      </c>
      <c r="E104" s="2853">
        <v>0.1</v>
      </c>
      <c r="F104" s="2853">
        <v>15</v>
      </c>
    </row>
    <row r="105" spans="1:6" ht="24">
      <c r="A105" s="2853">
        <v>33</v>
      </c>
      <c r="B105" s="3489"/>
      <c r="C105" s="2827" t="s">
        <v>2709</v>
      </c>
      <c r="D105" s="2827" t="s">
        <v>2710</v>
      </c>
      <c r="E105" s="2853">
        <v>0.1</v>
      </c>
      <c r="F105" s="2853">
        <v>15</v>
      </c>
    </row>
    <row r="106" spans="1:6" ht="24">
      <c r="A106" s="2853">
        <v>34</v>
      </c>
      <c r="B106" s="3498"/>
      <c r="C106" s="2827" t="s">
        <v>2711</v>
      </c>
      <c r="D106" s="2827" t="s">
        <v>2712</v>
      </c>
      <c r="E106" s="2853">
        <v>0.1</v>
      </c>
      <c r="F106" s="2853">
        <v>15</v>
      </c>
    </row>
    <row r="107" spans="1:6" ht="24">
      <c r="A107" s="2853">
        <v>35</v>
      </c>
      <c r="B107" s="3494" t="s">
        <v>2713</v>
      </c>
      <c r="C107" s="2853" t="s">
        <v>2714</v>
      </c>
      <c r="D107" s="2827" t="s">
        <v>2715</v>
      </c>
      <c r="E107" s="2853">
        <v>0.15</v>
      </c>
      <c r="F107" s="2853">
        <v>20</v>
      </c>
    </row>
    <row r="108" spans="1:6" ht="13.5">
      <c r="A108" s="2853">
        <v>36</v>
      </c>
      <c r="B108" s="3489"/>
      <c r="C108" s="2853" t="s">
        <v>2716</v>
      </c>
      <c r="D108" s="2827" t="s">
        <v>2717</v>
      </c>
      <c r="E108" s="2853">
        <v>0.15</v>
      </c>
      <c r="F108" s="2853">
        <v>20</v>
      </c>
    </row>
    <row r="109" spans="1:6" ht="13.5">
      <c r="A109" s="2853">
        <v>37</v>
      </c>
      <c r="B109" s="3489"/>
      <c r="C109" s="2853" t="s">
        <v>2718</v>
      </c>
      <c r="D109" s="2827" t="s">
        <v>2719</v>
      </c>
      <c r="E109" s="2853">
        <v>0.15</v>
      </c>
      <c r="F109" s="2853">
        <v>20</v>
      </c>
    </row>
    <row r="110" spans="1:6" ht="13.5">
      <c r="A110" s="2853">
        <v>38</v>
      </c>
      <c r="B110" s="3489"/>
      <c r="C110" s="2853" t="s">
        <v>2720</v>
      </c>
      <c r="D110" s="2827" t="s">
        <v>2721</v>
      </c>
      <c r="E110" s="2853">
        <v>0.1</v>
      </c>
      <c r="F110" s="2853">
        <v>15</v>
      </c>
    </row>
    <row r="111" spans="1:6" ht="24">
      <c r="A111" s="2853">
        <v>39</v>
      </c>
      <c r="B111" s="3489"/>
      <c r="C111" s="2853" t="s">
        <v>2722</v>
      </c>
      <c r="D111" s="2827" t="s">
        <v>2723</v>
      </c>
      <c r="E111" s="2853">
        <v>0.1</v>
      </c>
      <c r="F111" s="2853">
        <v>15</v>
      </c>
    </row>
    <row r="112" spans="1:6" ht="24">
      <c r="A112" s="2853">
        <v>40</v>
      </c>
      <c r="B112" s="3498"/>
      <c r="C112" s="2853" t="s">
        <v>2724</v>
      </c>
      <c r="D112" s="2827" t="s">
        <v>2725</v>
      </c>
      <c r="E112" s="2853">
        <v>0.1</v>
      </c>
      <c r="F112" s="2853">
        <v>15</v>
      </c>
    </row>
    <row r="113" spans="1:6" ht="13.5">
      <c r="A113" s="2853">
        <v>41</v>
      </c>
      <c r="B113" s="3499" t="s">
        <v>2726</v>
      </c>
      <c r="C113" s="2853" t="s">
        <v>2727</v>
      </c>
      <c r="D113" s="2827" t="s">
        <v>2728</v>
      </c>
      <c r="E113" s="2853">
        <v>0.1</v>
      </c>
      <c r="F113" s="2853">
        <v>15</v>
      </c>
    </row>
    <row r="114" spans="1:6" ht="13.5">
      <c r="A114" s="2853">
        <v>42</v>
      </c>
      <c r="B114" s="3499"/>
      <c r="C114" s="2853" t="s">
        <v>2729</v>
      </c>
      <c r="D114" s="2827" t="s">
        <v>2730</v>
      </c>
      <c r="E114" s="2853">
        <v>0.1</v>
      </c>
      <c r="F114" s="2853">
        <v>15</v>
      </c>
    </row>
    <row r="115" spans="1:6" ht="24">
      <c r="A115" s="2853">
        <v>43</v>
      </c>
      <c r="B115" s="3499"/>
      <c r="C115" s="2853" t="s">
        <v>2731</v>
      </c>
      <c r="D115" s="2827" t="s">
        <v>2732</v>
      </c>
      <c r="E115" s="2853">
        <v>0.1</v>
      </c>
      <c r="F115" s="2853">
        <v>15</v>
      </c>
    </row>
    <row r="116" spans="1:6" ht="13.5">
      <c r="A116" s="2853">
        <v>44</v>
      </c>
      <c r="B116" s="3494" t="s">
        <v>2733</v>
      </c>
      <c r="C116" s="2853" t="s">
        <v>2734</v>
      </c>
      <c r="D116" s="2827" t="s">
        <v>2735</v>
      </c>
      <c r="E116" s="2853">
        <v>0.1</v>
      </c>
      <c r="F116" s="2853">
        <v>15</v>
      </c>
    </row>
    <row r="117" spans="1:6" ht="24">
      <c r="A117" s="2853">
        <v>45</v>
      </c>
      <c r="B117" s="3498"/>
      <c r="C117" s="2827" t="s">
        <v>2736</v>
      </c>
      <c r="D117" s="2827" t="s">
        <v>2737</v>
      </c>
      <c r="E117" s="2853">
        <v>0.1</v>
      </c>
      <c r="F117" s="2853">
        <v>15</v>
      </c>
    </row>
    <row r="118" spans="1:6" ht="24">
      <c r="A118" s="2853">
        <v>46</v>
      </c>
      <c r="B118" s="3494" t="s">
        <v>2738</v>
      </c>
      <c r="C118" s="2853" t="s">
        <v>2739</v>
      </c>
      <c r="D118" s="2827" t="s">
        <v>2740</v>
      </c>
      <c r="E118" s="2853">
        <v>0.1</v>
      </c>
      <c r="F118" s="2853">
        <v>15</v>
      </c>
    </row>
    <row r="119" spans="1:6" ht="24">
      <c r="A119" s="2853">
        <v>47</v>
      </c>
      <c r="B119" s="3498"/>
      <c r="C119" s="2853" t="s">
        <v>2741</v>
      </c>
      <c r="D119" s="2827" t="s">
        <v>2742</v>
      </c>
      <c r="E119" s="2853">
        <v>0.1</v>
      </c>
      <c r="F119" s="2853">
        <v>15</v>
      </c>
    </row>
    <row r="120" spans="1:6" ht="13.5">
      <c r="A120" s="2853">
        <v>48</v>
      </c>
      <c r="B120" s="3494" t="s">
        <v>2743</v>
      </c>
      <c r="C120" s="2853" t="s">
        <v>2744</v>
      </c>
      <c r="D120" s="2827" t="s">
        <v>2745</v>
      </c>
      <c r="E120" s="2853">
        <v>0.1</v>
      </c>
      <c r="F120" s="2853">
        <v>15</v>
      </c>
    </row>
    <row r="121" spans="1:6" ht="13.5">
      <c r="A121" s="2853">
        <v>49</v>
      </c>
      <c r="B121" s="3498"/>
      <c r="C121" s="2853" t="s">
        <v>2746</v>
      </c>
      <c r="D121" s="2827" t="s">
        <v>2747</v>
      </c>
      <c r="E121" s="2853">
        <v>0.1</v>
      </c>
      <c r="F121" s="2853">
        <v>15</v>
      </c>
    </row>
    <row r="122" spans="1:6" ht="24">
      <c r="A122" s="2853">
        <v>50</v>
      </c>
      <c r="B122" s="3499" t="s">
        <v>2748</v>
      </c>
      <c r="C122" s="2853" t="s">
        <v>2749</v>
      </c>
      <c r="D122" s="2827" t="s">
        <v>2750</v>
      </c>
      <c r="E122" s="2853">
        <v>0.1</v>
      </c>
      <c r="F122" s="2853">
        <v>15</v>
      </c>
    </row>
    <row r="123" spans="1:6" ht="24">
      <c r="A123" s="2853">
        <v>51</v>
      </c>
      <c r="B123" s="3499"/>
      <c r="C123" s="2853" t="s">
        <v>2751</v>
      </c>
      <c r="D123" s="2827" t="s">
        <v>2752</v>
      </c>
      <c r="E123" s="2853">
        <v>0.1</v>
      </c>
      <c r="F123" s="2853">
        <v>15</v>
      </c>
    </row>
    <row r="124" spans="1:6" ht="24">
      <c r="A124" s="2853">
        <v>52</v>
      </c>
      <c r="B124" s="3499" t="s">
        <v>2753</v>
      </c>
      <c r="C124" s="2853" t="s">
        <v>2754</v>
      </c>
      <c r="D124" s="2827" t="s">
        <v>2755</v>
      </c>
      <c r="E124" s="2853">
        <v>0.1</v>
      </c>
      <c r="F124" s="2853">
        <v>15</v>
      </c>
    </row>
    <row r="125" spans="1:6" ht="24">
      <c r="A125" s="2853">
        <v>53</v>
      </c>
      <c r="B125" s="3499"/>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99" t="s">
        <v>2761</v>
      </c>
      <c r="C127" s="2853" t="s">
        <v>2762</v>
      </c>
      <c r="D127" s="2827" t="s">
        <v>2763</v>
      </c>
      <c r="E127" s="2853">
        <v>0.1</v>
      </c>
      <c r="F127" s="2853">
        <v>15</v>
      </c>
    </row>
    <row r="128" spans="1:6" ht="13.5">
      <c r="A128" s="2853">
        <v>56</v>
      </c>
      <c r="B128" s="3499"/>
      <c r="C128" s="2853" t="s">
        <v>2764</v>
      </c>
      <c r="D128" s="2827" t="s">
        <v>2765</v>
      </c>
      <c r="E128" s="2853">
        <v>0.1</v>
      </c>
      <c r="F128" s="2853">
        <v>15</v>
      </c>
    </row>
    <row r="129" spans="1:6" ht="24">
      <c r="A129" s="2853">
        <v>57</v>
      </c>
      <c r="B129" s="3499"/>
      <c r="C129" s="2853" t="s">
        <v>2766</v>
      </c>
      <c r="D129" s="2827" t="s">
        <v>2767</v>
      </c>
      <c r="E129" s="2853">
        <v>0.1</v>
      </c>
      <c r="F129" s="2853">
        <v>15</v>
      </c>
    </row>
    <row r="130" spans="1:6" ht="24">
      <c r="A130" s="2853">
        <v>58</v>
      </c>
      <c r="B130" s="3499" t="s">
        <v>2768</v>
      </c>
      <c r="C130" s="2853" t="s">
        <v>2769</v>
      </c>
      <c r="D130" s="2827" t="s">
        <v>2770</v>
      </c>
      <c r="E130" s="2853">
        <v>0.1</v>
      </c>
      <c r="F130" s="2853">
        <v>15</v>
      </c>
    </row>
    <row r="131" spans="1:6" ht="13.5">
      <c r="A131" s="2853">
        <v>59</v>
      </c>
      <c r="B131" s="3499"/>
      <c r="C131" s="2853" t="s">
        <v>2771</v>
      </c>
      <c r="D131" s="2827" t="s">
        <v>2772</v>
      </c>
      <c r="E131" s="2853">
        <v>0.1</v>
      </c>
      <c r="F131" s="2853">
        <v>15</v>
      </c>
    </row>
    <row r="132" spans="1:6" ht="13.5">
      <c r="A132" s="2853">
        <v>60</v>
      </c>
      <c r="B132" s="3494" t="s">
        <v>2773</v>
      </c>
      <c r="C132" s="2853" t="s">
        <v>2774</v>
      </c>
      <c r="D132" s="2827" t="s">
        <v>2775</v>
      </c>
      <c r="E132" s="2853">
        <v>0.1</v>
      </c>
      <c r="F132" s="2853">
        <v>15</v>
      </c>
    </row>
    <row r="133" spans="1:6" ht="13.5">
      <c r="A133" s="2853">
        <v>61</v>
      </c>
      <c r="B133" s="3498"/>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99" t="s">
        <v>2781</v>
      </c>
      <c r="C135" s="2853" t="s">
        <v>2782</v>
      </c>
      <c r="D135" s="2827" t="s">
        <v>2783</v>
      </c>
      <c r="E135" s="2853">
        <v>0.1</v>
      </c>
      <c r="F135" s="2853">
        <v>15</v>
      </c>
    </row>
    <row r="136" spans="1:6" ht="13.5">
      <c r="A136" s="2853">
        <v>64</v>
      </c>
      <c r="B136" s="3499"/>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390"/>
      <c r="B4" s="3187" t="s">
        <v>917</v>
      </c>
      <c r="C4" s="3187"/>
      <c r="D4" s="3187"/>
      <c r="E4" s="1390"/>
    </row>
    <row r="5" spans="1:5" ht="16.5" thickTop="1">
      <c r="B5" s="3185" t="s">
        <v>909</v>
      </c>
      <c r="C5" s="1391" t="s">
        <v>910</v>
      </c>
      <c r="D5" s="796">
        <f ca="1">结果表!H101</f>
        <v>2378</v>
      </c>
    </row>
    <row r="6" spans="1:5" ht="15.75">
      <c r="B6" s="3185"/>
      <c r="C6" s="1391" t="s">
        <v>911</v>
      </c>
      <c r="D6" s="796" t="str">
        <f ca="1">NUMBERSTRING(INT(D5*10000),2)&amp;"元整"</f>
        <v>贰仟叁佰柒拾捌万元整</v>
      </c>
    </row>
    <row r="7" spans="1:5" ht="15.75">
      <c r="B7" s="3190"/>
      <c r="C7" s="1392" t="s">
        <v>912</v>
      </c>
      <c r="D7" s="797">
        <f ca="1">结果表!H102</f>
        <v>9983</v>
      </c>
    </row>
    <row r="8" spans="1:5" ht="15.75">
      <c r="B8" s="3191" t="str">
        <f>结果表!E103</f>
        <v>2.估价师知悉的法定优先受偿款</v>
      </c>
      <c r="C8" s="1393" t="s">
        <v>913</v>
      </c>
      <c r="D8" s="797">
        <f>结果表!H103</f>
        <v>0</v>
      </c>
    </row>
    <row r="9" spans="1:5" ht="15.75">
      <c r="B9" s="319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4" t="str">
        <f>结果表!E107</f>
        <v>3.房地产抵押价值</v>
      </c>
      <c r="C13" s="1396" t="s">
        <v>910</v>
      </c>
      <c r="D13" s="799">
        <f ca="1">结果表!H107</f>
        <v>2378</v>
      </c>
    </row>
    <row r="14" spans="1:5" ht="15.75">
      <c r="B14" s="3185"/>
      <c r="C14" s="1391" t="s">
        <v>911</v>
      </c>
      <c r="D14" s="796" t="str">
        <f ca="1">NUMBERSTRING(INT(D13*10000),2)&amp;"元整"</f>
        <v>贰仟叁佰柒拾捌万元整</v>
      </c>
    </row>
    <row r="15" spans="1:5" ht="15">
      <c r="B15" s="3190"/>
      <c r="C15" s="1392" t="s">
        <v>921</v>
      </c>
      <c r="D15" s="805">
        <f ca="1">结果表!H108</f>
        <v>9983</v>
      </c>
    </row>
    <row r="16" spans="1:5" ht="15">
      <c r="B16" s="3191" t="str">
        <f>结果表!E109</f>
        <v>——</v>
      </c>
      <c r="C16" s="1396" t="s">
        <v>922</v>
      </c>
      <c r="D16" s="1397" t="str">
        <f>结果表!H109</f>
        <v>——</v>
      </c>
    </row>
    <row r="17" spans="1:5" ht="15.75">
      <c r="B17" s="3192"/>
      <c r="C17" s="1391" t="s">
        <v>923</v>
      </c>
      <c r="D17" s="796" t="e">
        <f>NUMBERSTRING(INT(D16*10000),2)&amp;"元整"</f>
        <v>#VALUE!</v>
      </c>
    </row>
    <row r="18" spans="1:5" ht="15">
      <c r="B18" s="3193"/>
      <c r="C18" s="1392" t="s">
        <v>912</v>
      </c>
      <c r="D18" s="805" t="str">
        <f>结果表!H110</f>
        <v>——</v>
      </c>
    </row>
    <row r="19" spans="1:5" ht="15.75">
      <c r="B19" s="3184" t="str">
        <f>结果表!E111</f>
        <v>——</v>
      </c>
      <c r="C19" s="1396" t="s">
        <v>910</v>
      </c>
      <c r="D19" s="797" t="str">
        <f>结果表!H111</f>
        <v>——</v>
      </c>
    </row>
    <row r="20" spans="1:5" ht="15.75">
      <c r="B20" s="3185"/>
      <c r="C20" s="1391" t="s">
        <v>923</v>
      </c>
      <c r="D20" s="796" t="e">
        <f>NUMBERSTRING(INT(D19*10000),2)&amp;"元整"</f>
        <v>#VALUE!</v>
      </c>
    </row>
    <row r="21" spans="1:5" ht="15.75" thickBot="1">
      <c r="B21" s="318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topLeftCell="A259" zoomScaleNormal="100" workbookViewId="0">
      <selection activeCell="H284" sqref="H284"/>
    </sheetView>
  </sheetViews>
  <sheetFormatPr defaultColWidth="9" defaultRowHeight="13.5"/>
  <cols>
    <col min="1" max="9" width="9" style="2875"/>
    <col min="10" max="10" width="9" style="3171"/>
    <col min="11" max="13" width="9" style="2875"/>
  </cols>
  <sheetData>
    <row r="1" spans="1:20" ht="15" thickBot="1">
      <c r="A1" s="2861" t="s">
        <v>2790</v>
      </c>
      <c r="B1" s="2861"/>
      <c r="C1" s="2861"/>
      <c r="D1" s="2861"/>
      <c r="E1" s="2861"/>
      <c r="F1" s="2861"/>
      <c r="G1" s="2861"/>
      <c r="H1" s="2861"/>
      <c r="I1" s="2861"/>
      <c r="J1" s="316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6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6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6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6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6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6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6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6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6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6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6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6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6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6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6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6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6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6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6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6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6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6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6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6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6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6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6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6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6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6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6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6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6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6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6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6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6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6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6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6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6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6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6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6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6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6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6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6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6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6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6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6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6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6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6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6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6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6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6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6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6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6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6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6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6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6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6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6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6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6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6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6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6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6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6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6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6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6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6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6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6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6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6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6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6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6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6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6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6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6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6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6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68"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6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6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6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6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6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6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6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6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6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6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6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6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6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6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6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6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6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6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6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6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6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6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6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6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6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6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6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6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6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6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6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6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6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6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6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6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6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6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6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6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6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6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6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6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6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6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6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6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6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6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6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6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6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6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6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6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6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6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6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6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6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6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6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6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6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6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6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6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6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6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6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6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6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6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6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6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6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6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6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6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6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6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6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6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6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6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6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6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6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6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6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6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6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6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6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6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6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6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6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6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6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6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6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6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6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6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6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6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6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6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6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6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6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6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6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6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6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6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6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6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6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6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6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6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6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6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6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6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6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6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6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6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6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6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6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6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6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6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6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6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6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6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6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6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6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6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6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6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6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6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6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6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6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6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6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6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6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6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6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6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6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6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6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6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6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6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6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6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6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6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6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6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6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6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6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6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6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6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6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6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6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6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6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6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6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6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6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6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66">
        <v>0.8841</v>
      </c>
      <c r="K283" s="2868">
        <v>0.8841</v>
      </c>
      <c r="L283" s="2868">
        <v>0.8841</v>
      </c>
      <c r="M283" s="2869">
        <v>0.8841</v>
      </c>
    </row>
    <row r="284" spans="1:21">
      <c r="A284" s="2867">
        <v>1.5</v>
      </c>
      <c r="B284" s="2868">
        <v>1</v>
      </c>
      <c r="C284" s="2868">
        <v>1</v>
      </c>
      <c r="D284" s="2868">
        <v>1</v>
      </c>
      <c r="E284" s="2868">
        <v>1</v>
      </c>
      <c r="F284" s="2868">
        <v>1</v>
      </c>
      <c r="G284" s="2868">
        <v>0.92379999999999995</v>
      </c>
      <c r="H284" s="3166">
        <v>0.92379999999999995</v>
      </c>
      <c r="I284" s="2868">
        <v>0.8589</v>
      </c>
      <c r="J284" s="316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6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6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6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6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6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6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6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6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6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6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6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6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6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6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6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6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6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6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6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6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6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6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6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6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6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6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6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6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6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6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6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6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6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6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6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6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6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6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6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6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6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6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6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6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6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6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6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6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6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6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6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6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6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6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6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6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6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6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6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6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6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6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6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6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6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6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6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6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6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6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6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6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6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6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6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6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6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6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6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6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6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6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6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6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7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68"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6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6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6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6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6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6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6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6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6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6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6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6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6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6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6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6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6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6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6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6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6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6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6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6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6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6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6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6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6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6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6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6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6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6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6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6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6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6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6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6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6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6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6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6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6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6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6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6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6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6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6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6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6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6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6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6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6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6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6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6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6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6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6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6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6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6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6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6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6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6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6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6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6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6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6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6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6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6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6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6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6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6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6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6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6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6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6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6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6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6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25183</v>
      </c>
      <c r="C2" s="2" t="s">
        <v>106</v>
      </c>
      <c r="D2" s="191"/>
      <c r="E2" s="191"/>
      <c r="F2" s="191"/>
      <c r="G2" s="191"/>
    </row>
    <row r="3" spans="1:7" s="192" customFormat="1" ht="18" customHeight="1" thickBot="1">
      <c r="A3" s="195" t="s">
        <v>58</v>
      </c>
      <c r="B3" s="196">
        <f ca="1">ROUND(B2*10000/'数据-汇总表'!E3,0)</f>
        <v>105718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1053</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1053</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710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630</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426" t="s">
        <v>94</v>
      </c>
    </row>
    <row r="43" spans="1:7" ht="13.5" customHeight="1">
      <c r="A43" s="733" t="s">
        <v>347</v>
      </c>
      <c r="B43" s="207" t="s">
        <v>426</v>
      </c>
      <c r="C43" s="230">
        <f ca="1">ROUND(IF('数据-取费表'!B22&lt;=1,C39*F22*'数据-取费表'!B21/2,C39*(POWER((1+F22),'数据-取费表'!B21/2)-1)),0)</f>
        <v>0</v>
      </c>
      <c r="D43" s="230"/>
      <c r="E43" s="230"/>
      <c r="F43" s="231"/>
      <c r="G43" s="3427"/>
    </row>
    <row r="44" spans="1:7" ht="13.5" customHeight="1">
      <c r="A44" s="733" t="s">
        <v>348</v>
      </c>
      <c r="B44" s="207" t="s">
        <v>428</v>
      </c>
      <c r="C44" s="230">
        <f ca="1">ROUND(IF('数据-取费表'!B22&lt;=1,C40*F22*'数据-取费表'!B21/2,C40*(POWER((1+F22),'数据-取费表'!B21/2)-1)),4)</f>
        <v>2.9999999999999997E-4</v>
      </c>
      <c r="D44" s="230"/>
      <c r="E44" s="230"/>
      <c r="F44" s="231"/>
      <c r="G44" s="3428"/>
    </row>
    <row r="45" spans="1:7" s="206" customFormat="1" ht="13.5" customHeight="1">
      <c r="A45" s="730" t="s">
        <v>341</v>
      </c>
      <c r="B45" s="236" t="s">
        <v>85</v>
      </c>
      <c r="C45" s="237">
        <f>C46</f>
        <v>36</v>
      </c>
      <c r="D45" s="227">
        <f>C47</f>
        <v>1E-3</v>
      </c>
      <c r="E45" s="228" t="s">
        <v>102</v>
      </c>
      <c r="F45" s="238"/>
      <c r="G45" s="239" t="s">
        <v>434</v>
      </c>
    </row>
    <row r="46" spans="1:7" s="206" customFormat="1" ht="13.5" customHeight="1">
      <c r="A46" s="733" t="s">
        <v>349</v>
      </c>
      <c r="B46" s="240" t="s">
        <v>427</v>
      </c>
      <c r="C46" s="241">
        <f>ROUND((C33+C39)*F27,0)</f>
        <v>36</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832</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607</v>
      </c>
      <c r="D51" s="224"/>
      <c r="E51" s="224"/>
      <c r="F51" s="256"/>
      <c r="G51" s="226" t="s">
        <v>37</v>
      </c>
    </row>
    <row r="52" spans="1:7" s="200" customFormat="1" ht="16.5" thickBot="1">
      <c r="A52" s="257" t="s">
        <v>38</v>
      </c>
      <c r="B52" s="258"/>
      <c r="C52" s="259">
        <f ca="1">C31+C51</f>
        <v>25183</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2" t="s">
        <v>2831</v>
      </c>
      <c r="B1" s="3502"/>
      <c r="C1" s="3502"/>
      <c r="D1" s="3502"/>
      <c r="E1" s="3502"/>
      <c r="F1" s="3502"/>
      <c r="G1" s="3503"/>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500"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501"/>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4" t="s">
        <v>3173</v>
      </c>
      <c r="B1" s="3504"/>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9"/>
  </cols>
  <sheetData>
    <row r="1" spans="1:6">
      <c r="A1" s="3505" t="s">
        <v>3224</v>
      </c>
      <c r="B1" s="3505"/>
      <c r="C1" s="3505"/>
      <c r="D1" s="3505"/>
      <c r="E1" s="3505"/>
      <c r="F1" s="3506"/>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507" t="s">
        <v>456</v>
      </c>
      <c r="S1" s="3508"/>
      <c r="T1" s="3508"/>
      <c r="U1" s="3508"/>
      <c r="V1" s="3508"/>
      <c r="W1" s="3508"/>
      <c r="X1" s="2892"/>
      <c r="Y1" s="3507" t="s">
        <v>457</v>
      </c>
      <c r="Z1" s="3508"/>
      <c r="AA1" s="3508"/>
      <c r="AB1" s="3508"/>
      <c r="AC1" s="3508"/>
      <c r="AD1" s="3508"/>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507" t="s">
        <v>2819</v>
      </c>
      <c r="S26" s="3508"/>
      <c r="T26" s="3508"/>
      <c r="U26" s="3508"/>
      <c r="V26" s="3508"/>
      <c r="W26" s="3508"/>
      <c r="X26" s="2892"/>
      <c r="Y26" s="3507" t="s">
        <v>2820</v>
      </c>
      <c r="Z26" s="3508"/>
      <c r="AA26" s="3508"/>
      <c r="AB26" s="3508"/>
      <c r="AC26" s="3508"/>
      <c r="AD26" s="3508"/>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1936</v>
      </c>
      <c r="E4" s="800">
        <f ca="1">结果表!E118</f>
        <v>8127</v>
      </c>
      <c r="F4" s="800">
        <f ca="1">结果表!F118</f>
        <v>442</v>
      </c>
      <c r="G4" s="800">
        <f ca="1">结果表!G118</f>
        <v>1856</v>
      </c>
      <c r="H4" s="800">
        <f ca="1">结果表!H118</f>
        <v>2378</v>
      </c>
      <c r="I4" s="800">
        <f ca="1">结果表!I118</f>
        <v>9983</v>
      </c>
    </row>
    <row r="5" spans="1:9" ht="30" customHeight="1">
      <c r="A5" s="3196" t="s">
        <v>927</v>
      </c>
      <c r="B5" s="3196"/>
      <c r="C5" s="3196"/>
      <c r="D5" s="3196" t="str">
        <f ca="1">结果表!D119</f>
        <v>壹仟玖佰叁拾陆万元整</v>
      </c>
      <c r="E5" s="3196"/>
      <c r="F5" s="3196" t="str">
        <f ca="1">结果表!F119</f>
        <v>肆佰肆拾贰万元整</v>
      </c>
      <c r="G5" s="3196"/>
      <c r="H5" s="3196" t="str">
        <f ca="1">结果表!H119</f>
        <v>贰仟叁佰柒拾捌万元整</v>
      </c>
      <c r="I5" s="3196"/>
    </row>
    <row r="6" spans="1:9" ht="15.75">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75">
      <c r="A8" s="3197" t="str">
        <f>结果表!A122</f>
        <v>房地产抵押价值</v>
      </c>
      <c r="B8" s="3197"/>
      <c r="C8" s="3197"/>
      <c r="D8" s="3197">
        <f ca="1">结果表!D122</f>
        <v>2378</v>
      </c>
      <c r="E8" s="3197"/>
      <c r="F8" s="3197"/>
      <c r="G8" s="3197"/>
      <c r="H8" s="3197"/>
      <c r="I8" s="3197"/>
    </row>
    <row r="9" spans="1:9" ht="15">
      <c r="A9" s="3196" t="s">
        <v>927</v>
      </c>
      <c r="B9" s="3196"/>
      <c r="C9" s="3196"/>
      <c r="D9" s="3196" t="str">
        <f ca="1">结果表!D123</f>
        <v>贰仟叁佰柒拾捌万元整</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7" t="s">
        <v>956</v>
      </c>
      <c r="B15" s="3212" t="s">
        <v>109</v>
      </c>
      <c r="C15" s="3213"/>
    </row>
    <row r="16" spans="1:7" ht="13.5">
      <c r="A16" s="3218"/>
      <c r="B16" s="3212" t="s">
        <v>42</v>
      </c>
      <c r="C16" s="3213"/>
    </row>
    <row r="17" spans="1:3" ht="13.5">
      <c r="A17" s="3218"/>
      <c r="B17" s="3215" t="s">
        <v>957</v>
      </c>
      <c r="C17" s="1428" t="s">
        <v>956</v>
      </c>
    </row>
    <row r="18" spans="1:3" ht="13.5">
      <c r="A18" s="3218"/>
      <c r="B18" s="3215"/>
      <c r="C18" s="1428" t="s">
        <v>958</v>
      </c>
    </row>
    <row r="19" spans="1:3" ht="13.5">
      <c r="A19" s="3218"/>
      <c r="B19" s="3215"/>
      <c r="C19" s="1428" t="s">
        <v>959</v>
      </c>
    </row>
    <row r="20" spans="1:3" ht="13.5">
      <c r="A20" s="3219"/>
      <c r="B20" s="3214" t="s">
        <v>960</v>
      </c>
      <c r="C20" s="3213"/>
    </row>
    <row r="21" spans="1:3" ht="13.5">
      <c r="A21" s="1429" t="s">
        <v>961</v>
      </c>
      <c r="B21" s="1430"/>
      <c r="C21" s="1431"/>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8" t="s">
        <v>967</v>
      </c>
    </row>
    <row r="26" spans="1:3" ht="13.5">
      <c r="A26" s="3216"/>
      <c r="B26" s="3215"/>
      <c r="C26" s="1428" t="s">
        <v>968</v>
      </c>
    </row>
    <row r="27" spans="1:3" ht="13.5">
      <c r="A27" s="3216"/>
      <c r="B27" s="3215"/>
      <c r="C27" s="1428" t="s">
        <v>969</v>
      </c>
    </row>
    <row r="28" spans="1:3" ht="13.5">
      <c r="A28" s="3216"/>
      <c r="B28" s="3215"/>
      <c r="C28" s="1428" t="s">
        <v>970</v>
      </c>
    </row>
    <row r="29" spans="1:3" ht="13.5">
      <c r="A29" s="3216"/>
      <c r="B29" s="3215"/>
      <c r="C29" s="1428" t="s">
        <v>971</v>
      </c>
    </row>
    <row r="30" spans="1:3" ht="13.5">
      <c r="A30" s="3216"/>
      <c r="B30" s="3215"/>
      <c r="C30" s="1428" t="s">
        <v>972</v>
      </c>
    </row>
    <row r="31" spans="1:3" ht="13.5">
      <c r="A31" s="3216"/>
      <c r="B31" s="3215"/>
      <c r="C31" s="1428" t="s">
        <v>973</v>
      </c>
    </row>
    <row r="32" spans="1:3" ht="13.5">
      <c r="A32" s="3216"/>
      <c r="B32" s="3215"/>
      <c r="C32" s="1428" t="s">
        <v>974</v>
      </c>
    </row>
    <row r="33" spans="1:3" ht="13.5">
      <c r="A33" s="3216"/>
      <c r="B33" s="321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0" t="s">
        <v>2159</v>
      </c>
      <c r="B17" s="3220"/>
      <c r="C17" s="3220"/>
      <c r="D17" s="3220"/>
      <c r="E17" s="3220"/>
      <c r="F17" s="3220"/>
      <c r="G17" s="3220"/>
      <c r="H17" s="3220"/>
    </row>
    <row r="18" spans="1:8" ht="24" customHeight="1">
      <c r="A18" s="3221" t="s">
        <v>2160</v>
      </c>
      <c r="B18" s="3221"/>
      <c r="C18" s="3221"/>
      <c r="D18" s="2159"/>
      <c r="E18" s="3222" t="s">
        <v>2161</v>
      </c>
      <c r="F18" s="3221"/>
      <c r="G18" s="322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2024-10-25T06:28:21Z</dcterms:modified>
</cp:coreProperties>
</file>