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收益法工业!$A$1:$AK$69</definedName>
    <definedName name="_xlnm.Print_Area" localSheetId="24">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88" i="43" l="1"/>
  <c r="G87" i="43"/>
  <c r="G86" i="43"/>
  <c r="G85" i="43"/>
  <c r="G84" i="43"/>
  <c r="G83" i="43"/>
  <c r="G82" i="43"/>
  <c r="G81" i="43"/>
  <c r="D29" i="43"/>
  <c r="Q72" i="77"/>
  <c r="Q59" i="77"/>
  <c r="K59" i="77"/>
  <c r="P74" i="77" s="1"/>
  <c r="F59" i="77"/>
  <c r="Q58" i="77"/>
  <c r="Q51" i="77"/>
  <c r="J50" i="77"/>
  <c r="M47" i="77"/>
  <c r="D46" i="77"/>
  <c r="F33" i="77"/>
  <c r="F61" i="77" s="1"/>
  <c r="F31" i="77"/>
  <c r="F23" i="77"/>
  <c r="D23" i="77" s="1"/>
  <c r="F21" i="77"/>
  <c r="F20" i="77"/>
  <c r="M19" i="77"/>
  <c r="F18" i="77"/>
  <c r="M17" i="77"/>
  <c r="F17" i="77"/>
  <c r="F15" i="77"/>
  <c r="G1" i="77"/>
  <c r="Y7" i="1"/>
  <c r="Y6" i="1"/>
  <c r="N7" i="1"/>
  <c r="N6" i="1"/>
  <c r="O19" i="1"/>
  <c r="O20" i="1"/>
  <c r="F20" i="6"/>
  <c r="F19" i="6"/>
  <c r="F6" i="77"/>
  <c r="D24" i="77" l="1"/>
  <c r="P61" i="77"/>
  <c r="D22" i="77"/>
  <c r="M28" i="77"/>
  <c r="C14" i="77"/>
  <c r="M26" i="77"/>
  <c r="F43" i="77"/>
  <c r="J15" i="77"/>
  <c r="F26" i="77"/>
  <c r="C76" i="77"/>
  <c r="M22" i="77"/>
  <c r="F38" i="77"/>
  <c r="M23" i="77"/>
  <c r="F40" i="77"/>
  <c r="M9" i="77"/>
  <c r="F13" i="77"/>
  <c r="L47" i="77"/>
  <c r="F9" i="77"/>
  <c r="F36" i="77"/>
  <c r="F16" i="77"/>
  <c r="M24" i="77"/>
  <c r="F37" i="77"/>
  <c r="M8" i="77"/>
  <c r="F42" i="77"/>
  <c r="F7" i="77"/>
  <c r="M29" i="77"/>
  <c r="M6" i="77"/>
  <c r="F8" i="77"/>
  <c r="M27" i="77"/>
  <c r="C27" i="77" l="1"/>
  <c r="F65" i="77"/>
  <c r="F51" i="77"/>
  <c r="C6" i="77"/>
  <c r="F68" i="77"/>
  <c r="F71" i="77"/>
  <c r="F64" i="77"/>
  <c r="F66" i="77"/>
  <c r="C18" i="77"/>
  <c r="C15" i="77"/>
  <c r="F50" i="77"/>
  <c r="M7" i="77"/>
  <c r="J6" i="77" s="1"/>
  <c r="Q71" i="77"/>
  <c r="C17" i="77"/>
  <c r="C16" i="77"/>
  <c r="C19" i="77" l="1"/>
  <c r="C49" i="77"/>
  <c r="C20" i="77" l="1"/>
  <c r="C26" i="77" s="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E10" i="76"/>
  <c r="E12" i="76"/>
  <c r="B7" i="76"/>
  <c r="B8" i="76"/>
  <c r="B11" i="76"/>
  <c r="B10" i="76"/>
  <c r="E8" i="76"/>
  <c r="B12" i="76"/>
  <c r="E13" i="76"/>
  <c r="B13" i="76"/>
  <c r="E11" i="76"/>
  <c r="E9" i="76"/>
  <c r="E7"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4" i="73"/>
  <c r="D6" i="73"/>
  <c r="F5" i="73"/>
  <c r="F3" i="73"/>
  <c r="I1" i="73" l="1"/>
  <c r="B39" i="1" s="1"/>
  <c r="D4" i="73"/>
  <c r="D3" i="73"/>
  <c r="D5" i="73"/>
  <c r="D7"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88" i="43"/>
  <c r="N88" i="43" s="1"/>
  <c r="K88" i="43"/>
  <c r="D88" i="43" s="1"/>
  <c r="M87" i="43"/>
  <c r="N87" i="43"/>
  <c r="K87" i="43"/>
  <c r="J87" i="43"/>
  <c r="D87" i="43" s="1"/>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1" i="3"/>
  <c r="AZ299" i="3"/>
  <c r="BO5" i="3"/>
  <c r="BJ5" i="3"/>
  <c r="BF5" i="3"/>
  <c r="AZ309" i="3"/>
  <c r="AZ325" i="3"/>
  <c r="AZ341" i="3"/>
  <c r="AC5" i="3"/>
  <c r="G548" i="3"/>
  <c r="G520" i="3"/>
  <c r="BS5" i="3"/>
  <c r="BN5" i="3"/>
  <c r="BK5" i="3"/>
  <c r="BG5" i="3"/>
  <c r="BC5" i="3"/>
  <c r="G17" i="3"/>
  <c r="BA17" i="3"/>
  <c r="AZ350" i="3"/>
  <c r="AZ356" i="3"/>
  <c r="AZ364" i="3"/>
  <c r="AZ368" i="3"/>
  <c r="BA15" i="3"/>
  <c r="BR5" i="3"/>
  <c r="AZ384" i="3"/>
  <c r="AZ392" i="3"/>
  <c r="AZ396" i="3"/>
  <c r="AZ394" i="3"/>
  <c r="G509" i="3"/>
  <c r="AZ491" i="3"/>
  <c r="AZ390" i="3"/>
  <c r="N4" i="43"/>
  <c r="F36" i="43"/>
  <c r="H113" i="43"/>
  <c r="N7" i="43"/>
  <c r="F70" i="43"/>
  <c r="H73" i="43" s="1"/>
  <c r="M6" i="43"/>
  <c r="M11" i="43"/>
  <c r="E17" i="43"/>
  <c r="I17" i="43"/>
  <c r="J17" i="43"/>
  <c r="F6" i="1"/>
  <c r="I20" i="43" s="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80"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L48" i="77"/>
  <c r="C7" i="34" l="1"/>
  <c r="J51" i="15"/>
  <c r="L58" i="77"/>
  <c r="G7" i="1"/>
  <c r="J53" i="77"/>
  <c r="L59" i="77"/>
  <c r="J57" i="77"/>
  <c r="J55" i="77" s="1"/>
  <c r="J58" i="77" s="1"/>
  <c r="Q50" i="77" s="1"/>
  <c r="N59" i="77"/>
  <c r="I54" i="77"/>
  <c r="J88" i="43"/>
  <c r="J81" i="43"/>
  <c r="M20" i="15"/>
  <c r="M20" i="77"/>
  <c r="F34" i="77"/>
  <c r="F62" i="77" s="1"/>
  <c r="F29" i="6"/>
  <c r="F35" i="43"/>
  <c r="F39" i="43"/>
  <c r="A15" i="62"/>
  <c r="B61" i="72" s="1"/>
  <c r="AZ557" i="3"/>
  <c r="AZ526" i="3"/>
  <c r="AZ512" i="3"/>
  <c r="G28" i="6"/>
  <c r="S25" i="21"/>
  <c r="AA25" i="21"/>
  <c r="AZ520" i="3"/>
  <c r="AZ567" i="3"/>
  <c r="AZ587" i="3"/>
  <c r="AC14" i="37"/>
  <c r="W14" i="37"/>
  <c r="U37" i="34"/>
  <c r="AB37" i="34"/>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W16" i="36"/>
  <c r="AC16" i="36"/>
  <c r="J25" i="36"/>
  <c r="W25" i="36" s="1"/>
  <c r="H25" i="36"/>
  <c r="AB25" i="36" s="1"/>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L564" i="3"/>
  <c r="BA564" i="3"/>
  <c r="AZ564" i="3" s="1"/>
  <c r="BA562" i="3"/>
  <c r="AZ562" i="3" s="1"/>
  <c r="BL556" i="3"/>
  <c r="BA541" i="3"/>
  <c r="BA537" i="3"/>
  <c r="BA533" i="3"/>
  <c r="BA529" i="3"/>
  <c r="BA525" i="3"/>
  <c r="BA521" i="3"/>
  <c r="BA518" i="3"/>
  <c r="AZ518" i="3" s="1"/>
  <c r="BL516" i="3"/>
  <c r="AZ516" i="3" s="1"/>
  <c r="BL514" i="3"/>
  <c r="BA514" i="3"/>
  <c r="AZ514" i="3" s="1"/>
  <c r="BL505" i="3"/>
  <c r="BA505" i="3"/>
  <c r="BA500" i="3"/>
  <c r="AZ500" i="3" s="1"/>
  <c r="BA497" i="3"/>
  <c r="AZ497" i="3" s="1"/>
  <c r="BL496" i="3"/>
  <c r="AZ496" i="3" s="1"/>
  <c r="BA494" i="3"/>
  <c r="AZ494" i="3" s="1"/>
  <c r="AZ362" i="3"/>
  <c r="S41" i="34"/>
  <c r="AA41" i="34"/>
  <c r="AZ559" i="3"/>
  <c r="AZ569" i="3"/>
  <c r="AZ498" i="3"/>
  <c r="AZ510" i="3"/>
  <c r="U11" i="36"/>
  <c r="AB11" i="36"/>
  <c r="AB32" i="33"/>
  <c r="U32" i="33"/>
  <c r="AB40" i="39"/>
  <c r="U40" i="39"/>
  <c r="W45" i="39"/>
  <c r="AC45" i="39"/>
  <c r="U38" i="21"/>
  <c r="AB38" i="21"/>
  <c r="B74" i="43"/>
  <c r="C27" i="39"/>
  <c r="AB35" i="33"/>
  <c r="U35" i="33"/>
  <c r="AB8" i="35"/>
  <c r="U8" i="35"/>
  <c r="AC28" i="36"/>
  <c r="W28" i="36"/>
  <c r="F32" i="36"/>
  <c r="J32" i="36"/>
  <c r="S31" i="36"/>
  <c r="AA31" i="36"/>
  <c r="AC26" i="37"/>
  <c r="W26" i="37"/>
  <c r="BA565" i="3"/>
  <c r="BL563" i="3"/>
  <c r="AZ563" i="3" s="1"/>
  <c r="BL561" i="3"/>
  <c r="BA561" i="3"/>
  <c r="BA560" i="3"/>
  <c r="AZ560" i="3" s="1"/>
  <c r="BL558" i="3"/>
  <c r="AZ558" i="3" s="1"/>
  <c r="BA556" i="3"/>
  <c r="BA538" i="3"/>
  <c r="AZ538" i="3" s="1"/>
  <c r="BL536" i="3"/>
  <c r="AZ536" i="3" s="1"/>
  <c r="BL534" i="3"/>
  <c r="BA534" i="3"/>
  <c r="BL532" i="3"/>
  <c r="AZ532" i="3" s="1"/>
  <c r="BA530" i="3"/>
  <c r="AZ530" i="3" s="1"/>
  <c r="BL528" i="3"/>
  <c r="AZ528" i="3" s="1"/>
  <c r="BL526" i="3"/>
  <c r="BL524" i="3"/>
  <c r="AZ524" i="3" s="1"/>
  <c r="BA522" i="3"/>
  <c r="AZ522" i="3" s="1"/>
  <c r="BL521" i="3"/>
  <c r="BL519" i="3"/>
  <c r="BA519" i="3"/>
  <c r="BA515" i="3"/>
  <c r="AZ515" i="3" s="1"/>
  <c r="BL511" i="3"/>
  <c r="AZ511" i="3" s="1"/>
  <c r="BA511" i="3"/>
  <c r="BL509" i="3"/>
  <c r="AZ509" i="3" s="1"/>
  <c r="BL506" i="3"/>
  <c r="BA506" i="3"/>
  <c r="AZ506" i="3" s="1"/>
  <c r="BL504" i="3"/>
  <c r="AZ504" i="3" s="1"/>
  <c r="BA501" i="3"/>
  <c r="AZ501" i="3" s="1"/>
  <c r="BL498" i="3"/>
  <c r="BA493" i="3"/>
  <c r="AZ493" i="3" s="1"/>
  <c r="H75" i="43"/>
  <c r="AC35" i="21"/>
  <c r="U36" i="40"/>
  <c r="BL493" i="3"/>
  <c r="BB5" i="3"/>
  <c r="E8" i="6" s="1"/>
  <c r="AZ327" i="3"/>
  <c r="AZ310" i="3"/>
  <c r="AZ371" i="3"/>
  <c r="AZ336" i="3"/>
  <c r="AZ329" i="3"/>
  <c r="AZ321" i="3"/>
  <c r="AZ304"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AZ419" i="3"/>
  <c r="AZ422" i="3"/>
  <c r="AZ435" i="3"/>
  <c r="AZ438" i="3"/>
  <c r="AZ442" i="3"/>
  <c r="AZ451" i="3"/>
  <c r="AZ454" i="3"/>
  <c r="AZ458" i="3"/>
  <c r="AZ469" i="3"/>
  <c r="AZ486" i="3"/>
  <c r="AZ487"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90" i="3"/>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AZ395" i="3"/>
  <c r="AZ211" i="3"/>
  <c r="AZ220" i="3"/>
  <c r="AZ226" i="3"/>
  <c r="AZ230" i="3"/>
  <c r="AZ246" i="3"/>
  <c r="AZ258" i="3"/>
  <c r="AZ262" i="3"/>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AZ30" i="3"/>
  <c r="AZ49" i="3"/>
  <c r="AZ70" i="3"/>
  <c r="AZ122" i="3"/>
  <c r="AZ125" i="3"/>
  <c r="AZ153" i="3"/>
  <c r="AZ161" i="3"/>
  <c r="AZ169" i="3"/>
  <c r="AZ177" i="3"/>
  <c r="AZ185" i="3"/>
  <c r="AZ193" i="3"/>
  <c r="AZ201" i="3"/>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F42" i="15"/>
  <c r="F37" i="15"/>
  <c r="M28" i="67"/>
  <c r="M8" i="15"/>
  <c r="L47" i="67"/>
  <c r="F13" i="15"/>
  <c r="L48" i="15"/>
  <c r="F37" i="67"/>
  <c r="F36" i="67"/>
  <c r="F6" i="67"/>
  <c r="F26" i="67"/>
  <c r="J15" i="15"/>
  <c r="M6" i="15"/>
  <c r="L48" i="67"/>
  <c r="F40" i="15"/>
  <c r="M29" i="67"/>
  <c r="M29" i="15"/>
  <c r="M24" i="67"/>
  <c r="F6" i="15"/>
  <c r="F36" i="15"/>
  <c r="F8" i="15"/>
  <c r="F26" i="15"/>
  <c r="F42" i="67"/>
  <c r="M23" i="15"/>
  <c r="M9" i="67"/>
  <c r="M26" i="15"/>
  <c r="F38" i="15"/>
  <c r="F9" i="67"/>
  <c r="M6" i="67"/>
  <c r="M22" i="15"/>
  <c r="F7" i="67"/>
  <c r="L47" i="15"/>
  <c r="F16" i="67"/>
  <c r="F43" i="15"/>
  <c r="F38" i="67"/>
  <c r="F16" i="15"/>
  <c r="F40" i="67"/>
  <c r="F7" i="15"/>
  <c r="F8" i="67"/>
  <c r="M28" i="15"/>
  <c r="F43" i="67"/>
  <c r="F9" i="15"/>
  <c r="M9" i="15"/>
  <c r="C76" i="15"/>
  <c r="M8" i="67"/>
  <c r="M23" i="67"/>
  <c r="M26" i="67"/>
  <c r="J15" i="67"/>
  <c r="M22" i="67"/>
  <c r="M24" i="15"/>
  <c r="F13" i="67"/>
  <c r="G1" i="73"/>
  <c r="Q61" i="77" l="1"/>
  <c r="Q74" i="77"/>
  <c r="L56" i="77"/>
  <c r="Q52" i="77"/>
  <c r="F1" i="77"/>
  <c r="Q60" i="77"/>
  <c r="Q73" i="77"/>
  <c r="F81" i="43"/>
  <c r="H86" i="43" s="1"/>
  <c r="F48" i="43"/>
  <c r="H83" i="43"/>
  <c r="H87" i="43"/>
  <c r="F53" i="9"/>
  <c r="F28" i="77"/>
  <c r="C28" i="77" s="1"/>
  <c r="F32" i="77"/>
  <c r="M18" i="77"/>
  <c r="J18" i="77" s="1"/>
  <c r="F27" i="6"/>
  <c r="F31" i="6" s="1"/>
  <c r="E51" i="40"/>
  <c r="E56" i="39"/>
  <c r="D22" i="43"/>
  <c r="C6" i="43"/>
  <c r="E4" i="4"/>
  <c r="K4" i="4" s="1"/>
  <c r="B46" i="48" s="1"/>
  <c r="B4" i="72" s="1"/>
  <c r="AC25" i="37"/>
  <c r="W25" i="37"/>
  <c r="AC47" i="34"/>
  <c r="W47" i="34"/>
  <c r="S44" i="33"/>
  <c r="AA44" i="33"/>
  <c r="U12" i="33"/>
  <c r="AB12" i="33"/>
  <c r="W32" i="36"/>
  <c r="AC32" i="36"/>
  <c r="AZ521" i="3"/>
  <c r="AA40" i="40"/>
  <c r="S40" i="40"/>
  <c r="AB38" i="40"/>
  <c r="U38" i="40"/>
  <c r="AB39" i="37"/>
  <c r="U39" i="37"/>
  <c r="AZ572" i="3"/>
  <c r="AC32" i="40"/>
  <c r="W32" i="40"/>
  <c r="AA31" i="39"/>
  <c r="S31" i="39"/>
  <c r="U25" i="37"/>
  <c r="AB25" i="37"/>
  <c r="AC31" i="34"/>
  <c r="W31" i="34"/>
  <c r="U13" i="34"/>
  <c r="AB13" i="34"/>
  <c r="AB13" i="37"/>
  <c r="U13" i="37"/>
  <c r="AZ519" i="3"/>
  <c r="AZ534" i="3"/>
  <c r="AZ556" i="3"/>
  <c r="AZ561" i="3"/>
  <c r="AZ505" i="3"/>
  <c r="W40" i="40"/>
  <c r="AC40" i="40"/>
  <c r="AA38" i="40"/>
  <c r="S38" i="40"/>
  <c r="W33" i="40"/>
  <c r="AC33" i="40"/>
  <c r="AC31" i="40"/>
  <c r="W31" i="40"/>
  <c r="S39" i="37"/>
  <c r="AA39" i="37"/>
  <c r="U27" i="37"/>
  <c r="AB27" i="37"/>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15"/>
  <c r="C16" i="67"/>
  <c r="B5" i="62" l="1"/>
  <c r="B73" i="72" s="1"/>
  <c r="H82" i="43"/>
  <c r="H52" i="43"/>
  <c r="H49" i="43"/>
  <c r="H50" i="43"/>
  <c r="H53" i="43"/>
  <c r="H55" i="43"/>
  <c r="H56" i="43"/>
  <c r="H54" i="43"/>
  <c r="H48" i="43"/>
  <c r="H51" i="43"/>
  <c r="D5" i="43"/>
  <c r="H85" i="43"/>
  <c r="H84" i="43"/>
  <c r="H81" i="43"/>
  <c r="H88" i="43"/>
  <c r="F60" i="77"/>
  <c r="C60" i="77" s="1"/>
  <c r="C32" i="77"/>
  <c r="C24" i="77"/>
  <c r="C23" i="77"/>
  <c r="K16" i="1"/>
  <c r="E27" i="6"/>
  <c r="S5" i="43"/>
  <c r="S7" i="43"/>
  <c r="S4" i="43"/>
  <c r="S6" i="43"/>
  <c r="S2" i="43"/>
  <c r="S3" i="43"/>
  <c r="C23" i="43"/>
  <c r="C21" i="43" s="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7" l="1"/>
  <c r="C57" i="77"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I41" i="36" l="1"/>
  <c r="J41" i="36" s="1"/>
  <c r="J59" i="77"/>
  <c r="J60" i="77" s="1"/>
  <c r="Q48" i="77" s="1"/>
  <c r="C33" i="77"/>
  <c r="Q49" i="77"/>
  <c r="J14" i="77"/>
  <c r="J22" i="77" s="1"/>
  <c r="C13" i="77"/>
  <c r="C75" i="77" s="1"/>
  <c r="C36" i="77"/>
  <c r="J19" i="77"/>
  <c r="J13" i="77"/>
  <c r="J23" i="77" s="1"/>
  <c r="C64" i="77"/>
  <c r="C61" i="77"/>
  <c r="S6" i="1"/>
  <c r="M19" i="6"/>
  <c r="K27" i="6"/>
  <c r="S7" i="1"/>
  <c r="M20" i="6"/>
  <c r="I20" i="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7" i="15"/>
  <c r="E6" i="76"/>
  <c r="H9" i="68" l="1"/>
  <c r="B29" i="1"/>
  <c r="C56" i="77"/>
  <c r="C65" i="77" s="1"/>
  <c r="C37" i="77"/>
  <c r="Q70" i="77"/>
  <c r="E7" i="70"/>
  <c r="AQ7" i="1"/>
  <c r="T7" i="1"/>
  <c r="AR7" i="1"/>
  <c r="I19" i="6"/>
  <c r="M27" i="6"/>
  <c r="S20" i="6"/>
  <c r="H20" i="6"/>
  <c r="R20" i="6" s="1"/>
  <c r="R7" i="1" s="1"/>
  <c r="AQ6" i="1"/>
  <c r="T6" i="1"/>
  <c r="AR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77"/>
  <c r="F35" i="77"/>
  <c r="B6" i="76"/>
  <c r="C8" i="68" l="1"/>
  <c r="C18" i="12"/>
  <c r="C21" i="12" s="1"/>
  <c r="C22" i="12" s="1"/>
  <c r="C30" i="12" s="1"/>
  <c r="C28" i="12" s="1"/>
  <c r="C7" i="68"/>
  <c r="C5" i="68" s="1"/>
  <c r="J20" i="77"/>
  <c r="J17" i="77" s="1"/>
  <c r="J16" i="77" s="1"/>
  <c r="J25" i="77" s="1"/>
  <c r="F63" i="77"/>
  <c r="C62" i="77" s="1"/>
  <c r="C59" i="77" s="1"/>
  <c r="C58" i="77" s="1"/>
  <c r="C67" i="77" s="1"/>
  <c r="C34" i="77"/>
  <c r="C31" i="77" s="1"/>
  <c r="C30" i="77" s="1"/>
  <c r="C39" i="77" s="1"/>
  <c r="C80" i="77" s="1"/>
  <c r="C79" i="77" s="1"/>
  <c r="H19" i="6"/>
  <c r="I27" i="6"/>
  <c r="S19" i="6"/>
  <c r="S27" i="6" s="1"/>
  <c r="I5" i="6"/>
  <c r="B2" i="76"/>
  <c r="B3" i="76" s="1"/>
  <c r="B3" i="43"/>
  <c r="C49" i="21"/>
  <c r="F63" i="67"/>
  <c r="C62" i="67" s="1"/>
  <c r="C34" i="67"/>
  <c r="J20" i="67"/>
  <c r="C24" i="68"/>
  <c r="C33" i="68"/>
  <c r="I63" i="40"/>
  <c r="H65" i="40"/>
  <c r="C39" i="11"/>
  <c r="C43" i="11" s="1"/>
  <c r="C41" i="11" s="1"/>
  <c r="I70" i="39"/>
  <c r="L51" i="77"/>
  <c r="C23" i="68" l="1"/>
  <c r="C20" i="68"/>
  <c r="C28" i="68" s="1"/>
  <c r="C27" i="68" s="1"/>
  <c r="Q69" i="77"/>
  <c r="Q68" i="77" s="1"/>
  <c r="Q67" i="77"/>
  <c r="L57" i="77"/>
  <c r="L60" i="77" s="1"/>
  <c r="L46" i="77" s="1"/>
  <c r="H27" i="6"/>
  <c r="R19" i="6"/>
  <c r="C25" i="68"/>
  <c r="C27" i="12"/>
  <c r="C25" i="12" s="1"/>
  <c r="C32" i="12" s="1"/>
  <c r="B2" i="12" s="1"/>
  <c r="B3" i="12" s="1"/>
  <c r="C39" i="68"/>
  <c r="C43" i="68" s="1"/>
  <c r="C42" i="68"/>
  <c r="J63" i="40"/>
  <c r="I65" i="40"/>
  <c r="C46" i="11"/>
  <c r="C45" i="11" s="1"/>
  <c r="C49" i="11" s="1"/>
  <c r="C51" i="11" s="1"/>
  <c r="C52" i="11" s="1"/>
  <c r="B2" i="11" s="1"/>
  <c r="B3" i="11" s="1"/>
  <c r="J70" i="39"/>
  <c r="C22" i="68" l="1"/>
  <c r="C31" i="68" s="1"/>
  <c r="Q66" i="77"/>
  <c r="Q57" i="77"/>
  <c r="R27" i="6"/>
  <c r="R6" i="1"/>
  <c r="C41" i="68"/>
  <c r="C46" i="68"/>
  <c r="C45" i="68" s="1"/>
  <c r="K63" i="40"/>
  <c r="J65" i="40"/>
  <c r="K70" i="39"/>
  <c r="C56" i="11"/>
  <c r="C57" i="11" s="1"/>
  <c r="F35" i="15"/>
  <c r="M21" i="15"/>
  <c r="J20" i="15" l="1"/>
  <c r="F63" i="15"/>
  <c r="C62" i="15" s="1"/>
  <c r="C34" i="15"/>
  <c r="R16" i="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M27" i="67"/>
  <c r="M27" i="15"/>
  <c r="F41" i="15"/>
  <c r="F41" i="67"/>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D2" i="37"/>
  <c r="D2" i="33"/>
  <c r="D2" i="36"/>
  <c r="D2" i="35"/>
  <c r="C19" i="9"/>
  <c r="D2" i="21"/>
  <c r="E2" i="68"/>
  <c r="F20" i="31"/>
  <c r="D2" i="34"/>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D126" i="9"/>
  <c r="D19" i="53"/>
  <c r="P57" i="9" l="1"/>
  <c r="N59" i="9"/>
  <c r="N58" i="9"/>
  <c r="B38" i="72"/>
  <c r="D20" i="53"/>
  <c r="B40" i="72" s="1"/>
  <c r="I14" i="74"/>
  <c r="B8" i="74" s="1"/>
  <c r="D12" i="52"/>
  <c r="D127" i="9"/>
  <c r="D13" i="52" s="1"/>
  <c r="AD3" i="71"/>
  <c r="P21" i="43" s="1"/>
  <c r="H111" i="9" l="1"/>
  <c r="N60" i="9"/>
  <c r="N61" i="9"/>
  <c r="H112" i="9" s="1"/>
  <c r="D21" i="53" s="1"/>
  <c r="B39" i="72" s="1"/>
  <c r="D8" i="74"/>
  <c r="C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<sst xmlns="http://schemas.openxmlformats.org/spreadsheetml/2006/main" count="7752" uniqueCount="3114">
  <si>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</si>
  <si>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</si>
  <si>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</si>
  <si>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</si>
  <si>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</si>
  <si>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</si>
  <si>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</si>
  <si>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</si>
  <si>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</si>
  <si>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</si>
  <si>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</si>
  <si>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</si>
  <si>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</si>
  <si>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</si>
  <si>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</si>
  <si>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</si>
  <si>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</si>
  <si>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</si>
  <si>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</si>
  <si>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</si>
  <si>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</si>
  <si>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</si>
  <si>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</si>
  <si>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</si>
  <si>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</si>
  <si>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</si>
  <si>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</si>
  <si>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</si>
  <si>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</si>
  <si>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</si>
  <si>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</si>
  <si>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</si>
  <si>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</si>
  <si>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</si>
  <si>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</si>
  <si>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</si>
  <si>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</si>
  <si>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</si>
  <si>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</si>
  <si>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</si>
  <si>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</si>
  <si>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</si>
  <si>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</si>
  <si>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</si>
  <si>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</si>
  <si>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</si>
  <si>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</si>
  <si>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</si>
  <si>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</si>
  <si>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</si>
  <si>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</si>
  <si>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</si>
  <si>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</si>
  <si>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</si>
  <si>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</si>
  <si>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</si>
  <si>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</si>
  <si>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</si>
  <si>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</si>
  <si>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</si>
  <si>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</si>
  <si>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</si>
  <si>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</si>
  <si>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</si>
  <si>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</si>
  <si>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</si>
  <si>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</si>
  <si>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</si>
  <si>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</si>
  <si>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</si>
  <si>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</si>
  <si>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</si>
  <si>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</si>
  <si>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</si>
  <si>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</si>
  <si>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</si>
  <si>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</si>
  <si>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</si>
  <si>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</si>
  <si>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</si>
  <si>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</si>
  <si>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</si>
  <si>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</si>
  <si>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</si>
  <si>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</si>
  <si>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</si>
  <si>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</si>
  <si>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</si>
  <si>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</si>
  <si>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</si>
  <si>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</si>
  <si>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</si>
  <si>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</si>
  <si>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</si>
  <si>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</si>
  <si>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</si>
  <si>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</si>
  <si>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</si>
  <si>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</si>
  <si>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</si>
  <si>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</si>
  <si>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</si>
  <si>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</si>
  <si>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</si>
  <si>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</si>
  <si>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</si>
  <si>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</si>
  <si>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</si>
  <si>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</si>
  <si>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</si>
  <si>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</si>
  <si>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</si>
  <si>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</si>
  <si>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</si>
  <si>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</si>
  <si>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</si>
  <si>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</si>
  <si>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</si>
  <si>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</si>
  <si>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</si>
  <si>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</si>
  <si>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</si>
  <si>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</si>
  <si>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</si>
  <si>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</si>
  <si>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</si>
  <si>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</si>
  <si>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</si>
  <si>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</si>
  <si>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</si>
  <si>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</si>
  <si>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</si>
  <si>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</si>
  <si>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</si>
  <si>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</si>
  <si>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</si>
  <si>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</si>
  <si>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</si>
  <si>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</si>
  <si>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</si>
  <si>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</si>
  <si>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</si>
  <si>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</si>
  <si>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</si>
  <si>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</si>
  <si>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</si>
  <si>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</si>
  <si>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</si>
  <si>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</si>
  <si>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</si>
  <si>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</si>
  <si>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</si>
  <si>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</si>
  <si>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</si>
  <si>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</si>
  <si>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</si>
  <si>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</si>
  <si>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</si>
  <si>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</si>
  <si>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</si>
  <si>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</si>
  <si>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</si>
  <si>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</si>
  <si>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</si>
  <si>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</si>
  <si>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</si>
  <si>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</si>
  <si>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</si>
  <si>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</si>
  <si>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</si>
  <si>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</si>
  <si>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</si>
  <si>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</si>
  <si>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</si>
  <si>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</si>
  <si>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</si>
  <si>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</si>
  <si>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</si>
  <si>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</si>
  <si>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</si>
  <si>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</si>
  <si>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</si>
  <si>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</si>
  <si>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</si>
  <si>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</si>
  <si>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</si>
  <si>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</si>
  <si>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</si>
  <si>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</si>
  <si>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</si>
  <si>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</si>
  <si>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</si>
  <si>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</si>
  <si>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</si>
  <si>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</si>
  <si>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</si>
  <si>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</si>
  <si>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</si>
  <si>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</si>
  <si>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</si>
  <si>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</si>
  <si>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</si>
  <si>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</si>
  <si>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</si>
  <si>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</si>
  <si>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</si>
  <si>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</si>
  <si>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</si>
  <si>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</si>
  <si>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</si>
  <si>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</si>
  <si>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</si>
  <si>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</si>
  <si>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</si>
  <si>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</si>
  <si>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</si>
  <si>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</si>
  <si>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</si>
  <si>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</si>
  <si>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</si>
  <si>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</si>
  <si>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</si>
  <si>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</si>
  <si>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</si>
  <si>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</si>
  <si>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</si>
  <si>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</si>
  <si>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</si>
  <si>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</si>
  <si>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</si>
  <si>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</si>
  <si>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</si>
  <si>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</si>
  <si>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</si>
  <si>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</si>
  <si>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</si>
  <si>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</si>
  <si>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</si>
  <si>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</si>
  <si>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</si>
  <si>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</si>
  <si>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</si>
  <si>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</si>
  <si>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</si>
  <si>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</si>
  <si>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</si>
  <si>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</si>
  <si>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</si>
  <si>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</si>
  <si>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</si>
  <si>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</si>
  <si>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</si>
  <si>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</si>
  <si>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</si>
  <si>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</si>
  <si>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</si>
  <si>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</si>
  <si>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</si>
  <si>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</si>
  <si>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</si>
  <si>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</si>
  <si>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</si>
  <si>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</si>
  <si>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</si>
  <si>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</si>
  <si>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</si>
  <si>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</si>
  <si>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</si>
  <si>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</si>
  <si>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</si>
  <si>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</si>
  <si>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</si>
  <si>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</si>
  <si>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</si>
  <si>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</si>
  <si>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</si>
  <si>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</si>
  <si>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</si>
  <si>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</si>
  <si>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</si>
  <si>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</si>
  <si>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</si>
  <si>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</si>
  <si>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</si>
  <si>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</si>
  <si>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</si>
  <si>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</si>
  <si>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</si>
  <si>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</si>
  <si>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</si>
  <si>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</si>
  <si>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</si>
  <si>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</si>
  <si>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</si>
  <si>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</si>
  <si>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</si>
  <si>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</si>
  <si>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</si>
  <si>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</si>
  <si>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</si>
  <si>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</si>
  <si>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</si>
  <si>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</si>
  <si>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</si>
  <si>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</si>
  <si>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</si>
  <si>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</si>
  <si>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</si>
  <si>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</si>
  <si>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</si>
  <si>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</si>
  <si>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</si>
  <si>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</si>
  <si>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</si>
  <si>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</si>
  <si>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</si>
  <si>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</si>
  <si>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</si>
  <si>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</si>
  <si>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</si>
  <si>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</si>
  <si>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</si>
  <si>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</si>
  <si>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</si>
  <si>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</si>
  <si>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</si>
  <si>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</si>
  <si>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</si>
  <si>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</si>
  <si>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</si>
  <si>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</si>
  <si>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</si>
  <si>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</si>
  <si>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</si>
  <si>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</si>
  <si>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</si>
  <si>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</si>
  <si>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</si>
  <si>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</si>
  <si>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</si>
  <si>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</si>
  <si>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</si>
  <si>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</si>
  <si>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</si>
  <si>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</si>
  <si>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</si>
  <si>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</si>
  <si>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</si>
  <si>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</si>
  <si>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</si>
  <si>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</si>
  <si>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</si>
  <si>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</si>
  <si>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</si>
  <si>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</si>
  <si>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</si>
  <si>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</si>
  <si>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</si>
  <si>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</si>
  <si>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</si>
  <si>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</si>
  <si>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</si>
  <si>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</si>
  <si>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</si>
  <si>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</si>
  <si>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</si>
  <si>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</si>
  <si>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</si>
  <si>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</si>
  <si>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</si>
  <si>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</si>
  <si>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</si>
  <si>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</si>
  <si>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</si>
  <si>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</si>
  <si>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</si>
  <si>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</si>
  <si>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</si>
  <si>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</si>
  <si>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</si>
  <si>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</si>
  <si>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</si>
  <si>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</si>
  <si>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</si>
  <si>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</si>
  <si>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</si>
  <si>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</si>
  <si>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</si>
  <si>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</si>
  <si>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</si>
  <si>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</si>
  <si>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</si>
  <si>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</si>
  <si>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</si>
  <si>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</si>
  <si>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</si>
  <si>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</si>
  <si>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</si>
  <si>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</si>
  <si>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</si>
  <si>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</si>
  <si>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</si>
  <si>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</si>
  <si>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</si>
  <si>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</si>
  <si>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</si>
  <si>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</si>
  <si>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</si>
  <si>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</si>
  <si>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</si>
  <si>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</si>
  <si>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</si>
  <si>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</si>
  <si>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</si>
  <si>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</si>
  <si>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</si>
  <si>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</si>
  <si>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</si>
  <si>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</si>
  <si>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</si>
  <si>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</si>
  <si>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</si>
  <si>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</si>
  <si>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</si>
  <si>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</si>
  <si>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</si>
  <si>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</si>
  <si>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</si>
  <si>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</si>
  <si>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</si>
  <si>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</si>
  <si>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</si>
  <si>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</si>
  <si>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</si>
  <si>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</si>
  <si>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</si>
  <si>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</si>
  <si>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</si>
  <si>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</si>
  <si>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</si>
  <si>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</si>
  <si>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</si>
  <si>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</si>
  <si>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</si>
  <si>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</si>
  <si>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</si>
  <si>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</si>
  <si>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</si>
  <si>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</si>
  <si>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</si>
  <si>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</si>
  <si>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</si>
  <si>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</si>
  <si>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</si>
  <si>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</si>
  <si>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</si>
  <si>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</si>
  <si>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</si>
  <si>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</si>
  <si>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</si>
  <si>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</si>
  <si>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</si>
  <si>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</si>
  <si>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</si>
  <si>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</si>
  <si>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</si>
  <si>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</si>
  <si>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</si>
  <si>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</si>
  <si>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</si>
  <si>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</si>
  <si>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</si>
  <si>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</si>
  <si>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</si>
  <si>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</si>
  <si>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</si>
  <si>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</si>
  <si>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</si>
  <si>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</si>
  <si>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</si>
  <si>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</si>
  <si>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</si>
  <si>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</si>
  <si>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</si>
  <si>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</si>
  <si>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</si>
  <si>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</si>
  <si>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</si>
  <si>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</si>
  <si>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</si>
  <si>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</si>
  <si>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</si>
  <si>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</si>
  <si>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</si>
  <si>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</si>
  <si>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</si>
  <si>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</si>
  <si>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</si>
  <si>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</si>
  <si>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</si>
  <si>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</si>
  <si>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</si>
  <si>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</si>
  <si>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</si>
  <si>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</si>
  <si>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</si>
  <si>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</si>
  <si>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</si>
  <si>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</si>
  <si>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</si>
  <si>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</si>
  <si>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</si>
  <si>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</si>
  <si>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</si>
  <si>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</si>
  <si>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</si>
  <si>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</si>
  <si>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</si>
  <si>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</si>
  <si>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</si>
  <si>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</si>
  <si>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</si>
  <si>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</si>
  <si>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</si>
  <si>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</si>
  <si>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</si>
  <si>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</si>
  <si>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</si>
  <si>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</si>
  <si>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</si>
  <si>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</si>
  <si>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</si>
  <si>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</si>
  <si>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</si>
  <si>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</si>
  <si>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</si>
  <si>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</si>
  <si>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</si>
  <si>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</si>
  <si>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</si>
  <si>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</si>
  <si>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</si>
  <si>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</si>
  <si>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</si>
  <si>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</si>
  <si>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</si>
  <si>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</si>
  <si>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</si>
  <si>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</si>
  <si>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</si>
  <si>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</si>
  <si>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</si>
  <si>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</si>
  <si>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</si>
  <si>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</si>
  <si>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</si>
  <si>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</si>
  <si>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</si>
  <si>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</si>
  <si>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</si>
  <si>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</si>
  <si>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</si>
  <si>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</si>
  <si>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</si>
  <si>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</si>
  <si>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</si>
  <si>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</si>
  <si>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</si>
  <si>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</si>
  <si>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</si>
  <si>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</si>
  <si>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</si>
  <si>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</si>
  <si>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</si>
  <si>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</si>
  <si>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</si>
  <si>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</si>
  <si>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</si>
  <si>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</si>
  <si>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</si>
  <si>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</si>
  <si>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</si>
  <si>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</si>
  <si>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</si>
  <si>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</si>
  <si>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</si>
  <si>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</si>
  <si>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</si>
  <si>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</si>
  <si>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</si>
  <si>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</si>
  <si>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</si>
  <si>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</si>
  <si>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</si>
  <si>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</si>
  <si>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</si>
  <si>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</si>
  <si>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</si>
  <si>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</si>
  <si>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</si>
  <si>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</si>
  <si>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</si>
  <si>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</si>
  <si>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</si>
  <si>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</si>
  <si>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</si>
  <si>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</si>
  <si>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</si>
  <si>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</si>
  <si>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</si>
  <si>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</si>
  <si>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</si>
  <si>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</si>
  <si>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</si>
  <si>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</si>
  <si>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</si>
  <si>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</si>
  <si>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</si>
  <si>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</si>
  <si>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</si>
  <si>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</si>
  <si>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</si>
  <si>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</si>
  <si>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</si>
  <si>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</si>
  <si>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</si>
  <si>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</si>
  <si>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</si>
  <si>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</si>
  <si>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</si>
  <si>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</si>
  <si>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</si>
  <si>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</si>
  <si>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</si>
  <si>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</si>
  <si>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</si>
  <si>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</si>
  <si>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</si>
  <si>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</si>
  <si>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</si>
  <si>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</si>
  <si>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</si>
  <si>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</si>
  <si>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</si>
  <si>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</si>
  <si>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</si>
  <si>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</si>
  <si>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</si>
  <si>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</si>
  <si>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</si>
  <si>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</si>
  <si>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</si>
  <si>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</si>
  <si>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</si>
  <si>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</si>
  <si>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</si>
  <si>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</si>
  <si>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</si>
  <si>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</si>
  <si>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</si>
  <si>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</si>
  <si>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</si>
  <si>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</si>
  <si>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</si>
  <si>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</si>
  <si>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</si>
  <si>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</si>
  <si>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</si>
  <si>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</si>
  <si>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</si>
  <si>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</si>
  <si>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</si>
  <si>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</si>
  <si>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</si>
  <si>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</si>
  <si>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</si>
  <si>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</si>
  <si>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</si>
  <si>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</si>
  <si>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</si>
  <si>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</si>
  <si>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</si>
  <si>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</si>
  <si>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</si>
  <si>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</si>
  <si>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</si>
  <si>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</si>
  <si>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</si>
  <si>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</si>
  <si>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</si>
  <si>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</si>
  <si>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</si>
  <si>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</si>
  <si>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</si>
  <si>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</si>
  <si>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</si>
  <si>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</si>
  <si>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</si>
  <si>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</si>
  <si>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</si>
  <si>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</si>
  <si>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</si>
  <si>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</si>
  <si>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</si>
  <si>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</si>
  <si>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</si>
  <si>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</si>
  <si>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</si>
  <si>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</si>
  <si>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</si>
  <si>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</si>
  <si>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</si>
  <si>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</si>
  <si>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</si>
  <si>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</si>
  <si>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</si>
  <si>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</si>
  <si>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</si>
  <si>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</si>
  <si>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</si>
  <si>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</si>
  <si>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</si>
  <si>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</si>
  <si>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</si>
  <si>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</si>
  <si>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</si>
  <si>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</si>
  <si>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</si>
  <si>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</si>
  <si>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</si>
  <si>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</si>
  <si>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</si>
  <si>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</si>
  <si>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</si>
  <si>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</si>
  <si>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</si>
  <si>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</si>
  <si>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</si>
  <si>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</si>
  <si>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</si>
  <si>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</si>
  <si>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</si>
  <si>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</si>
  <si>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</si>
  <si>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</si>
  <si>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</si>
  <si>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</si>
  <si>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</si>
  <si>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</si>
  <si>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</si>
  <si>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</si>
  <si>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</si>
  <si>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</si>
  <si>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</si>
  <si>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</si>
  <si>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</si>
  <si>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</si>
  <si>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</si>
  <si>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</si>
  <si>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</si>
  <si>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</si>
  <si>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</si>
  <si>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</si>
  <si>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</si>
  <si>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</si>
  <si>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</si>
  <si>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</si>
  <si>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</si>
  <si>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</si>
  <si>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</si>
  <si>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</si>
  <si>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</si>
  <si>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</si>
  <si>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</si>
  <si>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</si>
  <si>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</si>
  <si>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</si>
  <si>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</si>
  <si>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</si>
  <si>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</si>
  <si>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</si>
  <si>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</si>
  <si>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</si>
  <si>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</si>
  <si>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</si>
  <si>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</si>
  <si>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</si>
  <si>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</si>
  <si>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</si>
  <si>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</si>
  <si>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</si>
  <si>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</si>
  <si>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</si>
  <si>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</si>
  <si>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</si>
  <si>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</si>
  <si>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</si>
  <si>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</si>
  <si>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</si>
  <si>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</si>
  <si>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</si>
  <si>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</si>
  <si>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</si>
  <si>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</si>
  <si>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</si>
  <si>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</si>
  <si>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</si>
  <si>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</si>
  <si>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</si>
  <si>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</si>
  <si>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</si>
  <si>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</si>
  <si>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</si>
  <si>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</si>
  <si>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</si>
  <si>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</si>
  <si>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</si>
  <si>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</si>
  <si>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</si>
  <si>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</si>
  <si>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</si>
  <si>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</si>
  <si>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</si>
  <si>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</si>
  <si>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</si>
  <si>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</si>
  <si>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</si>
  <si>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</si>
  <si>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</si>
  <si>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</si>
  <si>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</si>
  <si>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</si>
  <si>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</si>
  <si>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</si>
  <si>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</si>
  <si>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</si>
  <si>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</si>
  <si>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</si>
  <si>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</si>
  <si>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</si>
  <si>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</si>
  <si>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</si>
  <si>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</si>
  <si>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</si>
  <si>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</si>
  <si>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</si>
  <si>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</si>
  <si>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</si>
  <si>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</si>
  <si>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</si>
  <si>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</si>
  <si>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</si>
  <si>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</si>
  <si>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</si>
  <si>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</si>
  <si>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</si>
  <si>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</si>
  <si>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</si>
  <si>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</si>
  <si>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</si>
  <si>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</si>
  <si>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</si>
  <si>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</si>
  <si>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</si>
  <si>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</si>
  <si>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</si>
  <si>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</si>
  <si>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</si>
  <si>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</si>
  <si>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</si>
  <si>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</si>
  <si>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</si>
  <si>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</si>
  <si>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</si>
  <si>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</si>
  <si>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</si>
  <si>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</si>
  <si>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</si>
  <si>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</si>
  <si>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</si>
  <si>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</si>
  <si>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</si>
  <si>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</si>
  <si>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</si>
  <si>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</si>
  <si>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</si>
  <si>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</si>
  <si>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</si>
  <si>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</si>
  <si>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</si>
  <si>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</si>
  <si>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</si>
  <si>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</si>
  <si>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</si>
  <si>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</si>
  <si>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</si>
  <si>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</si>
  <si>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</si>
  <si>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</si>
  <si>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</si>
  <si>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</si>
  <si>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</si>
  <si>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</si>
  <si>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</si>
  <si>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</si>
  <si>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</si>
  <si>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</si>
  <si>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</si>
  <si>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</si>
  <si>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</si>
  <si>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</si>
  <si>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</si>
  <si>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</si>
  <si>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</si>
  <si>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</si>
  <si>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</si>
  <si>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</si>
  <si>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</si>
  <si>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</si>
  <si>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</si>
  <si>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</si>
  <si>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</si>
  <si>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</si>
  <si>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</si>
  <si>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</si>
  <si>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</si>
  <si>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</si>
  <si>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</si>
  <si>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</si>
  <si>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</si>
  <si>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</si>
  <si>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</si>
  <si>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</si>
  <si>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</si>
  <si>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</si>
  <si>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</si>
  <si>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</si>
  <si>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</si>
  <si>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</si>
  <si>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</si>
  <si>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</si>
  <si>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</si>
  <si>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</si>
  <si>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</si>
  <si>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</si>
  <si>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</si>
  <si>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</si>
  <si>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</si>
  <si>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</si>
  <si>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</si>
  <si>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</si>
  <si>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</si>
  <si>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</si>
  <si>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</si>
  <si>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</si>
  <si>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</si>
  <si>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</si>
  <si>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</si>
  <si>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</si>
  <si>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</si>
  <si>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</si>
  <si>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</si>
  <si>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</si>
  <si>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</si>
  <si>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</si>
  <si>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</si>
  <si>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</si>
  <si>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</si>
  <si>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</si>
  <si>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</si>
  <si>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</si>
  <si>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</si>
  <si>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</si>
  <si>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</si>
  <si>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</si>
  <si>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</si>
  <si>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</si>
  <si>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</si>
  <si>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</si>
  <si>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</si>
  <si>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</si>
  <si>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</si>
  <si>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</si>
  <si>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</si>
  <si>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</si>
  <si>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</si>
  <si>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</si>
  <si>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</si>
  <si>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</si>
  <si>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</si>
  <si>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</si>
  <si>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</si>
  <si>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</si>
  <si>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</si>
  <si>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</si>
  <si>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</si>
  <si>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</si>
  <si>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</si>
  <si>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</si>
  <si>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</si>
  <si>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</si>
  <si>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</si>
  <si>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</si>
  <si>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</si>
  <si>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</si>
  <si>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</si>
  <si>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</si>
  <si>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</si>
  <si>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</si>
  <si>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</si>
  <si>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</si>
  <si>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</si>
  <si>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</si>
  <si>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</si>
  <si>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</si>
  <si>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</si>
  <si>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</si>
  <si>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</si>
  <si>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</si>
  <si>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</si>
  <si>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</si>
  <si>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</si>
  <si>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</si>
  <si>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</si>
  <si>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</si>
  <si>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</si>
  <si>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</si>
  <si>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</si>
  <si>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</si>
  <si>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</si>
  <si>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</si>
  <si>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</si>
  <si>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</si>
  <si>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</si>
  <si>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</si>
  <si>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</si>
  <si>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</si>
  <si>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</si>
  <si>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</si>
  <si>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</si>
  <si>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</si>
  <si>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</si>
  <si>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</si>
  <si>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</si>
  <si>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</si>
  <si>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</si>
  <si>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</si>
  <si>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</si>
  <si>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</si>
  <si>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</si>
  <si>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</si>
  <si>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</si>
  <si>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</si>
  <si>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</si>
  <si>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</si>
  <si>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</si>
  <si>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</si>
  <si>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</si>
  <si>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</si>
  <si>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</si>
  <si>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</si>
  <si>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</si>
  <si>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</si>
  <si>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</si>
  <si>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</si>
  <si>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</si>
  <si>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</si>
  <si>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</si>
  <si>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</si>
  <si>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</si>
  <si>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</si>
  <si>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</si>
  <si>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</si>
  <si>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</si>
  <si>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</si>
  <si>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</si>
  <si>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</si>
  <si>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</si>
  <si>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</si>
  <si>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</si>
  <si>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</si>
  <si>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</si>
  <si>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</si>
  <si>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</si>
  <si>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</si>
  <si>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</si>
  <si>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</si>
  <si>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</si>
  <si>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</si>
  <si>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</si>
  <si>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</si>
  <si>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</si>
  <si>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</si>
  <si>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</si>
  <si>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</si>
  <si>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</si>
  <si>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</si>
  <si>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</si>
  <si>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</si>
  <si>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</si>
  <si>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</si>
  <si>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</si>
  <si>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</si>
  <si>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</si>
  <si>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</si>
  <si>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</si>
  <si>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</si>
  <si>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</si>
  <si>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</si>
  <si>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</si>
  <si>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</si>
  <si>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</si>
  <si>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</si>
  <si>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</si>
  <si>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</si>
  <si>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</si>
  <si>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</si>
  <si>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</si>
  <si>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</si>
  <si>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</si>
  <si>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</si>
  <si>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</si>
  <si>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</si>
  <si>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</si>
  <si>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</si>
  <si>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</si>
  <si>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</si>
  <si>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</si>
  <si>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</si>
  <si>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</si>
  <si>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</si>
  <si>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</si>
  <si>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</si>
  <si>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</si>
  <si>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</si>
  <si>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</si>
  <si>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</si>
  <si>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</si>
  <si>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</si>
  <si>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</si>
  <si>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</si>
  <si>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</si>
  <si>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</si>
  <si>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</si>
  <si>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</si>
  <si>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</si>
  <si>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</si>
  <si>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</si>
  <si>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</si>
  <si>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</si>
  <si>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</si>
  <si>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</si>
  <si>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</si>
  <si>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</si>
  <si>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</si>
  <si>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</si>
  <si>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</si>
  <si>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</si>
  <si>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</si>
  <si>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</si>
  <si>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</si>
  <si>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</si>
  <si>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</si>
  <si>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</si>
  <si>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</si>
  <si>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</si>
  <si>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</si>
  <si>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</si>
  <si>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</si>
  <si>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</si>
  <si>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</si>
  <si>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</si>
  <si>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</si>
  <si>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</si>
  <si>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</si>
  <si>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</si>
  <si>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</si>
  <si>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</si>
  <si>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</si>
  <si>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</si>
  <si>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</si>
  <si>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</si>
  <si>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</si>
  <si>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</si>
  <si>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</si>
  <si>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</si>
  <si>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</si>
  <si>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</si>
  <si>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</si>
  <si>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</si>
  <si>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</si>
  <si>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</si>
  <si>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</si>
  <si>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</si>
  <si>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</si>
  <si>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</si>
  <si>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</si>
  <si>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</si>
  <si>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</si>
  <si>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</si>
  <si>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</si>
  <si>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</si>
  <si>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</si>
  <si>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</si>
  <si>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</si>
  <si>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</si>
  <si>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</si>
  <si>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</si>
  <si>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</si>
  <si>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</si>
  <si>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</si>
  <si>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</si>
  <si>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</si>
  <si>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</si>
  <si>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</si>
  <si>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</si>
  <si>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</si>
  <si>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</si>
  <si>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</si>
  <si>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</si>
  <si>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</si>
  <si>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</si>
  <si>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</si>
  <si>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</si>
  <si>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</si>
  <si>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</si>
  <si>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</si>
  <si>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</si>
  <si>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</si>
  <si>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</si>
  <si>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</si>
  <si>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</si>
  <si>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</si>
  <si>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</si>
  <si>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</si>
  <si>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</si>
  <si>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</si>
  <si>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</si>
  <si>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</si>
  <si>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</si>
  <si>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</si>
  <si>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</si>
  <si>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</si>
  <si>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</si>
  <si>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</si>
  <si>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</si>
  <si>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</si>
  <si>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</si>
  <si>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</si>
  <si>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</si>
  <si>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</si>
  <si>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</si>
  <si>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</si>
  <si>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</si>
  <si>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</si>
  <si>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</si>
  <si>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</si>
  <si>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</si>
  <si>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</si>
  <si>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</si>
  <si>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</si>
  <si>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</si>
  <si>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</si>
  <si>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</si>
  <si>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</si>
  <si>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</si>
  <si>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</si>
  <si>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</si>
  <si>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</si>
  <si>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</si>
  <si>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</si>
  <si>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</si>
  <si>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</si>
  <si>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</si>
  <si>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</si>
  <si>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</si>
  <si>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</si>
  <si>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</si>
  <si>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</si>
  <si>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</si>
  <si>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</si>
  <si>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</si>
  <si>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</si>
  <si>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</si>
  <si>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</si>
  <si>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</si>
  <si>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</si>
  <si>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</si>
  <si>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</si>
  <si>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</si>
  <si>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</si>
  <si>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</si>
  <si>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</si>
  <si>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</si>
  <si>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</si>
  <si>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</si>
  <si>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</si>
  <si>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</si>
  <si>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</si>
  <si>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</si>
  <si>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</si>
  <si>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</si>
  <si>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</si>
  <si>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</si>
  <si>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</si>
  <si>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</si>
  <si>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</si>
  <si>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</si>
  <si>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</si>
  <si>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</si>
  <si>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</si>
  <si>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</si>
  <si>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</si>
  <si>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</si>
  <si>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</si>
  <si>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</si>
  <si>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</si>
  <si>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</si>
  <si>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</si>
  <si>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</si>
  <si>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</si>
  <si>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</si>
  <si>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</si>
  <si>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</si>
  <si>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</si>
  <si>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</si>
  <si>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</si>
  <si>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</si>
  <si>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</si>
  <si>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</si>
  <si>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</si>
  <si>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</si>
  <si>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</si>
  <si>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</si>
  <si>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</si>
  <si>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</si>
  <si>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</si>
  <si>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</si>
  <si>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</si>
  <si>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</si>
  <si>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</si>
  <si>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</si>
  <si>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</si>
  <si>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</si>
  <si>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</si>
  <si>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</si>
  <si>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</si>
  <si>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</si>
  <si>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</si>
  <si>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</si>
  <si>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</si>
  <si>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</si>
  <si>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</si>
  <si>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</si>
  <si>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</si>
  <si>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</si>
  <si>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</si>
  <si>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</si>
  <si>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</si>
  <si>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</si>
  <si>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</si>
  <si>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</si>
  <si>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</si>
  <si>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</si>
  <si>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</si>
  <si>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</si>
  <si>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</si>
  <si>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</si>
  <si>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</si>
  <si>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</si>
  <si>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</si>
  <si>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</si>
  <si>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</si>
  <si>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</si>
  <si>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</si>
  <si>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</si>
  <si>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</si>
  <si>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</si>
  <si>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</si>
  <si>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</si>
  <si>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</si>
  <si>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</si>
  <si>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</si>
  <si>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</si>
  <si>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</si>
  <si>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</si>
  <si>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</si>
  <si>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</si>
  <si>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</si>
  <si>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</si>
  <si>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</si>
  <si>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</si>
  <si>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</si>
  <si>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</si>
  <si>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</si>
  <si>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</si>
  <si>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</si>
  <si>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</si>
  <si>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</si>
  <si>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</si>
  <si>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</si>
  <si>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</si>
  <si>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</si>
  <si>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</si>
  <si>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</si>
  <si>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</si>
  <si>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</si>
  <si>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</si>
  <si>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</si>
  <si>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</si>
  <si>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</si>
  <si>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</si>
  <si>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</si>
  <si>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</si>
  <si>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</si>
  <si>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</si>
  <si>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</si>
  <si>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</si>
  <si>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</si>
  <si>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</si>
  <si>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</si>
  <si>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</si>
  <si>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</si>
  <si>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</si>
  <si>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</si>
  <si>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</si>
  <si>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</si>
  <si>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</si>
  <si>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</si>
  <si>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</si>
  <si>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</si>
  <si>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</si>
  <si>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</si>
  <si>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</si>
  <si>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</si>
  <si>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</si>
  <si>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</si>
  <si>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</si>
  <si>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</si>
  <si>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</si>
  <si>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</si>
  <si>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</si>
  <si>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</si>
  <si>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</si>
  <si>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</si>
  <si>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</si>
  <si>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</si>
  <si>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</si>
  <si>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</si>
  <si>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</si>
  <si>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</si>
  <si>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</si>
  <si>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</si>
  <si>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</si>
  <si>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</si>
  <si>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</si>
  <si>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</si>
  <si>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</si>
  <si>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</si>
  <si>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</si>
  <si>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</si>
  <si>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</si>
  <si>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</si>
  <si>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</si>
  <si>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</si>
  <si>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</si>
  <si>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</si>
  <si>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</si>
  <si>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</si>
  <si>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</si>
  <si>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</si>
  <si>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</si>
  <si>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</si>
  <si>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</si>
  <si>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</si>
  <si>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</si>
  <si>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</si>
  <si>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</si>
  <si>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</si>
  <si>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</si>
  <si>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</si>
  <si>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</si>
  <si>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</si>
  <si>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</si>
  <si>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</si>
  <si>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</si>
  <si>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</si>
  <si>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</si>
  <si>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</si>
  <si>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</si>
  <si>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</si>
  <si>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</si>
  <si>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</si>
  <si>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</si>
  <si>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</si>
  <si>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</si>
  <si>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</si>
  <si>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</si>
  <si>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</si>
  <si>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</si>
  <si>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</si>
  <si>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</si>
  <si>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</si>
  <si>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</si>
  <si>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</si>
  <si>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</si>
  <si>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</si>
  <si>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</si>
  <si>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</si>
  <si>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</si>
  <si>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</si>
  <si>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</si>
  <si>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</si>
  <si>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</si>
  <si>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</si>
  <si>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</si>
  <si>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</si>
  <si>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</si>
  <si>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</si>
  <si>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</si>
  <si>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</si>
  <si>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</si>
  <si>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</si>
  <si>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</si>
  <si>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</si>
  <si>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</si>
  <si>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</si>
  <si>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</si>
  <si>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</si>
  <si>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</si>
  <si>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</si>
  <si>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</si>
  <si>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</si>
  <si>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</si>
  <si>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</si>
  <si>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</si>
  <si>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</si>
  <si>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</si>
  <si>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</si>
  <si>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</si>
  <si>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</si>
  <si>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</si>
  <si>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</si>
  <si>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</si>
  <si>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</si>
  <si>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</si>
  <si>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</si>
  <si>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</si>
  <si>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</si>
  <si>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</si>
  <si>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</si>
  <si>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</si>
  <si>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</si>
  <si>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</si>
  <si>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</si>
  <si>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</si>
  <si>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</si>
  <si>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</si>
  <si>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</si>
  <si>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</si>
  <si>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</si>
  <si>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</si>
  <si>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</si>
  <si>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</si>
  <si>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</si>
  <si>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</si>
  <si>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</si>
  <si>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</si>
  <si>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</si>
  <si>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</si>
  <si>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</si>
  <si>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</si>
  <si>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</si>
  <si>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</si>
  <si>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</si>
  <si>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</si>
  <si>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</si>
  <si>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</si>
  <si>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</si>
  <si>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</si>
  <si>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</si>
  <si>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</si>
  <si>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</si>
  <si>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</si>
  <si>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</si>
  <si>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</si>
  <si>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</si>
  <si>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</si>
  <si>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</si>
  <si>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</si>
  <si>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</si>
  <si>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</si>
  <si>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</si>
  <si>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</si>
  <si>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</si>
  <si>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</si>
  <si>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</si>
  <si>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</si>
  <si>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</si>
  <si>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</si>
  <si>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</si>
  <si>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</si>
  <si>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</si>
  <si>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</si>
  <si>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</si>
  <si>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</si>
  <si>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</si>
  <si>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</si>
  <si>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</si>
  <si>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</si>
  <si>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</si>
  <si>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</si>
  <si>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</si>
  <si>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</si>
  <si>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</si>
  <si>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</si>
  <si>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</si>
  <si>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</si>
  <si>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</si>
  <si>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</si>
  <si>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</si>
  <si>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</si>
  <si>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</si>
  <si>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</si>
  <si>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</si>
  <si>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</si>
  <si>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</si>
  <si>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</si>
  <si>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</si>
  <si>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</si>
  <si>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</si>
  <si>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</si>
  <si>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</si>
  <si>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</si>
  <si>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</si>
  <si>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</si>
  <si>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</si>
  <si>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</si>
  <si>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</si>
  <si>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</si>
  <si>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</si>
  <si>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</si>
  <si>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</si>
  <si>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</si>
  <si>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</si>
  <si>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</si>
  <si>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</si>
  <si>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</si>
  <si>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</si>
  <si>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</si>
  <si>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</si>
  <si>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</si>
  <si>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</si>
  <si>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</si>
  <si>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</si>
  <si>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</si>
  <si>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</si>
  <si>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</si>
  <si>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</si>
  <si>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</si>
  <si>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</si>
  <si>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</si>
  <si>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</si>
  <si>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</si>
  <si>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</si>
  <si>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</si>
  <si>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</si>
  <si>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</si>
  <si>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</si>
  <si>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</si>
  <si>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</si>
  <si>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</si>
  <si>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</si>
  <si>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</si>
  <si>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</si>
  <si>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</si>
  <si>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</si>
  <si>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</si>
  <si>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</si>
  <si>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</si>
  <si>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</si>
  <si>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</si>
  <si>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</si>
  <si>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</si>
  <si>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</si>
  <si>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</si>
  <si>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</si>
  <si>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</si>
  <si>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</si>
  <si>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</si>
  <si>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</si>
  <si>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</si>
  <si>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</si>
  <si>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</si>
  <si>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</si>
  <si>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</si>
  <si>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</si>
  <si>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</si>
  <si>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</si>
  <si>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</si>
  <si>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</si>
  <si>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</si>
  <si>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</si>
  <si>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</si>
  <si>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</si>
  <si>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</si>
  <si>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</si>
  <si>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</si>
  <si>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</si>
  <si>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</si>
  <si>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</si>
  <si>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</si>
  <si>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</si>
  <si>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</si>
  <si>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</si>
  <si>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</si>
  <si>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</si>
  <si>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</si>
  <si>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</si>
  <si>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</si>
  <si>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</si>
  <si>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</si>
  <si>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</si>
  <si>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</si>
  <si>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</si>
  <si>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</si>
  <si>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</si>
  <si>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</si>
  <si>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</si>
  <si>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</si>
  <si>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</si>
  <si>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</si>
  <si>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</si>
  <si>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</si>
  <si>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</si>
  <si>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</si>
  <si>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</si>
  <si>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</si>
  <si>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</si>
  <si>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</si>
  <si>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</si>
  <si>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</si>
  <si>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</si>
  <si>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</si>
  <si>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</si>
  <si>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</si>
  <si>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</si>
  <si>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</si>
  <si>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</si>
  <si>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</si>
  <si>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</si>
  <si>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</si>
  <si>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</si>
  <si>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</si>
  <si>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</si>
  <si>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</si>
  <si>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</si>
  <si>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</si>
  <si>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</si>
  <si>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</si>
  <si>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</si>
  <si>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</si>
  <si>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</si>
  <si>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</si>
  <si>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</si>
  <si>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</si>
  <si>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</si>
  <si>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</si>
  <si>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</si>
  <si>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</si>
  <si>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</si>
  <si>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</si>
  <si>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</si>
  <si>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</si>
  <si>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</si>
  <si>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</si>
  <si>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</si>
  <si>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</si>
  <si>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</si>
  <si>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</si>
  <si>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</si>
  <si>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</si>
  <si>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</si>
  <si>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</si>
  <si>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</si>
  <si>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</si>
  <si>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</si>
  <si>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</si>
  <si>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</si>
  <si>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</si>
  <si>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</si>
  <si>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</si>
  <si>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</si>
  <si>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</si>
  <si>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</si>
  <si>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</si>
  <si>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</si>
  <si>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</si>
  <si>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</si>
  <si>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</si>
  <si>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</si>
  <si>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</si>
  <si>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</si>
  <si>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</si>
  <si>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</si>
  <si>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</si>
  <si>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</si>
  <si>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</si>
  <si>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</si>
  <si>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</si>
  <si>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</si>
  <si>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</si>
  <si>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</si>
  <si>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</si>
  <si>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</si>
  <si>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</si>
  <si>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</si>
  <si>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</si>
  <si>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</si>
  <si>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</si>
  <si>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</si>
  <si>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</si>
  <si>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</si>
  <si>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</si>
  <si>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</si>
  <si>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</si>
  <si>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</si>
  <si>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</si>
  <si>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</si>
  <si>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</si>
  <si>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</si>
  <si>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</si>
  <si>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</si>
  <si>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</si>
  <si>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</si>
  <si>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</si>
  <si>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</si>
  <si>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</si>
  <si>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</si>
  <si>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</si>
  <si>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</si>
  <si>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</si>
  <si>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</si>
  <si>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</si>
  <si>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</si>
  <si>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</si>
  <si>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</si>
  <si>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</si>
  <si>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</si>
  <si>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</si>
  <si>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</si>
  <si>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</si>
  <si>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</si>
  <si>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</si>
  <si>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</si>
  <si>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</si>
  <si>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</si>
  <si>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</si>
  <si>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</si>
  <si>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</si>
  <si>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</si>
  <si>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</si>
  <si>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</si>
  <si>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</si>
  <si>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</si>
  <si>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</si>
  <si>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</si>
  <si>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</si>
  <si>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</si>
  <si>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</si>
  <si>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</si>
  <si>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</si>
  <si>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</si>
  <si>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</si>
  <si>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</si>
  <si>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</si>
  <si>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</si>
  <si>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</si>
  <si>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</si>
  <si>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</si>
  <si>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</si>
  <si>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</si>
  <si>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</si>
  <si>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</si>
  <si>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</si>
  <si>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</si>
  <si>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</si>
  <si>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</si>
  <si>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</si>
  <si>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</si>
  <si>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</si>
  <si>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</si>
  <si>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</si>
  <si>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</si>
  <si>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</si>
  <si>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</si>
  <si>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</si>
  <si>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</si>
  <si>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</si>
  <si>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</si>
  <si>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</si>
  <si>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</si>
  <si>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</si>
  <si>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</si>
  <si>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</si>
  <si>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</si>
  <si>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</si>
  <si>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</si>
  <si>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</si>
  <si>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</si>
  <si>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</si>
  <si>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</si>
  <si>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</si>
  <si>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</si>
  <si>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</si>
  <si>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</si>
  <si>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</si>
  <si>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</si>
  <si>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</si>
  <si>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</si>
  <si>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</si>
  <si>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</si>
  <si>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</si>
  <si>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</si>
  <si>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</si>
  <si>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</si>
  <si>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</si>
  <si>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</si>
  <si>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</si>
  <si>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</si>
  <si>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</si>
  <si>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</si>
  <si>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</si>
  <si>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</si>
  <si>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</si>
  <si>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</si>
  <si>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</si>
  <si>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</si>
  <si>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</si>
  <si>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</si>
  <si>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</si>
  <si>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</si>
  <si>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</si>
  <si>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</si>
  <si>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</si>
  <si>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</si>
  <si>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</si>
  <si>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</si>
  <si>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</si>
  <si>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</si>
  <si>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</si>
  <si>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</si>
  <si>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</si>
  <si>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</si>
  <si>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</si>
  <si>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</si>
  <si>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</si>
  <si>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</si>
  <si>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</si>
  <si>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</si>
  <si>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</si>
  <si>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</si>
  <si>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</si>
  <si>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</si>
  <si>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</si>
  <si>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</si>
  <si>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</si>
  <si>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</si>
  <si>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</si>
  <si>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</si>
  <si>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</si>
  <si>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</si>
  <si>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</si>
  <si>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</si>
  <si>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</si>
  <si>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</si>
  <si>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</si>
  <si>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</si>
  <si>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</si>
  <si>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</si>
  <si>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</si>
  <si>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</si>
  <si>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</si>
  <si>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</si>
  <si>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</si>
  <si>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</si>
  <si>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</si>
  <si>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</si>
  <si>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</si>
  <si>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</si>
  <si>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</si>
  <si>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</si>
  <si>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</si>
  <si>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</si>
  <si>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</si>
  <si>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</si>
  <si>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</si>
  <si>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</si>
  <si>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</si>
  <si>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</si>
  <si>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</si>
  <si>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</si>
  <si>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</si>
  <si>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</si>
  <si>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</si>
  <si>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</si>
  <si>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</si>
  <si>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</si>
  <si>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</si>
  <si>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</si>
  <si>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</si>
  <si>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</si>
  <si>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</si>
  <si>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</si>
  <si>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</si>
  <si>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</si>
  <si>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</si>
  <si>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</si>
  <si>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</si>
  <si>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</si>
  <si>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</si>
  <si>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</si>
  <si>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</si>
  <si>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</si>
  <si>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</si>
  <si>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</si>
  <si>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</si>
  <si>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</si>
  <si>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</si>
  <si>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</si>
  <si>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</si>
  <si>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</si>
  <si>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</si>
  <si>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</si>
  <si>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</si>
  <si>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</si>
  <si>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</si>
  <si>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</si>
  <si>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</si>
  <si>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</si>
  <si>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</si>
  <si>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</si>
  <si>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</si>
  <si>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</si>
  <si>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</si>
  <si>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</si>
  <si>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</si>
  <si>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</si>
  <si>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</si>
  <si>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</si>
  <si>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</si>
  <si>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</si>
  <si>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</si>
  <si>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</si>
  <si>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</si>
  <si>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</si>
  <si>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</si>
  <si>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</si>
  <si>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</si>
  <si>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</si>
  <si>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</si>
  <si>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</si>
  <si>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</si>
  <si>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</si>
  <si>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</si>
  <si>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</si>
  <si>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</si>
  <si>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</si>
  <si>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</si>
  <si>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</si>
  <si>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</si>
  <si>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</si>
  <si>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</si>
  <si>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</si>
  <si>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</si>
  <si>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</si>
  <si>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</si>
  <si>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</si>
  <si>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</si>
  <si>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</si>
  <si>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</si>
  <si>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</si>
  <si>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</si>
  <si>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</si>
  <si>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</si>
  <si>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</si>
  <si>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</si>
  <si>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</si>
  <si>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</si>
  <si>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</si>
  <si>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</si>
  <si>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</si>
  <si>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</si>
  <si>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</si>
  <si>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</si>
  <si>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</si>
  <si>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</si>
  <si>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</si>
  <si>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</si>
  <si>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</si>
  <si>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</si>
  <si>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</si>
  <si>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</si>
  <si>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</si>
  <si>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</si>
  <si>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</si>
  <si>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</si>
  <si>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</si>
  <si>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</si>
  <si>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</si>
  <si>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</si>
  <si>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</si>
  <si>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</si>
  <si>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</si>
  <si>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</si>
  <si>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</si>
  <si>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</si>
  <si>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</si>
  <si>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</si>
  <si>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</si>
  <si>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</si>
  <si>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</si>
  <si>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</si>
  <si>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</si>
  <si>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</si>
  <si>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</si>
  <si>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</si>
  <si>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</si>
  <si>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</si>
  <si>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</si>
  <si>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</si>
  <si>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</si>
  <si>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</si>
  <si>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</si>
  <si>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</si>
  <si>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</si>
  <si>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</si>
  <si>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</si>
  <si>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</si>
  <si>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</si>
  <si>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</si>
  <si>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</si>
  <si>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</si>
  <si>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</si>
  <si>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</si>
  <si>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</si>
  <si>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</si>
  <si>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</si>
  <si>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</si>
  <si>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</si>
  <si>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</si>
  <si>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</si>
  <si>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</si>
  <si>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</si>
  <si>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</si>
  <si>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</si>
  <si>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</si>
  <si>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</si>
  <si>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</si>
  <si>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</si>
  <si>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</si>
  <si>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</si>
  <si>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</si>
  <si>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</si>
  <si>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</si>
  <si>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</si>
  <si>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</si>
  <si>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</si>
  <si>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</si>
  <si>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</si>
  <si>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</si>
  <si>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</si>
  <si>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</si>
  <si>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</si>
  <si>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</si>
  <si>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</si>
  <si>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</si>
  <si>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</si>
  <si>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</si>
  <si>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</si>
  <si>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</si>
  <si>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</si>
  <si>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</si>
  <si>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</si>
  <si>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</si>
  <si>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</si>
  <si>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</si>
  <si>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</si>
  <si>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</si>
  <si>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</si>
  <si>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</si>
  <si>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</si>
  <si>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</si>
  <si>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</si>
  <si>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</si>
  <si>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</si>
  <si>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</si>
  <si>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</si>
  <si>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</si>
  <si>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</si>
  <si>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</si>
  <si>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</si>
  <si>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</si>
  <si>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</si>
  <si>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</si>
  <si>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</si>
  <si>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</si>
  <si>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</si>
  <si>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</si>
  <si>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</si>
  <si>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</si>
  <si>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</si>
  <si>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</si>
  <si>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</si>
  <si>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</si>
  <si>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</si>
  <si>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</si>
  <si>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</si>
  <si>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</si>
  <si>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</si>
  <si>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</si>
  <si>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</si>
  <si>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</si>
  <si>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</si>
  <si>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</si>
  <si>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</si>
  <si>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</si>
  <si>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</si>
  <si>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</si>
  <si>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</si>
  <si>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</si>
  <si>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</si>
  <si>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</si>
  <si>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</si>
  <si>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</si>
  <si>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</si>
  <si>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</si>
  <si>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</si>
  <si>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</si>
  <si>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</si>
  <si>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</si>
  <si>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</si>
  <si>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</si>
  <si>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</si>
  <si>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</si>
  <si>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</si>
  <si>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</si>
  <si>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</si>
  <si>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</si>
  <si>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</si>
  <si>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</si>
  <si>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</si>
  <si>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</si>
  <si>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</si>
  <si>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</si>
  <si>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</si>
  <si>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</si>
  <si>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</si>
  <si>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</si>
  <si>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</si>
  <si>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</si>
  <si>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</si>
  <si>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</si>
  <si>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</si>
  <si>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</si>
  <si>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</si>
  <si>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</si>
  <si>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</si>
  <si>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</si>
  <si>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</si>
  <si>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</si>
  <si>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</si>
  <si>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</si>
  <si>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</si>
  <si>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</si>
  <si>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</si>
  <si>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</si>
  <si>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</si>
  <si>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</si>
  <si>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</si>
  <si>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</si>
  <si>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</si>
  <si>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</si>
  <si>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</si>
  <si>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</si>
  <si>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</si>
  <si>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</si>
  <si>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</si>
  <si>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</si>
  <si>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</si>
  <si>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</si>
  <si>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</si>
  <si>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</si>
  <si>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</si>
  <si>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</si>
  <si>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</si>
  <si>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</si>
  <si>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</si>
  <si>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</si>
  <si>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</si>
  <si>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</si>
  <si>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</si>
  <si>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</si>
  <si>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</si>
  <si>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</si>
  <si>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</si>
  <si>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</si>
  <si>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</si>
  <si>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</si>
  <si>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</si>
  <si>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</si>
  <si>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</si>
  <si>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</si>
  <si>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</si>
  <si>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</si>
  <si>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</si>
  <si>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</si>
  <si>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</si>
  <si>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</si>
  <si>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</si>
  <si>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</si>
  <si>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</si>
  <si>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</si>
  <si>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</si>
  <si>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</si>
  <si>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</si>
  <si>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</si>
  <si>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</si>
  <si>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</si>
  <si>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</si>
  <si>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</si>
  <si>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</si>
  <si>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</si>
  <si>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</si>
  <si>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</si>
  <si>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</si>
  <si>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</si>
  <si>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</si>
  <si>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</si>
  <si>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</si>
  <si>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</si>
  <si>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</si>
  <si>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</si>
  <si>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</si>
  <si>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</si>
  <si>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</si>
  <si>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</si>
  <si>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</si>
  <si>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</si>
  <si>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</si>
  <si>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</si>
  <si>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</si>
  <si>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</si>
  <si>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</si>
  <si>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</si>
  <si>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</si>
  <si>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</si>
  <si>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</si>
  <si>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</si>
  <si>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</si>
  <si>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</si>
  <si>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</si>
  <si>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</si>
  <si>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</si>
  <si>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</si>
  <si>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</si>
  <si>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</si>
  <si>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</si>
  <si>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</si>
  <si>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</si>
  <si>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</si>
  <si>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</si>
  <si>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</si>
  <si>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</si>
  <si>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</si>
  <si>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</si>
  <si>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</si>
  <si>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</si>
  <si>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</si>
  <si>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</si>
  <si>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</si>
  <si>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</si>
  <si>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</si>
  <si>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</si>
  <si>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</si>
  <si>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</si>
  <si>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</si>
  <si>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</si>
  <si>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</si>
  <si>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</si>
  <si>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</si>
  <si>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</si>
  <si>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</si>
  <si>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</si>
  <si>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</si>
  <si>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</si>
  <si>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</si>
  <si>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</si>
  <si>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</si>
  <si>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</si>
  <si>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</si>
  <si>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</si>
  <si>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</si>
  <si>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</si>
  <si>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</si>
  <si>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</si>
  <si>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</si>
  <si>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</si>
  <si>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</si>
  <si>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</si>
  <si>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</si>
  <si>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</si>
  <si>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</si>
  <si>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</si>
  <si>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</si>
  <si>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</si>
  <si>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</si>
  <si>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</si>
  <si>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</si>
  <si>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</si>
  <si>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</si>
  <si>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</si>
  <si>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</si>
  <si>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</si>
  <si>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</si>
  <si>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</si>
  <si>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</si>
  <si>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</si>
  <si>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</si>
  <si>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</si>
  <si>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</si>
  <si>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</si>
  <si>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</si>
  <si>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</si>
  <si>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</si>
  <si>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</si>
  <si>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</si>
  <si>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</si>
  <si>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</si>
  <si>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</si>
  <si>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</si>
  <si>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</si>
  <si>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</si>
  <si>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</si>
  <si>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</si>
  <si>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</si>
  <si>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</si>
  <si>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</si>
  <si>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</si>
  <si>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</si>
  <si>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</si>
  <si>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</si>
  <si>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</si>
  <si>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</si>
  <si>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</si>
  <si>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</si>
  <si>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</si>
  <si>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</si>
  <si>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</si>
  <si>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</si>
  <si>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</si>
  <si>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</si>
  <si>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</si>
  <si>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</si>
  <si>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</si>
  <si>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</si>
  <si>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</si>
  <si>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</si>
  <si>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</si>
  <si>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</si>
  <si>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</si>
  <si>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</si>
  <si>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</si>
  <si>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</si>
  <si>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</si>
  <si>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</si>
  <si>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</si>
  <si>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</si>
  <si>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</si>
  <si>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</si>
  <si>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</si>
  <si>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</si>
  <si>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</si>
  <si>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</si>
  <si>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</si>
  <si>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</si>
  <si>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</si>
  <si>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</si>
  <si>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</si>
  <si>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</si>
  <si>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</si>
  <si>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</si>
  <si>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</si>
  <si>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</si>
  <si>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</si>
  <si>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</si>
  <si>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</si>
  <si>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</si>
  <si>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</si>
  <si>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</si>
  <si>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</si>
  <si>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</si>
  <si>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</si>
  <si>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</si>
  <si>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</si>
  <si>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</si>
  <si>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</si>
  <si>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</si>
  <si>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</si>
  <si>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</si>
  <si>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</si>
  <si>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</si>
  <si>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</si>
  <si>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</si>
  <si>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</si>
  <si>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</si>
  <si>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</si>
  <si>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</si>
  <si>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</si>
  <si>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</si>
  <si>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</si>
  <si>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</si>
  <si>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</si>
  <si>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</si>
  <si>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</si>
  <si>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</si>
  <si>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</si>
  <si>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</si>
  <si>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</si>
  <si>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</si>
  <si>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</si>
  <si>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</si>
  <si>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</si>
  <si>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</si>
  <si>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</si>
  <si>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</si>
  <si>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</si>
  <si>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</si>
  <si>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</si>
  <si>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</si>
  <si>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</si>
  <si>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</si>
  <si>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</si>
  <si>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</si>
  <si>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</si>
  <si>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</si>
  <si>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</si>
  <si>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</si>
  <si>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</si>
  <si>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</si>
  <si>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</si>
  <si>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</si>
  <si>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</si>
  <si>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</si>
  <si>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</si>
  <si>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</si>
  <si>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</si>
  <si>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</si>
  <si>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</si>
  <si>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</si>
  <si>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</si>
  <si>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</si>
  <si>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</si>
  <si>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</si>
  <si>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</si>
  <si>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</si>
  <si>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</si>
  <si>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</si>
  <si>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</si>
  <si>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</si>
  <si>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</si>
  <si>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</si>
  <si>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</si>
  <si>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</si>
  <si>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</si>
  <si>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</si>
  <si>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</si>
  <si>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</si>
  <si>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</si>
  <si>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</si>
  <si>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</si>
  <si>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</si>
  <si>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</si>
  <si>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</si>
  <si>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</si>
  <si>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</si>
  <si>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</si>
  <si>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</si>
  <si>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</si>
  <si>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</si>
  <si>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</si>
  <si>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</si>
  <si>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</si>
  <si>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</si>
  <si>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</si>
  <si>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</si>
  <si>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</si>
  <si>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</si>
  <si>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</si>
  <si>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</si>
  <si>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</si>
  <si>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</si>
  <si>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</si>
  <si>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</si>
  <si>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</si>
  <si>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</si>
  <si>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</si>
  <si>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</si>
  <si>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</si>
  <si>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</si>
  <si>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</si>
  <si>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</si>
  <si>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</si>
  <si>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</si>
  <si>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</si>
  <si>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</si>
  <si>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</si>
  <si>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</si>
  <si>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</si>
  <si>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</si>
  <si>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</si>
  <si>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</si>
  <si>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</si>
  <si>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</si>
  <si>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</si>
  <si>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</si>
  <si>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</si>
  <si>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</si>
  <si>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</si>
  <si>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</si>
  <si>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</si>
  <si>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</si>
  <si>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</si>
  <si>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</si>
  <si>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</si>
  <si>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</si>
  <si>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</si>
  <si>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</si>
  <si>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</si>
  <si>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</si>
  <si>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</si>
  <si>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</si>
  <si>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</si>
  <si>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</si>
  <si>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</si>
  <si>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</si>
  <si>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</si>
  <si>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</si>
  <si>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</si>
  <si>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</si>
  <si>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</si>
  <si>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</si>
  <si>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</si>
  <si>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</si>
  <si>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</si>
  <si>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</si>
  <si>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</si>
  <si>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</si>
  <si>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</si>
  <si>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</si>
  <si>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</si>
  <si>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</si>
  <si>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</si>
  <si>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</si>
  <si>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</si>
  <si>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</si>
  <si>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</si>
  <si>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</si>
  <si>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</si>
  <si>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</si>
  <si>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</si>
  <si>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</si>
  <si>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</si>
  <si>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</si>
  <si>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</si>
  <si>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</si>
  <si>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</si>
  <si>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</si>
  <si>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</si>
  <si>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</si>
  <si>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</si>
  <si>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</si>
  <si>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</si>
  <si>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</si>
  <si>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</si>
  <si>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</si>
  <si>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</si>
  <si>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</si>
  <si>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</si>
  <si>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</si>
  <si>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</si>
  <si>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</si>
  <si>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</si>
  <si>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</si>
  <si>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</si>
  <si>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</si>
  <si>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</si>
  <si>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</si>
  <si>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</si>
  <si>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</si>
  <si>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</si>
  <si>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</si>
  <si>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</si>
  <si>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</si>
  <si>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</si>
  <si>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</si>
  <si>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</si>
  <si>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</si>
  <si>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</si>
  <si>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</si>
  <si>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</si>
  <si>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</si>
  <si>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</si>
  <si>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</si>
  <si>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</si>
  <si>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</si>
  <si>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</si>
  <si>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</si>
  <si>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</si>
  <si>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</si>
  <si>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</si>
  <si>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</si>
  <si>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</si>
  <si>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</si>
  <si>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</si>
  <si>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</si>
  <si>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</si>
  <si>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</si>
  <si>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</si>
  <si>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</si>
  <si>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</si>
  <si>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</si>
  <si>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</si>
  <si>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</si>
  <si>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</si>
  <si>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</si>
  <si>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</si>
  <si>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</si>
  <si>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</si>
  <si>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</si>
  <si>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</si>
  <si>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</si>
  <si>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</si>
  <si>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</si>
  <si>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</si>
  <si>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</si>
  <si>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</si>
  <si>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</si>
  <si>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</si>
  <si>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</si>
  <si>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</si>
  <si>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</si>
  <si>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</si>
  <si>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</si>
  <si>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</si>
  <si>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</si>
  <si>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</si>
  <si>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</si>
  <si>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</si>
  <si>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</si>
  <si>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</si>
  <si>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</si>
  <si>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</si>
  <si>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</si>
  <si>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</si>
  <si>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</si>
  <si>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</si>
  <si>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</si>
  <si>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</si>
  <si>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</si>
  <si>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</si>
  <si>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</si>
  <si>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</si>
  <si>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</si>
  <si>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</si>
  <si>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</si>
  <si>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</si>
  <si>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</si>
  <si>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</si>
  <si>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</si>
  <si>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</si>
  <si>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</si>
  <si>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</si>
  <si>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</si>
  <si>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</si>
  <si>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</si>
  <si>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</si>
  <si>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</si>
  <si>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</si>
  <si>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</si>
  <si>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</si>
  <si>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</si>
  <si>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</si>
  <si>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</si>
  <si>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</si>
  <si>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</si>
  <si>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</si>
  <si>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</si>
  <si>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</si>
  <si>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</si>
  <si>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</si>
  <si>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</si>
  <si>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</si>
  <si>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</si>
  <si>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</si>
  <si>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</si>
  <si>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</si>
  <si>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</si>
  <si>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</si>
  <si>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</si>
  <si>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</si>
  <si>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</si>
  <si>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</si>
  <si>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</si>
  <si>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</si>
  <si>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</si>
  <si>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</si>
  <si>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</si>
  <si>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</si>
  <si>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</si>
  <si>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</si>
  <si>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</si>
  <si>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</si>
  <si>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</si>
  <si>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</si>
  <si>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</si>
  <si>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</si>
  <si>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</si>
  <si>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</si>
  <si>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</si>
  <si>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</si>
  <si>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</si>
  <si>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</si>
  <si>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</si>
  <si>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</si>
  <si>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</si>
  <si>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</si>
  <si>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</si>
  <si>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</si>
  <si>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</si>
  <si>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</si>
  <si>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</si>
  <si>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</si>
  <si>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</si>
  <si>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</si>
  <si>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</si>
  <si>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</si>
  <si>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</si>
  <si>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</si>
  <si>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</si>
  <si>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</si>
  <si>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</si>
  <si>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</si>
  <si>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</si>
  <si>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</si>
  <si>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</si>
  <si>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</si>
  <si>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</si>
  <si>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</si>
  <si>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</si>
  <si>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</si>
  <si>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</si>
  <si>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</si>
  <si>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</si>
  <si>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</si>
  <si>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</si>
  <si>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</si>
  <si>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</si>
  <si>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</si>
  <si>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</si>
  <si>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</si>
  <si>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</si>
  <si>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</si>
  <si>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</si>
  <si>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</si>
  <si>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</si>
  <si>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</si>
  <si>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</si>
  <si>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</si>
  <si>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</si>
  <si>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</si>
  <si>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</si>
  <si>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</si>
  <si>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</si>
  <si>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</si>
  <si>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</si>
  <si>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</si>
  <si>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</si>
  <si>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</si>
  <si>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</si>
  <si>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</si>
  <si>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</si>
  <si>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</si>
  <si>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</si>
  <si>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</si>
  <si>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</si>
  <si>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</si>
  <si>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</si>
  <si>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</si>
  <si>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</si>
  <si>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</si>
  <si>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</si>
  <si>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</si>
  <si>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</si>
  <si>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</si>
  <si>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</si>
  <si>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</si>
  <si>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</si>
  <si>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</si>
  <si>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</si>
  <si>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</si>
  <si>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</si>
  <si>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</si>
  <si>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</si>
  <si>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</si>
  <si>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</si>
  <si>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</si>
  <si>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</si>
  <si>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</si>
  <si>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</si>
  <si>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</si>
  <si>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</si>
  <si>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</si>
  <si>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</si>
  <si>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</si>
  <si>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</si>
  <si>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</si>
  <si>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</si>
  <si>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</si>
  <si>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</si>
  <si>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</si>
  <si>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</si>
  <si>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</si>
  <si>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</si>
  <si>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</si>
  <si>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</si>
  <si>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</si>
  <si>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</si>
  <si>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</si>
  <si>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</si>
  <si>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</si>
  <si>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</si>
  <si>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</si>
  <si>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</si>
  <si>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</si>
  <si>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</si>
  <si>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</si>
  <si>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</si>
  <si>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</si>
  <si>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</si>
  <si>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</si>
  <si>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</si>
  <si>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</si>
  <si>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</si>
  <si>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</si>
  <si>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</si>
  <si>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</si>
  <si>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</si>
  <si>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</si>
  <si>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</si>
  <si>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</si>
  <si>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</si>
  <si>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</si>
  <si>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</si>
  <si>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</si>
  <si>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</si>
  <si>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</si>
  <si>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</si>
  <si>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</si>
  <si>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</si>
  <si>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</si>
  <si>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</si>
  <si>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</si>
  <si>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</si>
  <si>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</si>
  <si>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</si>
  <si>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</si>
  <si>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</si>
  <si>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</si>
  <si>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</si>
  <si>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</si>
  <si>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</si>
  <si>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</si>
  <si>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</si>
  <si>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</si>
  <si>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</si>
  <si>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</si>
  <si>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</si>
  <si>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</si>
  <si>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</si>
  <si>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</si>
  <si>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</si>
  <si>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</si>
  <si>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</si>
  <si>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</si>
  <si>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</si>
  <si>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</si>
  <si>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</si>
  <si>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</si>
  <si>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</si>
  <si>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</si>
  <si>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</si>
  <si>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</si>
  <si>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</si>
  <si>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</si>
  <si>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</si>
  <si>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</si>
  <si>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</si>
  <si>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</si>
  <si>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</si>
  <si>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</si>
  <si>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</si>
  <si>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</si>
  <si>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</si>
  <si>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</si>
  <si>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</si>
  <si>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</si>
  <si>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</si>
  <si>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</si>
  <si>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</si>
  <si>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</si>
  <si>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</si>
  <si>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</si>
  <si>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</si>
  <si>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</si>
  <si>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</si>
  <si>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</si>
  <si>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</si>
  <si>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</si>
  <si>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</si>
  <si>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</si>
  <si>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</si>
  <si>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</si>
  <si>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</si>
  <si>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</si>
  <si>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</si>
  <si>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</si>
  <si>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</si>
  <si>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</si>
  <si>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</si>
  <si>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</si>
  <si>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</si>
  <si>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</si>
  <si>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</si>
  <si>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</si>
  <si>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</si>
  <si>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</si>
  <si>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北京科华国际幕墙工程有限公司</t>
    <phoneticPr fontId="6" type="noConversion"/>
  </si>
  <si>
    <t>抵押</t>
  </si>
  <si>
    <t>房地产抵押价值</t>
  </si>
  <si>
    <t>上海浦东发展银行北京市分行</t>
    <phoneticPr fontId="6" type="noConversion"/>
  </si>
  <si>
    <t>北京市</t>
  </si>
  <si>
    <t>企业</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</si>
  <si>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phoneticPr fontId="6" type="noConversion"/>
  </si>
  <si>
    <t>出让</t>
  </si>
  <si>
    <t>是</t>
  </si>
  <si>
    <t>2016.7.6</t>
    <phoneticPr fontId="6" type="noConversion"/>
  </si>
  <si>
    <r>
      <t>6100</t>
    </r>
    <r>
      <rPr>
        <sz val="10"/>
        <color theme="9" tint="-0.249977111117893"/>
        <rFont val="宋体"/>
        <family val="3"/>
        <charset val="134"/>
      </rPr>
      <t>万元</t>
    </r>
    <phoneticPr fontId="6" type="noConversion"/>
  </si>
  <si>
    <t>2017.8.1</t>
    <phoneticPr fontId="6" type="noConversion"/>
  </si>
  <si>
    <t>浦发北分</t>
    <phoneticPr fontId="6" type="noConversion"/>
  </si>
  <si>
    <t>全部</t>
    <phoneticPr fontId="6" type="noConversion"/>
  </si>
  <si>
    <r>
      <t>4850</t>
    </r>
    <r>
      <rPr>
        <sz val="10"/>
        <color theme="9" tint="-0.249977111117893"/>
        <rFont val="宋体"/>
        <family val="3"/>
        <charset val="134"/>
      </rPr>
      <t>万元</t>
    </r>
    <phoneticPr fontId="6" type="noConversion"/>
  </si>
  <si>
    <t>工业项目</t>
  </si>
  <si>
    <t>无</t>
  </si>
  <si>
    <t>现房</t>
  </si>
  <si>
    <t>通路</t>
  </si>
  <si>
    <t>通电</t>
  </si>
  <si>
    <t>通讯</t>
  </si>
  <si>
    <t>通上水</t>
  </si>
  <si>
    <t>通下水</t>
  </si>
  <si>
    <t>Ⅸ-雁栖开发区A</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</si>
  <si>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</si>
  <si>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</si>
  <si>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工业、配套办公</t>
    <phoneticPr fontId="6" type="noConversion"/>
  </si>
  <si>
    <r>
      <t>35.44</t>
    </r>
    <r>
      <rPr>
        <sz val="12"/>
        <color theme="9" tint="-0.249977111117893"/>
        <rFont val="宋体"/>
        <family val="3"/>
        <charset val="134"/>
      </rPr>
      <t>年</t>
    </r>
    <phoneticPr fontId="6" type="noConversion"/>
  </si>
  <si>
    <t>地上</t>
  </si>
  <si>
    <t>标准厂房</t>
  </si>
  <si>
    <t>办公楼</t>
  </si>
  <si>
    <t>《房屋所有权证》[X京房权证怀字第013272号]</t>
    <phoneticPr fontId="3" type="noConversion"/>
  </si>
  <si>
    <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</si>
  <si>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工业</t>
    <phoneticPr fontId="7" type="noConversion"/>
  </si>
  <si>
    <t>配套办公</t>
  </si>
  <si>
    <t>配套办公</t>
    <phoneticPr fontId="7" type="noConversion"/>
  </si>
  <si>
    <t>成新度</t>
  </si>
  <si>
    <t>工业（生产用房）</t>
    <phoneticPr fontId="3" type="noConversion"/>
  </si>
  <si>
    <t>实际成新</t>
    <phoneticPr fontId="3" type="noConversion"/>
  </si>
  <si>
    <t>观察成新</t>
    <phoneticPr fontId="3" type="noConversion"/>
  </si>
  <si>
    <t>配套办公（非生）</t>
    <phoneticPr fontId="3" type="noConversion"/>
  </si>
  <si>
    <t>收益法配套办公</t>
  </si>
  <si>
    <t>收益法工业</t>
  </si>
  <si>
    <t>钢混</t>
  </si>
  <si>
    <t>生产用房</t>
  </si>
  <si>
    <t>非生产用房</t>
  </si>
  <si>
    <t>工业用地</t>
  </si>
  <si>
    <t>容积率修正</t>
  </si>
  <si>
    <t>按公示增长率计算</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</si>
  <si>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</si>
  <si>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</si>
  <si>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</si>
  <si>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r>
      <t>估价对象所在区域基础设施水平达到</t>
    </r>
    <r>
      <rPr>
        <sz val="11"/>
        <color theme="9" tint="-0.249977111117893"/>
        <rFont val="Arial"/>
        <family val="2"/>
      </rPr>
      <t>“</t>
    </r>
    <r>
      <rPr>
        <sz val="11"/>
        <color theme="9" tint="-0.249977111117893"/>
        <rFont val="宋体"/>
        <family val="3"/>
        <charset val="134"/>
      </rPr>
      <t>五通</t>
    </r>
    <r>
      <rPr>
        <sz val="11"/>
        <color theme="9" tint="-0.249977111117893"/>
        <rFont val="Arial"/>
        <family val="2"/>
      </rPr>
      <t>”</t>
    </r>
    <r>
      <rPr>
        <sz val="11"/>
        <color theme="9" tint="-0.249977111117893"/>
        <rFont val="宋体"/>
        <family val="3"/>
        <charset val="134"/>
      </rPr>
      <t>。</t>
    </r>
    <phoneticPr fontId="25" type="noConversion"/>
  </si>
  <si>
    <t>该园区内无污染型企业，绿化较好，卫生条件良好，整体环境状况较好。</t>
    <phoneticPr fontId="41" type="noConversion"/>
  </si>
  <si>
    <t>周边多为工业用地，对宗地利用无不利影响。</t>
    <phoneticPr fontId="25" type="noConversion"/>
  </si>
  <si>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</si>
  <si>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</si>
  <si>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较好</t>
  </si>
  <si>
    <t>一般</t>
  </si>
  <si>
    <t>好</t>
  </si>
  <si>
    <t>宗地形状规则，对宗地利用无不利影响。</t>
    <phoneticPr fontId="79" type="noConversion"/>
  </si>
  <si>
    <t>未包含在土地购买价格中</t>
  </si>
  <si>
    <t>全部缴纳</t>
  </si>
  <si>
    <t>已包含在土地取得成本中</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</si>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</sst>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34"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4" fontId="64" fillId="0"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北京市怀柔区雁栖经济开发区雁栖路2号房地产抵押价值预评估</v>
      </c>
    </row>
    <row r="3" spans="1:2" s="1595" customFormat="1">
      <c r="A3" s="1593" t="s">
        <v>1221</v>
      </c>
      <c r="B3" s="1594" t="str">
        <f>'预评函-封皮'!B40</f>
        <v>北京科华国际幕墙工程有限公司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受贵公司委托，我公司对北京市怀柔区雁栖经济开发区雁栖路2号房地产抵押价值进行了预评估。</v>
      </c>
    </row>
    <row r="7" spans="1:2" s="1595" customFormat="1">
      <c r="A7" s="1593" t="s">
        <v>1264</v>
      </c>
      <c r="B7" s="1594" t="str">
        <f>'预评函-1'!A7</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为估价委托人在向上海浦东发展银行北京市分行办理贷款手续过程中，确定房地产抵押贷款额度提供参考依据而评估房地产抵押价值。</v>
      </c>
    </row>
    <row r="12" spans="1:2" s="1595" customFormat="1">
      <c r="A12" s="1593" t="s">
        <v>1226</v>
      </c>
      <c r="B12" s="1594" t="str">
        <f>'预评函-1'!A15</f>
        <v>2018年5月8日（评估专业人员实地查勘之日）</v>
      </c>
    </row>
    <row r="13" spans="1:2" s="1595" customFormat="1">
      <c r="A13" s="1593" t="s">
        <v>1227</v>
      </c>
      <c r="B13" s="1594" t="str">
        <f>'预评函-1'!A18</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4" spans="1:2" s="1595" customFormat="1">
      <c r="A14" s="1593" t="s">
        <v>1228</v>
      </c>
      <c r="B14" s="1594" t="str">
        <f>'预评函-1'!A19</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8366</v>
      </c>
    </row>
    <row r="21" spans="1:2" s="1595" customFormat="1">
      <c r="A21" s="1593" t="s">
        <v>1235</v>
      </c>
      <c r="B21" s="1594">
        <f ca="1">'预评函-2'!D7</f>
        <v>5245</v>
      </c>
    </row>
    <row r="22" spans="1:2" s="1595" customFormat="1">
      <c r="A22" s="1593" t="s">
        <v>1236</v>
      </c>
      <c r="B22" s="1594" t="str">
        <f ca="1">'预评函-2'!D6</f>
        <v>捌仟叁佰陆拾陆万元整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8366</v>
      </c>
    </row>
    <row r="31" spans="1:2" s="1595" customFormat="1">
      <c r="A31" s="1593" t="s">
        <v>1274</v>
      </c>
      <c r="B31" s="1594">
        <f ca="1">'预评函-2'!D15</f>
        <v>5245</v>
      </c>
    </row>
    <row r="32" spans="1:2" s="1595" customFormat="1">
      <c r="A32" s="1593" t="s">
        <v>1241</v>
      </c>
      <c r="B32" s="1594" t="str">
        <f ca="1">'预评函-2'!D14</f>
        <v>捌仟叁佰陆拾陆万元整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北京市怀柔区雁栖经济开发区雁栖路2号房地产</v>
      </c>
    </row>
    <row r="42" spans="1:2" s="1595" customFormat="1">
      <c r="A42" s="1593" t="s">
        <v>1288</v>
      </c>
      <c r="B42" s="1594" t="str">
        <f>'预评函-3'!B2</f>
        <v>建筑面积</v>
      </c>
    </row>
    <row r="43" spans="1:2" s="1595" customFormat="1">
      <c r="A43" s="1593" t="s">
        <v>1289</v>
      </c>
      <c r="B43" s="1594">
        <f>'预评函-3'!B4</f>
        <v>15950.36</v>
      </c>
    </row>
    <row r="44" spans="1:2" s="1595" customFormat="1">
      <c r="A44" s="1593" t="s">
        <v>1273</v>
      </c>
      <c r="B44" s="1594" t="str">
        <f>'预评函-3'!C2</f>
        <v>(分摊)土地面积</v>
      </c>
    </row>
    <row r="45" spans="1:2" s="1595" customFormat="1">
      <c r="A45" s="1593" t="s">
        <v>1245</v>
      </c>
      <c r="B45" s="1594">
        <f>'预评函-3'!C4</f>
        <v>24215.7</v>
      </c>
    </row>
    <row r="46" spans="1:2" s="1595" customFormat="1">
      <c r="A46" s="1593" t="s">
        <v>1271</v>
      </c>
      <c r="B46" s="1594" t="str">
        <f>'预评函-3'!D2</f>
        <v>出让国有建设用地使用权价值</v>
      </c>
    </row>
    <row r="47" spans="1:2" s="1595" customFormat="1">
      <c r="A47" s="1593" t="s">
        <v>1246</v>
      </c>
      <c r="B47" s="1594">
        <f ca="1">'预评函-3'!D4</f>
        <v>3689</v>
      </c>
    </row>
    <row r="48" spans="1:2" s="1595" customFormat="1">
      <c r="A48" s="1593" t="s">
        <v>1247</v>
      </c>
      <c r="B48" s="1594">
        <f ca="1">'预评函-3'!E4</f>
        <v>2313</v>
      </c>
    </row>
    <row r="49" spans="1:2" s="1595" customFormat="1">
      <c r="A49" s="1593" t="s">
        <v>1248</v>
      </c>
      <c r="B49" s="1594" t="str">
        <f ca="1">'预评函-3'!D5</f>
        <v>叁仟陆佰捌拾玖万元整</v>
      </c>
    </row>
    <row r="50" spans="1:2" s="1595" customFormat="1">
      <c r="A50" s="1593" t="s">
        <v>1272</v>
      </c>
      <c r="B50" s="1594" t="str">
        <f>'预评函-3'!F2</f>
        <v>在建建筑物价值</v>
      </c>
    </row>
    <row r="51" spans="1:2" s="1595" customFormat="1">
      <c r="A51" s="1593" t="s">
        <v>1249</v>
      </c>
      <c r="B51" s="1594">
        <f ca="1">'预评函-3'!F4</f>
        <v>4677</v>
      </c>
    </row>
    <row r="52" spans="1:2" s="1595" customFormat="1">
      <c r="A52" s="1593" t="s">
        <v>1250</v>
      </c>
      <c r="B52" s="1594">
        <f ca="1">'预评函-3'!G4</f>
        <v>2932</v>
      </c>
    </row>
    <row r="53" spans="1:2" s="1595" customFormat="1">
      <c r="A53" s="1593" t="s">
        <v>1278</v>
      </c>
      <c r="B53" s="1594" t="str">
        <f ca="1">'预评函-3'!F5</f>
        <v>肆仟陆佰柒拾柒万元整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（1）根据估价对象《房屋所有权证》原件、《国有土地使用权》复印件，截至价值时点，估价对象已设定抵押。上述抵押权设定日期为2016.7.6，权利人为浦发北分，权利范围为全部，权利价值为6100万元。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0" sqref="AE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3089</v>
      </c>
      <c r="C17" s="2017"/>
    </row>
    <row r="18" spans="1:3">
      <c r="A18" s="2016" t="s">
        <v>1767</v>
      </c>
      <c r="B18" s="2016" t="s">
        <v>3088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F9" sqref="F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1776</v>
      </c>
      <c r="B1" s="3013" t="str">
        <f>IF(B10="北京市","北京市",C10)&amp;F10&amp;IF(结果表!G1="在建","出让国有建设用地使用权及在建建筑物",IF(结果表!G1="土地","出让国有建设用地使用权",))&amp;B9&amp;"预评估"</f>
        <v>北京市怀柔区雁栖经济开发区雁栖路2号房地产抵押价值预评估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北京市怀柔区雁栖经济开发区雁栖路2号房地产抵押价值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北京市怀柔区雁栖经济开发区雁栖路2号房地产</v>
      </c>
    </row>
    <row r="3" spans="1:19" ht="18" customHeight="1">
      <c r="A3" s="2037" t="s">
        <v>1778</v>
      </c>
      <c r="B3" s="2960">
        <v>43228</v>
      </c>
      <c r="C3" s="2038" t="s">
        <v>1779</v>
      </c>
      <c r="D3" s="2960">
        <v>43228</v>
      </c>
      <c r="E3" s="2028"/>
      <c r="F3" s="2028"/>
      <c r="G3" s="2028"/>
      <c r="H3" s="2028"/>
      <c r="I3" s="2028"/>
      <c r="J3" s="2028"/>
      <c r="K3" s="2029"/>
      <c r="L3" s="2030"/>
      <c r="M3" s="2030"/>
      <c r="N3" s="2031"/>
      <c r="O3" s="2032"/>
      <c r="P3" s="2031"/>
      <c r="Q3" s="2031"/>
      <c r="R3" s="2031"/>
      <c r="S3" s="2033"/>
    </row>
    <row r="4" spans="1:19" ht="18" customHeight="1" thickBot="1">
      <c r="A4" s="2039" t="s">
        <v>1780</v>
      </c>
      <c r="B4" s="2040" t="s">
        <v>3045</v>
      </c>
      <c r="C4" s="1040">
        <f ca="1">SUMIF(注册房地产估价师,B4,估价师及机构信息!B3:B24)</f>
        <v>1120140022</v>
      </c>
      <c r="D4" s="2040" t="s">
        <v>3046</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30"/>
      <c r="M4" s="2030"/>
      <c r="N4" s="2031"/>
      <c r="O4" s="2032"/>
      <c r="P4" s="2031"/>
      <c r="Q4" s="2031"/>
      <c r="R4" s="2031"/>
      <c r="S4" s="2033"/>
    </row>
    <row r="5" spans="1:19" ht="18" customHeight="1" thickTop="1">
      <c r="A5" s="2045" t="s">
        <v>1781</v>
      </c>
      <c r="B5" s="2946" t="s">
        <v>3047</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1782</v>
      </c>
      <c r="B6" s="2947" t="s">
        <v>3050</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1783</v>
      </c>
      <c r="B7" s="2946" t="s">
        <v>3047</v>
      </c>
      <c r="C7" s="2049"/>
      <c r="D7" s="2050"/>
      <c r="E7" s="2036"/>
      <c r="F7" s="2043"/>
      <c r="G7" s="2043"/>
      <c r="H7" s="2043"/>
      <c r="I7" s="2043"/>
      <c r="J7" s="2043"/>
      <c r="K7" s="2052"/>
      <c r="L7" s="2030"/>
      <c r="M7" s="2030"/>
      <c r="N7" s="2031"/>
      <c r="O7" s="2032"/>
      <c r="P7" s="2031"/>
      <c r="Q7" s="2031"/>
      <c r="R7" s="2031"/>
    </row>
    <row r="8" spans="1:19" ht="18" customHeight="1">
      <c r="A8" s="2048" t="s">
        <v>1784</v>
      </c>
      <c r="B8" s="2053" t="s">
        <v>3048</v>
      </c>
      <c r="C8" s="2054"/>
      <c r="D8" s="3016" t="s">
        <v>1785</v>
      </c>
      <c r="E8" s="2055" t="s">
        <v>3049</v>
      </c>
      <c r="F8" s="2056"/>
      <c r="G8" s="2028"/>
      <c r="H8" s="2028"/>
      <c r="I8" s="2028"/>
      <c r="J8" s="2043"/>
      <c r="K8" s="2044"/>
      <c r="L8" s="2030"/>
      <c r="M8" s="2030"/>
      <c r="N8" s="2031"/>
      <c r="O8" s="2032"/>
      <c r="P8" s="2031"/>
      <c r="Q8" s="2031"/>
      <c r="R8" s="2031"/>
    </row>
    <row r="9" spans="1:19" ht="18" customHeight="1" thickBot="1">
      <c r="A9" s="2041" t="s">
        <v>1786</v>
      </c>
      <c r="B9" s="2057" t="s">
        <v>3049</v>
      </c>
      <c r="C9" s="2058"/>
      <c r="D9" s="3017"/>
      <c r="E9" s="2057"/>
      <c r="F9" s="2059"/>
      <c r="G9" s="2060"/>
      <c r="H9" s="2060"/>
      <c r="I9" s="2060"/>
      <c r="J9" s="2043"/>
      <c r="K9" s="2052"/>
      <c r="L9" s="2030"/>
      <c r="M9" s="2030"/>
      <c r="N9" s="2031"/>
      <c r="O9" s="2032"/>
      <c r="P9" s="2031"/>
      <c r="Q9" s="2031"/>
      <c r="R9" s="2031"/>
    </row>
    <row r="10" spans="1:19" ht="18" customHeight="1" thickTop="1" thickBot="1">
      <c r="A10" s="2061" t="s">
        <v>1787</v>
      </c>
      <c r="B10" s="2062" t="s">
        <v>3051</v>
      </c>
      <c r="C10" s="2063"/>
      <c r="D10" s="2047"/>
      <c r="E10" s="2064" t="s">
        <v>1788</v>
      </c>
      <c r="F10" s="2065" t="s">
        <v>3053</v>
      </c>
      <c r="G10" s="2066"/>
      <c r="H10" s="2067"/>
      <c r="I10" s="2047"/>
      <c r="J10" s="2043"/>
      <c r="K10" s="2052"/>
      <c r="L10" s="2030"/>
      <c r="M10" s="2030"/>
      <c r="N10" s="2031"/>
      <c r="O10" s="2032"/>
      <c r="P10" s="2031"/>
      <c r="Q10" s="2031"/>
      <c r="R10" s="2031"/>
    </row>
    <row r="11" spans="1:19" ht="18" customHeight="1" thickTop="1">
      <c r="A11" s="2068" t="s">
        <v>1789</v>
      </c>
      <c r="B11" s="2069" t="s">
        <v>3052</v>
      </c>
      <c r="C11" s="2946" t="s">
        <v>3047</v>
      </c>
      <c r="D11" s="2070"/>
      <c r="E11" s="2043"/>
      <c r="F11" s="2043"/>
      <c r="G11" s="2043"/>
      <c r="H11" s="2043"/>
      <c r="I11" s="2043"/>
      <c r="J11" s="2043"/>
      <c r="K11" s="2052"/>
      <c r="L11" s="2030"/>
      <c r="M11" s="2030"/>
      <c r="N11" s="2031"/>
      <c r="O11" s="2032"/>
      <c r="P11" s="2031"/>
      <c r="Q11" s="2031"/>
      <c r="R11" s="2031"/>
    </row>
    <row r="12" spans="1:19" ht="18" customHeight="1">
      <c r="A12" s="2071" t="s">
        <v>1790</v>
      </c>
      <c r="B12" s="2069" t="s">
        <v>3054</v>
      </c>
      <c r="C12" s="2072" t="s">
        <v>1791</v>
      </c>
      <c r="D12" s="2073" t="s">
        <v>1792</v>
      </c>
      <c r="E12" s="2073" t="s">
        <v>1793</v>
      </c>
      <c r="F12" s="2073" t="s">
        <v>1794</v>
      </c>
      <c r="G12" s="2073" t="s">
        <v>1795</v>
      </c>
      <c r="H12" s="2073" t="s">
        <v>1796</v>
      </c>
      <c r="I12" s="2073" t="s">
        <v>1797</v>
      </c>
      <c r="J12" s="2043"/>
      <c r="K12" s="2052"/>
      <c r="L12" s="2030"/>
      <c r="M12" s="2030"/>
      <c r="N12" s="2031"/>
      <c r="O12" s="2032"/>
      <c r="P12" s="2031"/>
      <c r="Q12" s="2031"/>
      <c r="R12" s="2031"/>
    </row>
    <row r="13" spans="1:19" ht="18" customHeight="1">
      <c r="A13" s="2074"/>
      <c r="B13" s="2075"/>
      <c r="C13" s="2076" t="s">
        <v>1798</v>
      </c>
      <c r="D13" s="2077"/>
      <c r="E13" s="2077"/>
      <c r="F13" s="2077"/>
      <c r="G13" s="2077"/>
      <c r="H13" s="2077"/>
      <c r="I13" s="1050">
        <v>56164</v>
      </c>
      <c r="J13" s="2043"/>
      <c r="K13" s="2052"/>
      <c r="L13" s="2030"/>
      <c r="M13" s="2030"/>
      <c r="N13" s="2031"/>
      <c r="O13" s="2032"/>
      <c r="P13" s="2031"/>
      <c r="Q13" s="2031"/>
      <c r="R13" s="2031"/>
    </row>
    <row r="14" spans="1:19" ht="18" customHeight="1">
      <c r="A14" s="2074"/>
      <c r="B14" s="2075"/>
      <c r="C14" s="2076" t="s">
        <v>1799</v>
      </c>
      <c r="D14" s="1053"/>
      <c r="E14" s="1053"/>
      <c r="F14" s="1053"/>
      <c r="G14" s="1053"/>
      <c r="H14" s="1053"/>
      <c r="I14" s="1053">
        <v>50</v>
      </c>
      <c r="J14" s="2043"/>
      <c r="K14" s="2078"/>
      <c r="L14" s="2030"/>
      <c r="M14" s="2030"/>
      <c r="N14" s="2031"/>
      <c r="O14" s="2032"/>
      <c r="P14" s="2031"/>
      <c r="Q14" s="2031"/>
      <c r="R14" s="2031"/>
    </row>
    <row r="15" spans="1:19" ht="18" customHeight="1">
      <c r="A15" s="2061"/>
      <c r="B15" s="2079"/>
      <c r="C15" s="2076"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35.44</v>
      </c>
      <c r="J15" s="2043"/>
      <c r="K15" s="2080"/>
      <c r="L15" s="2081"/>
      <c r="M15" s="2081"/>
      <c r="N15" s="2082"/>
      <c r="O15" s="2081"/>
      <c r="P15" s="2082"/>
      <c r="Q15" s="2031"/>
      <c r="R15" s="2031"/>
    </row>
    <row r="16" spans="1:19" ht="30.75" customHeight="1">
      <c r="A16" s="2064" t="s">
        <v>1801</v>
      </c>
      <c r="B16" s="3023" t="s">
        <v>3073</v>
      </c>
      <c r="C16" s="3024"/>
      <c r="D16" s="3025"/>
      <c r="E16" s="2083" t="s">
        <v>1802</v>
      </c>
      <c r="F16" s="3026" t="s">
        <v>3074</v>
      </c>
      <c r="G16" s="3027"/>
      <c r="H16" s="3027"/>
      <c r="I16" s="3028"/>
      <c r="J16" s="2031"/>
      <c r="K16" s="2080"/>
      <c r="L16" s="2081"/>
      <c r="M16" s="2081"/>
      <c r="N16" s="2082"/>
      <c r="O16" s="2081"/>
      <c r="P16" s="2082"/>
      <c r="Q16" s="2031"/>
      <c r="R16" s="2031"/>
    </row>
    <row r="17" spans="1:22" ht="18" customHeight="1">
      <c r="A17" s="2084" t="s">
        <v>1803</v>
      </c>
      <c r="B17" s="2037" t="s">
        <v>1804</v>
      </c>
      <c r="C17" s="1057">
        <f>'数据-汇总表'!E3</f>
        <v>15950.36</v>
      </c>
      <c r="D17" s="2085" t="s">
        <v>1805</v>
      </c>
      <c r="E17" s="3029" t="s">
        <v>3071</v>
      </c>
      <c r="F17" s="3030"/>
      <c r="G17" s="3030"/>
      <c r="H17" s="3030"/>
      <c r="I17" s="3031"/>
      <c r="J17" s="2031"/>
      <c r="K17" s="2086"/>
      <c r="L17" s="2081"/>
      <c r="M17" s="2081"/>
      <c r="N17" s="2082"/>
      <c r="O17" s="2081"/>
      <c r="P17" s="2082"/>
      <c r="Q17" s="2031"/>
      <c r="R17" s="2031"/>
      <c r="S17" s="2031"/>
      <c r="T17" s="2031"/>
      <c r="U17" s="2031"/>
      <c r="V17" s="2031"/>
    </row>
    <row r="18" spans="1:22" ht="36" customHeight="1" thickBot="1">
      <c r="A18" s="2087" t="s">
        <v>1806</v>
      </c>
      <c r="B18" s="2039" t="s">
        <v>1807</v>
      </c>
      <c r="C18" s="1446">
        <f>'数据-汇总表'!D3</f>
        <v>24215.7</v>
      </c>
      <c r="D18" s="2088" t="s">
        <v>1805</v>
      </c>
      <c r="E18" s="3032" t="s">
        <v>3072</v>
      </c>
      <c r="F18" s="3033"/>
      <c r="G18" s="3033"/>
      <c r="H18" s="3033"/>
      <c r="I18" s="3034"/>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3055</v>
      </c>
      <c r="F19" s="2092" t="str">
        <f>IF(AND(C19="是",E19="否"),"是否提供他项权证或相关说明","")</f>
        <v/>
      </c>
      <c r="G19" s="2093"/>
      <c r="H19" s="2043"/>
      <c r="I19" s="2043"/>
      <c r="J19" s="2043"/>
      <c r="K19" s="2052"/>
      <c r="L19" s="2030"/>
      <c r="M19" s="2030"/>
      <c r="N19" s="2082"/>
      <c r="O19" s="2081"/>
      <c r="P19" s="2082"/>
      <c r="Q19" s="2031"/>
      <c r="R19" s="2031"/>
      <c r="S19" s="2031"/>
      <c r="T19" s="2031"/>
      <c r="U19" s="2031"/>
      <c r="V19" s="2031"/>
    </row>
    <row r="20" spans="1:22" ht="18" customHeight="1">
      <c r="A20" s="2094" t="s">
        <v>1811</v>
      </c>
      <c r="B20" s="3019" t="s">
        <v>1812</v>
      </c>
      <c r="C20" s="3020"/>
      <c r="D20" s="3021" t="s">
        <v>1813</v>
      </c>
      <c r="E20" s="3022"/>
      <c r="F20" s="2095" t="s">
        <v>1814</v>
      </c>
      <c r="G20" s="2043"/>
      <c r="H20" s="2043"/>
      <c r="I20" s="2043"/>
      <c r="J20" s="2043"/>
      <c r="K20" s="3018"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3"/>
      <c r="H21" s="2043"/>
      <c r="I21" s="2043"/>
      <c r="J21" s="204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上述抵押权设定日期为2016.7.6，权利人为浦发北分，权利范围为全部，权利价值为6100万元。</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3"/>
      <c r="H22" s="2043"/>
      <c r="I22" s="2043"/>
      <c r="J22" s="204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t="s">
        <v>3056</v>
      </c>
      <c r="D23" s="2105" t="s">
        <v>1822</v>
      </c>
      <c r="E23" s="2106" t="s">
        <v>3058</v>
      </c>
      <c r="F23" s="2102"/>
      <c r="G23" s="2043"/>
      <c r="H23" s="2043"/>
      <c r="I23" s="2043"/>
      <c r="J23" s="2043"/>
      <c r="K23" s="2107"/>
      <c r="L23" s="748"/>
      <c r="M23" s="2030"/>
      <c r="N23" s="2082"/>
      <c r="O23" s="2081"/>
      <c r="P23" s="2082"/>
      <c r="Q23" s="2031"/>
      <c r="R23" s="2031"/>
      <c r="S23" s="2031"/>
      <c r="T23" s="2031"/>
      <c r="U23" s="2031"/>
      <c r="V23" s="2031"/>
    </row>
    <row r="24" spans="1:22" ht="18" customHeight="1">
      <c r="A24" s="2108"/>
      <c r="B24" s="183" t="s">
        <v>1823</v>
      </c>
      <c r="C24" s="2948" t="s">
        <v>3059</v>
      </c>
      <c r="D24" s="2103" t="s">
        <v>1823</v>
      </c>
      <c r="E24" s="2948" t="s">
        <v>3059</v>
      </c>
      <c r="F24" s="2102"/>
      <c r="G24" s="2043"/>
      <c r="H24" s="2043"/>
      <c r="I24" s="2043"/>
      <c r="J24" s="2043"/>
      <c r="K24" s="2107"/>
      <c r="L24" s="748"/>
      <c r="M24" s="2030"/>
      <c r="N24" s="2082"/>
      <c r="O24" s="2081"/>
      <c r="P24" s="2082"/>
      <c r="Q24" s="2031"/>
      <c r="R24" s="2031"/>
      <c r="S24" s="2031"/>
      <c r="T24" s="2031"/>
      <c r="U24" s="2031"/>
      <c r="V24" s="2031"/>
    </row>
    <row r="25" spans="1:22" ht="18" customHeight="1">
      <c r="A25" s="2108"/>
      <c r="B25" s="183" t="s">
        <v>1824</v>
      </c>
      <c r="C25" s="2948" t="s">
        <v>3060</v>
      </c>
      <c r="D25" s="2103" t="s">
        <v>1824</v>
      </c>
      <c r="E25" s="2948" t="s">
        <v>3060</v>
      </c>
      <c r="F25" s="2102"/>
      <c r="G25" s="2043"/>
      <c r="H25" s="2043"/>
      <c r="I25" s="2043"/>
      <c r="J25" s="2043"/>
      <c r="K25" s="2052"/>
      <c r="L25" s="2030"/>
      <c r="M25" s="2030"/>
      <c r="N25" s="2082"/>
      <c r="O25" s="2081"/>
      <c r="P25" s="2082"/>
      <c r="Q25" s="2031"/>
      <c r="R25" s="2031"/>
      <c r="S25" s="2031"/>
      <c r="T25" s="2031"/>
      <c r="U25" s="2031"/>
      <c r="V25" s="2031"/>
    </row>
    <row r="26" spans="1:22" ht="18" customHeight="1" thickBot="1">
      <c r="A26" s="2109"/>
      <c r="B26" s="2110" t="s">
        <v>1825</v>
      </c>
      <c r="C26" s="2111" t="s">
        <v>3057</v>
      </c>
      <c r="D26" s="2112" t="s">
        <v>1826</v>
      </c>
      <c r="E26" s="2111" t="s">
        <v>3061</v>
      </c>
      <c r="F26" s="2113"/>
      <c r="G26" s="2060"/>
      <c r="H26" s="2060"/>
      <c r="I26" s="2060"/>
      <c r="J26" s="2043"/>
      <c r="K26" s="2052"/>
      <c r="L26" s="2030"/>
      <c r="M26" s="2030"/>
      <c r="N26" s="2082"/>
      <c r="O26" s="2081"/>
      <c r="P26" s="2082"/>
      <c r="Q26" s="2031"/>
      <c r="R26" s="2031"/>
      <c r="S26" s="2031"/>
      <c r="T26" s="2031"/>
      <c r="U26" s="2031"/>
      <c r="V26" s="2031"/>
    </row>
    <row r="27" spans="1:22" ht="18" customHeight="1" thickTop="1">
      <c r="A27" s="3006" t="s">
        <v>1827</v>
      </c>
      <c r="B27" s="2061" t="s">
        <v>1828</v>
      </c>
      <c r="C27" s="2114" t="s">
        <v>3062</v>
      </c>
      <c r="D27" s="2115"/>
      <c r="E27" s="2043"/>
      <c r="F27" s="2043"/>
      <c r="G27" s="2043"/>
      <c r="H27" s="2043"/>
      <c r="I27" s="2043"/>
      <c r="J27" s="2031"/>
      <c r="K27" s="2080"/>
      <c r="L27" s="2081"/>
      <c r="M27" s="2081"/>
      <c r="N27" s="2082"/>
      <c r="O27" s="2081"/>
      <c r="P27" s="2082"/>
      <c r="Q27" s="2031"/>
      <c r="R27" s="2031"/>
      <c r="S27" s="2031"/>
      <c r="T27" s="2031"/>
      <c r="U27" s="2031"/>
      <c r="V27" s="2031"/>
    </row>
    <row r="28" spans="1:22" ht="18" customHeight="1">
      <c r="A28" s="3006"/>
      <c r="B28" s="2037" t="s">
        <v>1829</v>
      </c>
      <c r="C28" s="2116" t="s">
        <v>3063</v>
      </c>
      <c r="D28" s="2117"/>
      <c r="E28" s="2043"/>
      <c r="F28" s="2043"/>
      <c r="G28" s="2043"/>
      <c r="H28" s="2043"/>
      <c r="I28" s="2043"/>
      <c r="J28" s="2031"/>
      <c r="K28" s="2118"/>
      <c r="L28" s="2030"/>
      <c r="M28" s="2030"/>
      <c r="N28" s="2031"/>
      <c r="O28" s="2032"/>
      <c r="P28" s="2031"/>
      <c r="Q28" s="2031"/>
      <c r="R28" s="2031"/>
      <c r="S28" s="2031"/>
      <c r="T28" s="2031"/>
      <c r="U28" s="2031"/>
      <c r="V28" s="2031"/>
    </row>
    <row r="29" spans="1:22" ht="18" customHeight="1">
      <c r="A29" s="3006"/>
      <c r="B29" s="2037" t="s">
        <v>1830</v>
      </c>
      <c r="C29" s="2119"/>
      <c r="D29" s="2120"/>
      <c r="E29" s="2043"/>
      <c r="F29" s="2043"/>
      <c r="G29" s="2043"/>
      <c r="H29" s="2043"/>
      <c r="I29" s="2043"/>
      <c r="J29" s="2031"/>
      <c r="K29" s="2118"/>
      <c r="L29" s="2030"/>
      <c r="M29" s="2030"/>
      <c r="N29" s="2031"/>
      <c r="O29" s="2032"/>
      <c r="P29" s="2031"/>
      <c r="Q29" s="2031"/>
      <c r="R29" s="2031"/>
      <c r="S29" s="2031"/>
      <c r="T29" s="2031"/>
      <c r="U29" s="2031"/>
      <c r="V29" s="2031"/>
    </row>
    <row r="30" spans="1:22" ht="18" customHeight="1">
      <c r="A30" s="3007"/>
      <c r="B30" s="2037" t="s">
        <v>1831</v>
      </c>
      <c r="C30" s="3008"/>
      <c r="D30" s="3009"/>
      <c r="E30" s="2043"/>
      <c r="F30" s="2043"/>
      <c r="G30" s="2043"/>
      <c r="H30" s="2043"/>
      <c r="I30" s="2043"/>
      <c r="J30" s="2031"/>
      <c r="K30" s="2118"/>
      <c r="L30" s="2030"/>
      <c r="M30" s="2030"/>
      <c r="N30" s="2031"/>
      <c r="O30" s="2032"/>
      <c r="P30" s="2031"/>
      <c r="Q30" s="2031"/>
      <c r="R30" s="2031"/>
      <c r="S30" s="2031"/>
      <c r="T30" s="2031"/>
      <c r="U30" s="2031"/>
      <c r="V30" s="2031"/>
    </row>
    <row r="31" spans="1:22" ht="18" customHeight="1">
      <c r="A31" s="3010" t="s">
        <v>1832</v>
      </c>
      <c r="B31" s="2121" t="s">
        <v>3064</v>
      </c>
      <c r="C31" s="2122" t="str">
        <f>IF(B31="现房","成新及维护状况正常否",IF(B31="在建","工程状态是否正常",IF(B31="土地","是否闲置","-")))</f>
        <v>成新及维护状况正常否</v>
      </c>
      <c r="D31" s="2123"/>
      <c r="E31" s="2124"/>
      <c r="F31" s="2043"/>
      <c r="G31" s="2043"/>
      <c r="H31" s="2043"/>
      <c r="I31" s="2043"/>
      <c r="J31" s="2043"/>
      <c r="K31" s="2051"/>
      <c r="L31" s="2030"/>
      <c r="M31" s="2030"/>
      <c r="N31" s="2031"/>
      <c r="O31" s="2032"/>
      <c r="P31" s="2031"/>
      <c r="Q31" s="2031"/>
      <c r="R31" s="2031"/>
      <c r="S31" s="2031"/>
      <c r="T31" s="2031"/>
      <c r="U31" s="2031"/>
      <c r="V31" s="2031"/>
    </row>
    <row r="32" spans="1:22" ht="18" customHeight="1">
      <c r="A32" s="3011"/>
      <c r="B32" s="2121" t="s">
        <v>3064</v>
      </c>
      <c r="C32" s="2122" t="str">
        <f>IF(B32="现房","成新及维护状况是否正常",IF(B32="在建","工程状态是否正常",IF(B32="土地","是否闲置","-")))</f>
        <v>成新及维护状况是否正常</v>
      </c>
      <c r="D32" s="2123"/>
      <c r="E32" s="2124"/>
      <c r="F32" s="2043"/>
      <c r="G32" s="2043"/>
      <c r="H32" s="2043"/>
      <c r="I32" s="2043"/>
      <c r="J32" s="2043"/>
      <c r="K32" s="2052"/>
      <c r="L32" s="2030"/>
      <c r="M32" s="2030"/>
      <c r="N32" s="2031"/>
      <c r="O32" s="2032"/>
      <c r="P32" s="2031"/>
      <c r="Q32" s="2031"/>
      <c r="R32" s="2031"/>
      <c r="S32" s="2031"/>
      <c r="T32" s="2031"/>
      <c r="U32" s="2031"/>
      <c r="V32" s="2031"/>
    </row>
    <row r="33" spans="1:22" ht="18" customHeight="1">
      <c r="A33" s="3011"/>
      <c r="B33" s="2125"/>
      <c r="C33" s="2068" t="str">
        <f>IF(B33="现房","成新及维护状况是否正常",IF(B33="在建","工程状态是否正常",IF(B33="土地","是否闲置","-")))</f>
        <v>-</v>
      </c>
      <c r="D33" s="2126"/>
      <c r="E33" s="2127"/>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1833</v>
      </c>
      <c r="B34" s="2128" t="s">
        <v>3065</v>
      </c>
      <c r="C34" s="2128" t="s">
        <v>3066</v>
      </c>
      <c r="D34" s="2128" t="s">
        <v>3067</v>
      </c>
      <c r="E34" s="2128" t="s">
        <v>3068</v>
      </c>
      <c r="F34" s="2128" t="s">
        <v>3069</v>
      </c>
      <c r="G34" s="2128"/>
      <c r="H34" s="2128"/>
      <c r="I34" s="2043"/>
      <c r="J34" s="2043"/>
      <c r="K34" s="1797">
        <f>COUNTIF(B34:H34,"——")</f>
        <v>0</v>
      </c>
      <c r="L34" s="2072" t="s">
        <v>1834</v>
      </c>
      <c r="M34" s="2072" t="s">
        <v>1835</v>
      </c>
      <c r="N34" s="2072" t="s">
        <v>1836</v>
      </c>
      <c r="O34" s="2072" t="s">
        <v>1837</v>
      </c>
      <c r="P34" s="2072" t="s">
        <v>1838</v>
      </c>
      <c r="Q34" s="2072" t="s">
        <v>1839</v>
      </c>
      <c r="R34" s="2072" t="s">
        <v>1840</v>
      </c>
      <c r="S34" s="3005" t="s">
        <v>1841</v>
      </c>
      <c r="T34" s="2129" t="str">
        <f>NUMBERSTRING(7-K34,1)&amp;"通"</f>
        <v>七通</v>
      </c>
      <c r="U34" s="2031"/>
      <c r="V34" s="2031"/>
    </row>
    <row r="35" spans="1:22" ht="18" customHeight="1">
      <c r="A35" s="2130"/>
      <c r="B35" s="3012" t="s">
        <v>1842</v>
      </c>
      <c r="C35" s="3012"/>
      <c r="D35" s="3012"/>
      <c r="E35" s="3012"/>
      <c r="F35" s="2131">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31"/>
      <c r="V35" s="2031"/>
    </row>
    <row r="36" spans="1:22" ht="18" customHeight="1">
      <c r="A36" s="2132"/>
      <c r="B36" s="2131" t="s">
        <v>1843</v>
      </c>
      <c r="C36" s="2131" t="s">
        <v>1844</v>
      </c>
      <c r="D36" s="2131" t="s">
        <v>1845</v>
      </c>
      <c r="E36" s="2131" t="s">
        <v>1846</v>
      </c>
      <c r="F36" s="2133"/>
      <c r="G36" s="2043"/>
      <c r="H36" s="2043"/>
      <c r="I36" s="2043"/>
      <c r="J36" s="2043"/>
      <c r="K36" s="2052"/>
      <c r="L36" s="2030"/>
      <c r="M36" s="2030"/>
      <c r="N36" s="2031"/>
      <c r="O36" s="2032"/>
      <c r="P36" s="2031"/>
      <c r="Q36" s="2031"/>
      <c r="R36" s="2031"/>
      <c r="S36" s="2031"/>
      <c r="T36" s="2031"/>
      <c r="U36" s="2031"/>
      <c r="V36" s="2031"/>
    </row>
    <row r="37" spans="1:22" ht="18" customHeight="1">
      <c r="A37" s="2134" t="s">
        <v>1847</v>
      </c>
      <c r="B37" s="2135" t="s">
        <v>530</v>
      </c>
      <c r="C37" s="2135" t="s">
        <v>530</v>
      </c>
      <c r="D37" s="2135" t="s">
        <v>530</v>
      </c>
      <c r="E37" s="2135" t="s">
        <v>530</v>
      </c>
      <c r="F37" s="2133"/>
      <c r="G37" s="2043"/>
      <c r="H37" s="2043"/>
      <c r="I37" s="2043"/>
      <c r="J37" s="2043"/>
      <c r="K37" s="2052"/>
      <c r="L37" s="2030"/>
      <c r="M37" s="2030"/>
      <c r="N37" s="2031"/>
      <c r="O37" s="2032"/>
      <c r="P37" s="2031"/>
      <c r="Q37" s="2031"/>
      <c r="R37" s="2031"/>
      <c r="S37" s="2031"/>
      <c r="T37" s="2031"/>
      <c r="U37" s="2031"/>
      <c r="V37" s="2031"/>
    </row>
    <row r="38" spans="1:22" ht="36" customHeight="1" thickBot="1">
      <c r="A38" s="2136" t="s">
        <v>1848</v>
      </c>
      <c r="B38" s="2137" t="s">
        <v>3070</v>
      </c>
      <c r="C38" s="2137" t="s">
        <v>3070</v>
      </c>
      <c r="D38" s="2137" t="s">
        <v>3070</v>
      </c>
      <c r="E38" s="2137" t="s">
        <v>3070</v>
      </c>
      <c r="F38" s="2138"/>
      <c r="G38" s="2060"/>
      <c r="H38" s="2060"/>
      <c r="I38" s="2060"/>
      <c r="J38" s="2043"/>
      <c r="K38" s="2052"/>
      <c r="L38" s="2030"/>
      <c r="M38" s="2030"/>
      <c r="N38" s="2031"/>
      <c r="O38" s="2032"/>
      <c r="P38" s="2031"/>
      <c r="Q38" s="2031"/>
      <c r="R38" s="2031"/>
      <c r="S38" s="2031"/>
      <c r="T38" s="2031"/>
      <c r="U38" s="2031"/>
      <c r="V38" s="2031"/>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2"/>
      <c r="K40" s="666"/>
      <c r="L40" s="2081"/>
      <c r="M40" s="2081"/>
      <c r="N40" s="2082"/>
      <c r="O40" s="2081"/>
      <c r="P40" s="2031"/>
      <c r="Q40" s="2031"/>
      <c r="R40" s="2031"/>
      <c r="S40" s="2031"/>
      <c r="T40" s="2031"/>
      <c r="U40" s="2031"/>
      <c r="V40" s="2031"/>
    </row>
    <row r="41" spans="1:22" ht="18" customHeight="1">
      <c r="A41" s="8" t="s">
        <v>1850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47"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2" customFormat="1" ht="18" customHeight="1">
      <c r="A43" s="2148"/>
      <c r="B43" s="1275"/>
      <c r="C43" s="1275"/>
      <c r="D43" s="1275"/>
      <c r="E43" s="1275"/>
      <c r="F43" s="1275"/>
      <c r="G43" s="1275"/>
      <c r="H43" s="9"/>
      <c r="I43" s="9"/>
      <c r="J43" s="2149"/>
      <c r="K43" s="2150"/>
      <c r="L43" s="2150"/>
      <c r="M43" s="9"/>
      <c r="N43" s="1275"/>
      <c r="O43" s="9"/>
      <c r="P43" s="1275"/>
      <c r="Q43" s="1275"/>
      <c r="R43" s="1275"/>
      <c r="S43" s="2151"/>
      <c r="T43" s="2151"/>
      <c r="U43" s="2151"/>
      <c r="V43" s="2151"/>
    </row>
    <row r="44" spans="1:22" s="2152" customFormat="1" ht="18" customHeight="1">
      <c r="A44" s="2148"/>
      <c r="B44" s="2148"/>
      <c r="C44" s="1275"/>
      <c r="D44" s="1275"/>
      <c r="E44" s="1275"/>
      <c r="F44" s="1275"/>
      <c r="G44" s="1275"/>
      <c r="H44" s="9"/>
      <c r="I44" s="9"/>
      <c r="J44" s="2149"/>
      <c r="K44" s="2150"/>
      <c r="L44" s="2150"/>
      <c r="M44" s="9"/>
      <c r="N44" s="1275"/>
      <c r="O44" s="9"/>
      <c r="P44" s="1275"/>
      <c r="Q44" s="1275"/>
      <c r="R44" s="1275"/>
      <c r="S44" s="2151"/>
      <c r="T44" s="2151"/>
      <c r="U44" s="2151"/>
      <c r="V44" s="2151"/>
    </row>
    <row r="45" spans="1:22" s="2152" customFormat="1" ht="18" customHeight="1">
      <c r="A45" s="2148"/>
      <c r="B45" s="2148"/>
      <c r="C45" s="1275"/>
      <c r="D45" s="1275"/>
      <c r="E45" s="1275"/>
      <c r="F45" s="1275"/>
      <c r="G45" s="1275"/>
      <c r="H45" s="9"/>
      <c r="I45" s="9"/>
      <c r="J45" s="2149"/>
      <c r="K45" s="2150"/>
      <c r="L45" s="2150"/>
      <c r="M45" s="9"/>
      <c r="N45" s="1275"/>
      <c r="O45" s="9"/>
      <c r="P45" s="1275"/>
      <c r="Q45" s="1275"/>
      <c r="R45" s="1275"/>
      <c r="S45" s="2151"/>
      <c r="T45" s="2151"/>
      <c r="U45" s="2151"/>
      <c r="V45" s="2151"/>
    </row>
    <row r="46" spans="1:22" s="2152" customFormat="1" ht="18" customHeight="1">
      <c r="A46" s="2148"/>
      <c r="B46" s="2148"/>
      <c r="C46" s="1275"/>
      <c r="D46" s="1275"/>
      <c r="E46" s="1275"/>
      <c r="F46" s="1275"/>
      <c r="G46" s="1275"/>
      <c r="H46" s="9"/>
      <c r="I46" s="9"/>
      <c r="J46" s="2149"/>
      <c r="K46" s="2150"/>
      <c r="L46" s="2150"/>
      <c r="M46" s="9"/>
      <c r="N46" s="1275"/>
      <c r="O46" s="9"/>
      <c r="P46" s="1275"/>
      <c r="Q46" s="1275"/>
      <c r="R46" s="1275"/>
      <c r="S46" s="2151"/>
      <c r="T46" s="2151"/>
      <c r="U46" s="2151"/>
      <c r="V46" s="2151"/>
    </row>
    <row r="47" spans="1:22" s="2152" customFormat="1" ht="18" customHeight="1">
      <c r="A47" s="2148"/>
      <c r="B47" s="2148"/>
      <c r="C47" s="1275"/>
      <c r="D47" s="1275"/>
      <c r="E47" s="1275"/>
      <c r="F47" s="1275"/>
      <c r="G47" s="1275"/>
      <c r="H47" s="9"/>
      <c r="I47" s="9"/>
      <c r="J47" s="2149"/>
      <c r="K47" s="2150"/>
      <c r="L47" s="2150"/>
      <c r="M47" s="9"/>
      <c r="N47" s="1275"/>
      <c r="O47" s="9"/>
      <c r="P47" s="1275"/>
      <c r="Q47" s="1275"/>
      <c r="R47" s="1275"/>
      <c r="S47" s="2151"/>
      <c r="T47" s="2151"/>
      <c r="U47" s="2151"/>
      <c r="V47" s="2151"/>
    </row>
    <row r="48" spans="1:22" s="2152" customFormat="1" ht="18" customHeight="1">
      <c r="A48" s="2148"/>
      <c r="B48" s="2148"/>
      <c r="C48" s="1275"/>
      <c r="D48" s="1275"/>
      <c r="E48" s="1275"/>
      <c r="F48" s="1275"/>
      <c r="G48" s="1275"/>
      <c r="H48" s="9"/>
      <c r="I48" s="9"/>
      <c r="J48" s="2149"/>
      <c r="K48" s="2150"/>
      <c r="L48" s="2150"/>
      <c r="M48" s="9"/>
      <c r="N48" s="1275"/>
      <c r="O48" s="9"/>
      <c r="P48" s="1275"/>
      <c r="Q48" s="1275"/>
      <c r="R48" s="1275"/>
      <c r="S48" s="2151"/>
      <c r="T48" s="2151"/>
      <c r="U48" s="2151"/>
      <c r="V48" s="2151"/>
    </row>
    <row r="49" spans="1:22" s="2152" customFormat="1" ht="18" customHeight="1">
      <c r="A49" s="2148"/>
      <c r="B49" s="2148"/>
      <c r="C49" s="1275"/>
      <c r="D49" s="1275"/>
      <c r="E49" s="1275"/>
      <c r="F49" s="1275"/>
      <c r="G49" s="1275"/>
      <c r="H49" s="9"/>
      <c r="I49" s="9"/>
      <c r="J49" s="2149"/>
      <c r="K49" s="2150"/>
      <c r="L49" s="2150"/>
      <c r="M49" s="9"/>
      <c r="N49" s="1275"/>
      <c r="O49" s="9"/>
      <c r="P49" s="1275"/>
      <c r="Q49" s="1275"/>
      <c r="R49" s="1275"/>
      <c r="S49" s="2151"/>
      <c r="T49" s="2151"/>
      <c r="U49" s="2151"/>
      <c r="V49" s="2151"/>
    </row>
    <row r="50" spans="1:22" s="2152" customFormat="1" ht="18" customHeight="1">
      <c r="A50" s="2148"/>
      <c r="B50" s="2148"/>
      <c r="C50" s="1275"/>
      <c r="D50" s="1275"/>
      <c r="E50" s="1275"/>
      <c r="F50" s="1275"/>
      <c r="G50" s="1275"/>
      <c r="H50" s="9"/>
      <c r="I50" s="9"/>
      <c r="J50" s="2149"/>
      <c r="K50" s="2150"/>
      <c r="L50" s="2150"/>
      <c r="M50" s="9"/>
      <c r="N50" s="1275"/>
      <c r="O50" s="9"/>
      <c r="P50" s="1275"/>
      <c r="Q50" s="1275"/>
      <c r="R50" s="1275"/>
      <c r="S50" s="2151"/>
      <c r="T50" s="2151"/>
      <c r="U50" s="2151"/>
      <c r="V50" s="2151"/>
    </row>
    <row r="51" spans="1:22" s="2152" customFormat="1" ht="18" customHeight="1">
      <c r="A51" s="2148"/>
      <c r="B51" s="2148"/>
      <c r="C51" s="1275"/>
      <c r="D51" s="1275"/>
      <c r="E51" s="1275"/>
      <c r="F51" s="1275"/>
      <c r="G51" s="1275"/>
      <c r="H51" s="9"/>
      <c r="I51" s="9"/>
      <c r="J51" s="2149"/>
      <c r="K51" s="2150"/>
      <c r="L51" s="2150"/>
      <c r="M51" s="9"/>
      <c r="N51" s="1275"/>
      <c r="O51" s="9"/>
      <c r="P51" s="1275"/>
      <c r="Q51" s="1275"/>
      <c r="R51" s="1275"/>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2" t="s">
        <v>1874</v>
      </c>
      <c r="AZ2" s="1273"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24215.7</v>
      </c>
      <c r="B3" s="14">
        <f>IF(C3="否",G5-AT5,G5)</f>
        <v>15950.36</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4"/>
      <c r="AZ3" s="1275"/>
      <c r="BA3" s="1276"/>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5"/>
      <c r="C5" s="1805"/>
      <c r="D5" s="1808"/>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7" t="s">
        <v>1880</v>
      </c>
      <c r="B7" s="2107" t="s">
        <v>1881</v>
      </c>
      <c r="C7" s="2107" t="s">
        <v>1882</v>
      </c>
      <c r="D7" s="2107" t="s">
        <v>1883</v>
      </c>
      <c r="E7" s="2107" t="s">
        <v>1884</v>
      </c>
      <c r="F7" s="2107"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1887</v>
      </c>
      <c r="AV7" s="23" t="s">
        <v>1888</v>
      </c>
      <c r="AW7" s="2161" t="s">
        <v>1889</v>
      </c>
      <c r="AX7" s="23" t="s">
        <v>1882</v>
      </c>
      <c r="AY7" s="1805"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20"/>
      <c r="K8" s="1820"/>
      <c r="L8" s="1820"/>
      <c r="M8" s="1820"/>
      <c r="N8" s="1820"/>
      <c r="O8" s="1820"/>
      <c r="P8" s="1820"/>
      <c r="Q8" s="1820"/>
      <c r="R8" s="1820"/>
      <c r="S8" s="1820"/>
      <c r="T8" s="1820"/>
      <c r="U8" s="1820"/>
      <c r="V8" s="2181"/>
      <c r="W8" s="1820"/>
      <c r="X8" s="1820"/>
      <c r="Y8" s="1820"/>
      <c r="Z8" s="1820"/>
      <c r="AA8" s="2181"/>
      <c r="AB8" s="2182"/>
      <c r="AC8" s="984" t="s">
        <v>1893</v>
      </c>
      <c r="AD8" s="2183"/>
      <c r="AE8" s="2175"/>
      <c r="AF8" s="1820"/>
      <c r="AG8" s="1820"/>
      <c r="AH8" s="1820"/>
      <c r="AI8" s="1820"/>
      <c r="AJ8" s="1820"/>
      <c r="AK8" s="1820"/>
      <c r="AL8" s="1820"/>
      <c r="AM8" s="1820"/>
      <c r="AN8" s="1820"/>
      <c r="AO8" s="1820"/>
      <c r="AP8" s="1820"/>
      <c r="AQ8" s="1820"/>
      <c r="AR8" s="1820"/>
      <c r="AS8" s="1820"/>
      <c r="AT8" s="1295" t="s">
        <v>1894</v>
      </c>
      <c r="AU8" s="2177" t="s">
        <v>1895</v>
      </c>
      <c r="AV8" s="1295"/>
      <c r="AW8" s="2160"/>
      <c r="AX8" s="1295"/>
      <c r="AY8" s="2161"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5"/>
      <c r="H9" s="2185" t="s">
        <v>1898</v>
      </c>
      <c r="I9" s="2186" t="s">
        <v>3075</v>
      </c>
      <c r="J9" s="984"/>
      <c r="K9" s="2186" t="s">
        <v>3075</v>
      </c>
      <c r="L9" s="984"/>
      <c r="M9" s="2186"/>
      <c r="N9" s="984"/>
      <c r="O9" s="2186"/>
      <c r="P9" s="984"/>
      <c r="Q9" s="2186"/>
      <c r="R9" s="984"/>
      <c r="S9" s="2186"/>
      <c r="T9" s="984"/>
      <c r="U9" s="2186"/>
      <c r="V9" s="984"/>
      <c r="W9" s="2186"/>
      <c r="X9" s="2187"/>
      <c r="Y9" s="2186"/>
      <c r="Z9" s="984"/>
      <c r="AA9" s="2186"/>
      <c r="AB9" s="984"/>
      <c r="AC9" s="2178"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8"/>
      <c r="AT9" s="2177"/>
      <c r="AU9" s="2177" t="s">
        <v>1901</v>
      </c>
      <c r="AV9" s="1295"/>
      <c r="AW9" s="2160"/>
      <c r="AX9" s="1295"/>
      <c r="AY9" s="28"/>
      <c r="AZ9" s="28" t="s">
        <v>1891</v>
      </c>
      <c r="BA9" s="2189" t="s">
        <v>1902</v>
      </c>
      <c r="BB9" s="2190"/>
      <c r="BC9" s="1341"/>
      <c r="BD9" s="1341"/>
      <c r="BE9" s="1341"/>
      <c r="BF9" s="1341"/>
      <c r="BG9" s="1341"/>
      <c r="BH9" s="1341"/>
      <c r="BI9" s="1341"/>
      <c r="BJ9" s="1341"/>
      <c r="BK9" s="2191"/>
      <c r="BL9" s="15" t="s">
        <v>1903</v>
      </c>
      <c r="BM9" s="1820"/>
      <c r="BN9" s="2180"/>
      <c r="BO9" s="1820"/>
      <c r="BP9" s="1820"/>
      <c r="BQ9" s="1820"/>
      <c r="BR9" s="1820"/>
      <c r="BS9" s="1820"/>
      <c r="BT9" s="26"/>
    </row>
    <row r="10" spans="1:72" s="2184" customFormat="1" ht="12.75">
      <c r="A10" s="2177"/>
      <c r="B10" s="2177"/>
      <c r="C10" s="2177"/>
      <c r="D10" s="2177"/>
      <c r="E10" s="2177"/>
      <c r="F10" s="2177"/>
      <c r="G10" s="1295"/>
      <c r="H10" s="28"/>
      <c r="I10" s="2186" t="s">
        <v>6</v>
      </c>
      <c r="J10" s="984"/>
      <c r="K10" s="2192" t="s">
        <v>6</v>
      </c>
      <c r="L10" s="984"/>
      <c r="M10" s="2192"/>
      <c r="N10" s="984"/>
      <c r="O10" s="2192"/>
      <c r="P10" s="984"/>
      <c r="Q10" s="2192"/>
      <c r="R10" s="984"/>
      <c r="S10" s="2192"/>
      <c r="T10" s="984"/>
      <c r="U10" s="2192"/>
      <c r="V10" s="984"/>
      <c r="W10" s="2192"/>
      <c r="X10" s="984"/>
      <c r="Y10" s="2192"/>
      <c r="Z10" s="984"/>
      <c r="AA10" s="2192"/>
      <c r="AB10" s="984"/>
      <c r="AC10" s="1295"/>
      <c r="AD10" s="15" t="s">
        <v>1904</v>
      </c>
      <c r="AE10" s="2193"/>
      <c r="AF10" s="15" t="s">
        <v>1904</v>
      </c>
      <c r="AG10" s="2193"/>
      <c r="AH10" s="15" t="s">
        <v>1905</v>
      </c>
      <c r="AI10" s="2193"/>
      <c r="AJ10" s="15" t="s">
        <v>1905</v>
      </c>
      <c r="AK10" s="2193"/>
      <c r="AL10" s="15" t="s">
        <v>1906</v>
      </c>
      <c r="AM10" s="1301"/>
      <c r="AN10" s="15" t="s">
        <v>1906</v>
      </c>
      <c r="AO10" s="1301"/>
      <c r="AP10" s="15" t="s">
        <v>1907</v>
      </c>
      <c r="AQ10" s="1301"/>
      <c r="AR10" s="15" t="s">
        <v>1907</v>
      </c>
      <c r="AS10" s="1301"/>
      <c r="AT10" s="2177"/>
      <c r="AU10" s="2177"/>
      <c r="AV10" s="1295"/>
      <c r="AW10" s="2160"/>
      <c r="AX10" s="1295"/>
      <c r="AY10" s="28"/>
      <c r="AZ10" s="28"/>
      <c r="BA10" s="2194" t="s">
        <v>1898</v>
      </c>
      <c r="BB10" s="2195" t="str">
        <f>I9</f>
        <v>地上</v>
      </c>
      <c r="BC10" s="29" t="str">
        <f>K9</f>
        <v>地上</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5"/>
      <c r="H11" s="2194"/>
      <c r="I11" s="2197" t="s">
        <v>3076</v>
      </c>
      <c r="J11" s="2198"/>
      <c r="K11" s="2197" t="s">
        <v>3077</v>
      </c>
      <c r="L11" s="2198"/>
      <c r="M11" s="2197"/>
      <c r="N11" s="2198"/>
      <c r="O11" s="2197"/>
      <c r="P11" s="2198"/>
      <c r="Q11" s="2197"/>
      <c r="R11" s="2198"/>
      <c r="S11" s="2197"/>
      <c r="T11" s="2198"/>
      <c r="U11" s="2197"/>
      <c r="V11" s="2198"/>
      <c r="W11" s="2197"/>
      <c r="X11" s="2198"/>
      <c r="Y11" s="2197"/>
      <c r="Z11" s="2198"/>
      <c r="AA11" s="2197"/>
      <c r="AB11" s="2198"/>
      <c r="AC11" s="1295"/>
      <c r="AD11" s="2199" t="s">
        <v>1908</v>
      </c>
      <c r="AE11" s="1821"/>
      <c r="AF11" s="2199" t="s">
        <v>1908</v>
      </c>
      <c r="AG11" s="1821"/>
      <c r="AH11" s="2199" t="s">
        <v>1909</v>
      </c>
      <c r="AI11" s="2200"/>
      <c r="AJ11" s="2199" t="s">
        <v>1909</v>
      </c>
      <c r="AK11" s="1821"/>
      <c r="AL11" s="1819"/>
      <c r="AM11" s="1821"/>
      <c r="AN11" s="1819"/>
      <c r="AO11" s="1821"/>
      <c r="AP11" s="1819"/>
      <c r="AQ11" s="1821"/>
      <c r="AR11" s="1819"/>
      <c r="AS11" s="1821"/>
      <c r="AT11" s="2160"/>
      <c r="AU11" s="2177"/>
      <c r="AV11" s="1295"/>
      <c r="AW11" s="2160"/>
      <c r="AX11" s="1295"/>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4"/>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标准厂房</v>
      </c>
      <c r="BC12" s="2207" t="str">
        <f>K11</f>
        <v>办公楼</v>
      </c>
      <c r="BD12" s="2207">
        <f>M11</f>
        <v>0</v>
      </c>
      <c r="BE12" s="2182">
        <f>O11</f>
        <v>0</v>
      </c>
      <c r="BF12" s="2182">
        <f>Q11</f>
        <v>0</v>
      </c>
      <c r="BG12" s="2182">
        <f>S11</f>
        <v>0</v>
      </c>
      <c r="BH12" s="2182">
        <f>U11</f>
        <v>0</v>
      </c>
      <c r="BI12" s="2182">
        <f>W11</f>
        <v>0</v>
      </c>
      <c r="BJ12" s="2182">
        <f>Y11</f>
        <v>0</v>
      </c>
      <c r="BK12" s="2182">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51">
      <c r="A13" s="2949" t="s">
        <v>3079</v>
      </c>
      <c r="B13" s="2949" t="s">
        <v>3078</v>
      </c>
      <c r="C13" s="1275">
        <v>1</v>
      </c>
      <c r="D13" s="2208" t="s">
        <v>3055</v>
      </c>
      <c r="E13" s="16">
        <f>IF($C$3="是",ROUND($A$3*G13/$B$3,2),ROUND($A$3*(G13-AT13)/$B$3,2))</f>
        <v>10726.83</v>
      </c>
      <c r="F13" s="32"/>
      <c r="G13" s="33">
        <f>H13+AC13+AT13</f>
        <v>7065.53</v>
      </c>
      <c r="H13" s="20">
        <f>SUMIF(I$12:AB$12,"总值",I13:AB13)</f>
        <v>7065.53</v>
      </c>
      <c r="I13" s="2209">
        <v>7065.53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京怀国用（2010出）第0205号</v>
      </c>
      <c r="AW13" s="11" t="str">
        <f t="shared" si="6"/>
        <v>《房屋所有权证》[X京房权证怀字第013272号]</v>
      </c>
      <c r="AX13" s="11">
        <f t="shared" si="6"/>
        <v>1</v>
      </c>
      <c r="AY13" s="1808">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2949" t="s">
        <v>3079</v>
      </c>
      <c r="B14" s="2949" t="s">
        <v>3078</v>
      </c>
      <c r="C14" s="1275">
        <v>2</v>
      </c>
      <c r="D14" s="2208" t="s">
        <v>3055</v>
      </c>
      <c r="E14" s="16">
        <f>IF($C$3="是",ROUND($A$3*G14/$B$3,2),ROUND($A$3*(G14-AT14)/$B$3,2))</f>
        <v>2762.05</v>
      </c>
      <c r="F14" s="32"/>
      <c r="G14" s="33">
        <f>H14+AC14+AT14</f>
        <v>1819.3</v>
      </c>
      <c r="H14" s="20">
        <f>SUMIF(I$12:AB$12,"总值",I14:AB14)</f>
        <v>1819.3</v>
      </c>
      <c r="I14" s="2209"/>
      <c r="J14" s="2209"/>
      <c r="K14" s="2209">
        <v>1819.3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京怀国用（2010出）第0205号</v>
      </c>
      <c r="AW14" s="11" t="str">
        <f t="shared" si="6"/>
        <v>《房屋所有权证》[X京房权证怀字第013272号]</v>
      </c>
      <c r="AX14" s="11">
        <f t="shared" si="6"/>
        <v>2</v>
      </c>
      <c r="AY14" s="1808">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2949" t="s">
        <v>3079</v>
      </c>
      <c r="B15" s="2949" t="s">
        <v>3078</v>
      </c>
      <c r="C15" s="1275">
        <v>3</v>
      </c>
      <c r="D15" s="2208" t="s">
        <v>3055</v>
      </c>
      <c r="E15" s="16">
        <f>IF($C$3="是",ROUND($A$3*G15/$B$3,2),ROUND($A$3*(G15-AT15)/$B$3,2))</f>
        <v>10726.83</v>
      </c>
      <c r="F15" s="32"/>
      <c r="G15" s="33">
        <f>H15+AC15+AT15</f>
        <v>7065.53</v>
      </c>
      <c r="H15" s="20">
        <f>SUMIF(I$12:AB$12,"总值",I15:AB15)</f>
        <v>7065.53</v>
      </c>
      <c r="I15" s="2209">
        <v>7065.53</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京怀国用（2010出）第0205号</v>
      </c>
      <c r="AW15" s="11" t="str">
        <f t="shared" si="6"/>
        <v>《房屋所有权证》[X京房权证怀字第013272号]</v>
      </c>
      <c r="AX15" s="11">
        <f t="shared" si="6"/>
        <v>3</v>
      </c>
      <c r="AY15" s="1808">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5"/>
      <c r="B16" s="1275"/>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5"/>
      <c r="B17" s="1275"/>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4"/>
      <c r="C1" s="1394"/>
      <c r="D1" s="1394"/>
      <c r="E1" s="1394"/>
      <c r="F1" s="1394"/>
      <c r="G1" s="1394"/>
      <c r="H1" s="1394"/>
      <c r="I1" s="1394"/>
      <c r="J1" s="1394"/>
      <c r="K1" s="1394"/>
      <c r="L1" s="1394"/>
      <c r="M1" s="1394"/>
      <c r="N1" s="1394"/>
      <c r="O1" s="1394"/>
      <c r="P1" s="1394"/>
    </row>
    <row r="2" spans="1:16" ht="15">
      <c r="A2" s="3046" t="s">
        <v>1938</v>
      </c>
      <c r="B2" s="3046"/>
      <c r="C2" s="3046"/>
      <c r="D2" s="970" t="s">
        <v>1914</v>
      </c>
      <c r="E2" s="2222" t="s">
        <v>1915</v>
      </c>
      <c r="F2" s="1394"/>
      <c r="G2" s="2223"/>
      <c r="H2" s="2224"/>
      <c r="I2" s="2225" t="s">
        <v>1939</v>
      </c>
      <c r="J2" s="1394"/>
      <c r="K2" s="1394"/>
      <c r="L2" s="1394"/>
      <c r="M2" s="1394"/>
      <c r="N2" s="1429"/>
      <c r="O2" s="1394"/>
      <c r="P2" s="1394"/>
    </row>
    <row r="3" spans="1:16" ht="15.75" thickBot="1">
      <c r="A3" s="3047" t="s">
        <v>1912</v>
      </c>
      <c r="B3" s="3047"/>
      <c r="C3" s="3047"/>
      <c r="D3" s="46">
        <f>'数据-基础表'!AY6</f>
        <v>24215.7</v>
      </c>
      <c r="E3" s="46">
        <f>'数据-基础表'!AZ5</f>
        <v>15950.36</v>
      </c>
      <c r="F3" s="1394"/>
      <c r="G3" s="1401"/>
      <c r="H3" s="1250" t="s">
        <v>1913</v>
      </c>
      <c r="I3" s="55">
        <f>ROUND('数据-基础表'!B3/'数据-基础表'!A3,2)</f>
        <v>0.66</v>
      </c>
      <c r="J3" s="1394"/>
      <c r="K3" s="1394"/>
      <c r="L3" s="1394"/>
      <c r="M3" s="1394"/>
      <c r="N3" s="1429"/>
      <c r="O3" s="1394"/>
      <c r="P3" s="1394"/>
    </row>
    <row r="4" spans="1:16" ht="15">
      <c r="A4" s="3048"/>
      <c r="B4" s="3049"/>
      <c r="C4" s="3050"/>
      <c r="D4" s="2226" t="s">
        <v>1914</v>
      </c>
      <c r="E4" s="2227" t="s">
        <v>1915</v>
      </c>
      <c r="F4" s="1394"/>
      <c r="G4" s="2228" t="s">
        <v>1940</v>
      </c>
      <c r="H4" s="1250" t="s">
        <v>1920</v>
      </c>
      <c r="I4" s="55">
        <f>ROUND(SUMIF('数据-基础表'!I9:AS9,"地上",'数据-基础表'!I5:AS5)/'数据-基础表'!A3,2)</f>
        <v>0.66</v>
      </c>
      <c r="J4" s="1394"/>
      <c r="K4" s="1394"/>
      <c r="L4" s="1394"/>
      <c r="M4" s="1394"/>
      <c r="N4" s="1429"/>
      <c r="O4" s="1394"/>
      <c r="P4" s="1394"/>
    </row>
    <row r="5" spans="1:16">
      <c r="A5" s="47" t="s">
        <v>1916</v>
      </c>
      <c r="B5" s="3051" t="s">
        <v>1917</v>
      </c>
      <c r="C5" s="3051"/>
      <c r="D5" s="48">
        <f>ROUND($D$3*E5/$E$3,2)</f>
        <v>0</v>
      </c>
      <c r="E5" s="49">
        <f>SUMIF('数据-基础表'!$11:$11,"住宅",'数据-基础表'!$5:$5)</f>
        <v>0</v>
      </c>
      <c r="F5" s="1394"/>
      <c r="G5" s="1401"/>
      <c r="H5" s="1250" t="s">
        <v>1913</v>
      </c>
      <c r="I5" s="55">
        <f>ROUND(E31/D31,2)</f>
        <v>0.66</v>
      </c>
      <c r="J5" s="1394"/>
      <c r="K5" s="1394"/>
      <c r="L5" s="1394"/>
      <c r="M5" s="1394"/>
      <c r="N5" s="1394"/>
      <c r="O5" s="1394"/>
      <c r="P5" s="1394"/>
    </row>
    <row r="6" spans="1:16" ht="15" thickBot="1">
      <c r="A6" s="2229"/>
      <c r="B6" s="3051" t="s">
        <v>1918</v>
      </c>
      <c r="C6" s="3051"/>
      <c r="D6" s="48">
        <f>ROUND($D$3*E6/$E$3,2)</f>
        <v>24215.7</v>
      </c>
      <c r="E6" s="49">
        <f>E3-E5</f>
        <v>15950.36</v>
      </c>
      <c r="F6" s="1394"/>
      <c r="G6" s="2230" t="s">
        <v>1919</v>
      </c>
      <c r="H6" s="1401" t="s">
        <v>1920</v>
      </c>
      <c r="I6" s="942">
        <f>ROUND(F31/D31,2)</f>
        <v>0.66</v>
      </c>
      <c r="J6" s="1394"/>
      <c r="K6" s="1394"/>
      <c r="L6" s="1394"/>
      <c r="M6" s="1394"/>
      <c r="N6" s="1394"/>
      <c r="O6" s="1394"/>
      <c r="P6" s="1394"/>
    </row>
    <row r="7" spans="1:16" ht="15">
      <c r="A7" s="3043"/>
      <c r="B7" s="3044"/>
      <c r="C7" s="3045"/>
      <c r="D7" s="2226" t="s">
        <v>1914</v>
      </c>
      <c r="E7" s="2231" t="s">
        <v>1921</v>
      </c>
      <c r="F7" s="1394"/>
      <c r="G7" s="2223" t="s">
        <v>1922</v>
      </c>
      <c r="H7" s="64"/>
      <c r="I7" s="420"/>
      <c r="J7" s="1394"/>
      <c r="K7" s="1394"/>
      <c r="L7" s="1394"/>
      <c r="M7" s="1394"/>
      <c r="N7" s="1394"/>
      <c r="O7" s="1394"/>
      <c r="P7" s="1394"/>
    </row>
    <row r="8" spans="1:16">
      <c r="A8" s="47" t="s">
        <v>1923</v>
      </c>
      <c r="B8" s="50" t="s">
        <v>1924</v>
      </c>
      <c r="C8" s="48" t="s">
        <v>1925</v>
      </c>
      <c r="D8" s="48">
        <f t="shared" ref="D8:D15" si="0">ROUND($D$3*E8/$E$3,2)</f>
        <v>24215.7</v>
      </c>
      <c r="E8" s="51">
        <f>SUMIF('数据-基础表'!BB10:BK10,"地上",'数据-基础表'!BB5:BK5)</f>
        <v>15950.359999999999</v>
      </c>
      <c r="F8" s="1394"/>
      <c r="G8" s="2232"/>
      <c r="H8" s="2232"/>
      <c r="I8" s="1394"/>
      <c r="J8" s="1394"/>
      <c r="K8" s="1394"/>
      <c r="L8" s="1394"/>
      <c r="M8" s="1394"/>
      <c r="N8" s="1394"/>
      <c r="O8" s="1394"/>
      <c r="P8" s="1394"/>
    </row>
    <row r="9" spans="1:16">
      <c r="A9" s="2233"/>
      <c r="B9" s="2234"/>
      <c r="C9" s="48" t="s">
        <v>1926</v>
      </c>
      <c r="D9" s="48">
        <f t="shared" si="0"/>
        <v>0</v>
      </c>
      <c r="E9" s="52">
        <v>0</v>
      </c>
      <c r="F9" s="1394"/>
      <c r="G9" s="2232"/>
      <c r="H9" s="2232"/>
      <c r="I9" s="1394"/>
      <c r="J9" s="1394"/>
      <c r="K9" s="1394"/>
      <c r="L9" s="1394"/>
      <c r="M9" s="1394"/>
      <c r="N9" s="1394"/>
      <c r="O9" s="1394"/>
      <c r="P9" s="1394"/>
    </row>
    <row r="10" spans="1:16">
      <c r="A10" s="2233"/>
      <c r="B10" s="2234"/>
      <c r="C10" s="48" t="s">
        <v>1935</v>
      </c>
      <c r="D10" s="48">
        <f t="shared" si="0"/>
        <v>0</v>
      </c>
      <c r="E10" s="51">
        <f>SUMPRODUCT(('数据-基础表'!BB10:BK10="地下")*('数据-基础表'!BB11:BK11="商业")*('数据-基础表'!BB5:BK5))</f>
        <v>0</v>
      </c>
      <c r="F10" s="1394"/>
      <c r="G10" s="2232"/>
      <c r="H10" s="2232"/>
      <c r="I10" s="1394"/>
      <c r="J10" s="1394"/>
      <c r="K10" s="1394"/>
      <c r="L10" s="1394"/>
      <c r="M10" s="1394"/>
      <c r="N10" s="1394"/>
      <c r="O10" s="1394"/>
      <c r="P10" s="1394"/>
    </row>
    <row r="11" spans="1:16">
      <c r="A11" s="2233"/>
      <c r="B11" s="2234"/>
      <c r="C11" s="48" t="s">
        <v>1927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1928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1929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1941</v>
      </c>
      <c r="D14" s="48">
        <f t="shared" si="0"/>
        <v>0</v>
      </c>
      <c r="E14" s="51">
        <f>SUMPRODUCT(('数据-基础表'!BB10:BK10="地下")*('数据-基础表'!BB11:BK11="车库—商业")*('数据-基础表'!BB5:BK5))</f>
        <v>0</v>
      </c>
      <c r="F14" s="1394"/>
      <c r="G14" s="2232"/>
      <c r="H14" s="2232"/>
      <c r="I14" s="1394"/>
      <c r="J14" s="1394"/>
      <c r="K14" s="1394"/>
      <c r="L14" s="1394"/>
      <c r="M14" s="1394"/>
      <c r="N14" s="1394"/>
      <c r="O14" s="1394"/>
      <c r="P14" s="1394"/>
    </row>
    <row r="15" spans="1:16" ht="15" thickBot="1">
      <c r="A15" s="2233"/>
      <c r="B15" s="2234"/>
      <c r="C15" s="48" t="s">
        <v>1936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1930</v>
      </c>
      <c r="D16" s="50">
        <f>SUM(D8:D15)</f>
        <v>24215.7</v>
      </c>
      <c r="E16" s="53">
        <f>SUM(E8:E15)</f>
        <v>15950.359999999999</v>
      </c>
      <c r="F16" s="1394"/>
      <c r="G16" s="2232"/>
      <c r="H16" s="2235" t="s">
        <v>1942</v>
      </c>
      <c r="I16" s="2236"/>
      <c r="J16" s="1394"/>
      <c r="K16" s="3040" t="s">
        <v>1942</v>
      </c>
      <c r="L16" s="3041"/>
      <c r="M16" s="3041"/>
      <c r="N16" s="3041"/>
      <c r="O16" s="3041"/>
      <c r="P16" s="3042"/>
    </row>
    <row r="17" spans="1:19" ht="15">
      <c r="A17" s="2237" t="s">
        <v>1943</v>
      </c>
      <c r="B17" s="2238" t="s">
        <v>1944</v>
      </c>
      <c r="C17" s="2239" t="s">
        <v>1945</v>
      </c>
      <c r="D17" s="2240" t="s">
        <v>1933</v>
      </c>
      <c r="E17" s="2241" t="s">
        <v>1934</v>
      </c>
      <c r="F17" s="2242"/>
      <c r="G17" s="2243"/>
      <c r="H17" s="2244" t="s">
        <v>1946</v>
      </c>
      <c r="I17" s="2245" t="s">
        <v>1931</v>
      </c>
      <c r="J17" s="1394"/>
      <c r="K17" s="3037" t="s">
        <v>1947</v>
      </c>
      <c r="L17" s="3038"/>
      <c r="M17" s="3039"/>
      <c r="N17" s="3037" t="s">
        <v>1948</v>
      </c>
      <c r="O17" s="3038"/>
      <c r="P17" s="3039"/>
      <c r="R17" s="2223" t="s">
        <v>1949</v>
      </c>
      <c r="S17" s="64"/>
    </row>
    <row r="18" spans="1:19" ht="15">
      <c r="A18" s="2233"/>
      <c r="B18" s="2246"/>
      <c r="C18" s="2247"/>
      <c r="D18" s="2248"/>
      <c r="E18" s="2249" t="s">
        <v>1950</v>
      </c>
      <c r="F18" s="2250" t="s">
        <v>1951</v>
      </c>
      <c r="G18" s="2251" t="s">
        <v>1952</v>
      </c>
      <c r="H18" s="1265" t="s">
        <v>1953</v>
      </c>
      <c r="I18" s="2252" t="s">
        <v>1954</v>
      </c>
      <c r="J18" s="1394"/>
      <c r="K18" s="1265" t="s">
        <v>1955</v>
      </c>
      <c r="L18" s="2253" t="s">
        <v>1956</v>
      </c>
      <c r="M18" s="1049" t="s">
        <v>1957</v>
      </c>
      <c r="N18" s="1265" t="s">
        <v>1955</v>
      </c>
      <c r="O18" s="2253" t="s">
        <v>1956</v>
      </c>
      <c r="P18" s="1049" t="s">
        <v>1957</v>
      </c>
      <c r="R18" s="1250" t="s">
        <v>1958</v>
      </c>
      <c r="S18" s="1250" t="s">
        <v>1959</v>
      </c>
    </row>
    <row r="19" spans="1:19">
      <c r="A19" s="2254"/>
      <c r="B19" s="50" t="s">
        <v>1932</v>
      </c>
      <c r="C19" s="295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6"/>
      <c r="O19" s="2257"/>
      <c r="P19" s="1405">
        <f>N19+O19</f>
        <v>0</v>
      </c>
      <c r="R19" s="1250">
        <f t="shared" ref="R19:S26" si="5">D19+H19</f>
        <v>21453.65</v>
      </c>
      <c r="S19" s="1251">
        <f t="shared" si="5"/>
        <v>14131.06</v>
      </c>
    </row>
    <row r="20" spans="1:19">
      <c r="A20" s="2258"/>
      <c r="B20" s="50" t="s">
        <v>1960</v>
      </c>
      <c r="C20" s="2950" t="s">
        <v>3082</v>
      </c>
      <c r="D20" s="48">
        <f t="shared" ref="D20:D26" si="6">ROUND($D$3*E20/$E$3,2)</f>
        <v>2762.05</v>
      </c>
      <c r="E20" s="56">
        <f t="shared" si="1"/>
        <v>1819.3</v>
      </c>
      <c r="F20" s="57">
        <f>'数据-基础表'!K14</f>
        <v>1819.3</v>
      </c>
      <c r="G20" s="58"/>
      <c r="H20" s="723">
        <f t="shared" ref="H20:H26" si="7">ROUND($D$3*I20/$E$3,2)</f>
        <v>0</v>
      </c>
      <c r="I20" s="51">
        <f t="shared" si="2"/>
        <v>0</v>
      </c>
      <c r="J20" s="1394"/>
      <c r="K20" s="1393">
        <f t="shared" si="3"/>
        <v>0</v>
      </c>
      <c r="L20" s="1250">
        <f t="shared" si="4"/>
        <v>0</v>
      </c>
      <c r="M20" s="1405">
        <f t="shared" ref="M20:M26" si="8">K20+L20</f>
        <v>0</v>
      </c>
      <c r="N20" s="2256"/>
      <c r="O20" s="2257"/>
      <c r="P20" s="1405">
        <f t="shared" ref="P20:P26" si="9">N20+O20</f>
        <v>0</v>
      </c>
      <c r="R20" s="1250">
        <f t="shared" si="5"/>
        <v>2762.05</v>
      </c>
      <c r="S20" s="1251">
        <f t="shared" si="5"/>
        <v>1819.3</v>
      </c>
    </row>
    <row r="21" spans="1:19">
      <c r="A21" s="2258"/>
      <c r="B21" s="50" t="s">
        <v>1960</v>
      </c>
      <c r="C21" s="2255"/>
      <c r="D21" s="48">
        <f t="shared" si="6"/>
        <v>0</v>
      </c>
      <c r="E21" s="56">
        <f t="shared" si="1"/>
        <v>0</v>
      </c>
      <c r="F21" s="57"/>
      <c r="G21" s="58"/>
      <c r="H21" s="723">
        <f t="shared" si="7"/>
        <v>0</v>
      </c>
      <c r="I21" s="51">
        <f t="shared" si="2"/>
        <v>0</v>
      </c>
      <c r="J21" s="1394"/>
      <c r="K21" s="1393">
        <f t="shared" si="3"/>
        <v>0</v>
      </c>
      <c r="L21" s="1250">
        <f t="shared" si="4"/>
        <v>0</v>
      </c>
      <c r="M21" s="1405">
        <f t="shared" si="8"/>
        <v>0</v>
      </c>
      <c r="N21" s="2256"/>
      <c r="O21" s="2257"/>
      <c r="P21" s="1405">
        <f t="shared" si="9"/>
        <v>0</v>
      </c>
      <c r="R21" s="1250">
        <f t="shared" si="5"/>
        <v>0</v>
      </c>
      <c r="S21" s="1251">
        <f t="shared" si="5"/>
        <v>0</v>
      </c>
    </row>
    <row r="22" spans="1:19">
      <c r="A22" s="2258"/>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6"/>
      <c r="O22" s="2257"/>
      <c r="P22" s="1405">
        <f t="shared" si="9"/>
        <v>0</v>
      </c>
      <c r="R22" s="1250">
        <f t="shared" si="5"/>
        <v>0</v>
      </c>
      <c r="S22" s="1251">
        <f t="shared" si="5"/>
        <v>0</v>
      </c>
    </row>
    <row r="23" spans="1:19">
      <c r="A23" s="2258"/>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6"/>
      <c r="O23" s="2257"/>
      <c r="P23" s="1405">
        <f t="shared" si="9"/>
        <v>0</v>
      </c>
      <c r="R23" s="1250">
        <f t="shared" si="5"/>
        <v>0</v>
      </c>
      <c r="S23" s="1251">
        <f t="shared" si="5"/>
        <v>0</v>
      </c>
    </row>
    <row r="24" spans="1:19">
      <c r="A24" s="2258"/>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6"/>
      <c r="O24" s="2257"/>
      <c r="P24" s="1405">
        <f t="shared" si="9"/>
        <v>0</v>
      </c>
      <c r="R24" s="1250">
        <f t="shared" si="5"/>
        <v>0</v>
      </c>
      <c r="S24" s="1251">
        <f t="shared" si="5"/>
        <v>0</v>
      </c>
    </row>
    <row r="25" spans="1:19">
      <c r="A25" s="2258"/>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6"/>
      <c r="O25" s="2257"/>
      <c r="P25" s="1405">
        <f t="shared" si="9"/>
        <v>0</v>
      </c>
      <c r="R25" s="1250">
        <f t="shared" si="5"/>
        <v>0</v>
      </c>
      <c r="S25" s="1251">
        <f t="shared" si="5"/>
        <v>0</v>
      </c>
    </row>
    <row r="26" spans="1:19">
      <c r="A26" s="2258"/>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50">
        <f t="shared" si="5"/>
        <v>0</v>
      </c>
      <c r="S26" s="1251">
        <f t="shared" si="5"/>
        <v>0</v>
      </c>
    </row>
    <row r="27" spans="1:19" ht="15.75" thickBot="1">
      <c r="A27" s="2258"/>
      <c r="B27" s="48"/>
      <c r="C27" s="2261" t="s">
        <v>1961</v>
      </c>
      <c r="D27" s="1395">
        <f>SUM(D19:D26)</f>
        <v>24215.7</v>
      </c>
      <c r="E27" s="1396">
        <f>IF(SUM(E19:E26)='数据-基础表'!BA5,SUM(E19:E26),IF(F27="地上面积有误","面积有误","地下面积有误"))</f>
        <v>15950.359999999999</v>
      </c>
      <c r="F27" s="1395">
        <f>IF(SUM(F19:F26)=E8,SUM(F19:F26),"地上面积有误")</f>
        <v>15950.359999999999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24215.7</v>
      </c>
      <c r="S27" s="1250">
        <f>IF(SUM(S19:S26)=$E$3,SUM(S19:S26),SUM(S19:S26)&amp;"误差"&amp;ROUND(SUM(S19:S26)-E3,2))</f>
        <v>15950.359999999999</v>
      </c>
    </row>
    <row r="28" spans="1:19">
      <c r="A28" s="2258"/>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1962</v>
      </c>
      <c r="C29" s="2262"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1965</v>
      </c>
      <c r="D31" s="729">
        <f>D27+D30</f>
        <v>24215.7</v>
      </c>
      <c r="E31" s="729">
        <f>E27+E30</f>
        <v>15950.359999999999</v>
      </c>
      <c r="F31" s="730">
        <f>F27+F30</f>
        <v>15950.359999999999</v>
      </c>
      <c r="G31" s="731">
        <f>G27+G30</f>
        <v>0</v>
      </c>
      <c r="H31" s="1394"/>
      <c r="I31" s="1394"/>
      <c r="J31" s="1394"/>
      <c r="K31" s="1394"/>
      <c r="L31" s="1394"/>
      <c r="M31" s="1394"/>
      <c r="N31" s="1394"/>
      <c r="O31" s="1394"/>
      <c r="P31" s="1394"/>
    </row>
    <row r="32" spans="1:19">
      <c r="A32" s="2228"/>
      <c r="B32" s="2228" t="s">
        <v>1966</v>
      </c>
      <c r="C32" s="2228"/>
      <c r="D32" s="2228"/>
      <c r="E32" s="1277">
        <f>SUMIF(C19:C26,"*住宅*",E19:E26)</f>
        <v>0</v>
      </c>
      <c r="F32" s="2228"/>
      <c r="G32" s="2228"/>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1968</v>
      </c>
      <c r="B2" s="1269">
        <f>项目基本情况!D3</f>
        <v>43228</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1975</v>
      </c>
      <c r="B5" s="2285" t="s">
        <v>1976</v>
      </c>
      <c r="C5" s="2286" t="s">
        <v>1977</v>
      </c>
      <c r="D5" s="2287" t="s">
        <v>1978</v>
      </c>
      <c r="E5" s="1271" t="s">
        <v>1979</v>
      </c>
      <c r="F5" s="2288" t="s">
        <v>1980</v>
      </c>
      <c r="G5" s="1271" t="s">
        <v>1981</v>
      </c>
      <c r="H5" s="1271" t="s">
        <v>1982</v>
      </c>
      <c r="I5" s="1271" t="s">
        <v>1983</v>
      </c>
      <c r="J5" s="2289" t="s">
        <v>1984</v>
      </c>
      <c r="K5" s="2290" t="s">
        <v>1985</v>
      </c>
      <c r="L5" s="2291" t="s">
        <v>1986</v>
      </c>
      <c r="M5" s="2292" t="s">
        <v>1987</v>
      </c>
      <c r="N5" s="2293" t="s">
        <v>3083</v>
      </c>
      <c r="O5" s="2291" t="s">
        <v>1988</v>
      </c>
      <c r="P5" s="2294" t="s">
        <v>1989</v>
      </c>
      <c r="Q5" s="69" t="s">
        <v>1990</v>
      </c>
      <c r="R5" s="2295" t="s">
        <v>1991</v>
      </c>
      <c r="S5" s="2296" t="s">
        <v>1992</v>
      </c>
      <c r="T5" s="2297" t="s">
        <v>1993</v>
      </c>
      <c r="U5" s="1270" t="s">
        <v>1994</v>
      </c>
      <c r="V5" s="1271" t="s">
        <v>1995</v>
      </c>
      <c r="W5" s="1271" t="s">
        <v>1996</v>
      </c>
      <c r="X5" s="71"/>
      <c r="Y5" s="70" t="s">
        <v>1997</v>
      </c>
      <c r="Z5" s="2298" t="s">
        <v>1994</v>
      </c>
      <c r="AA5" s="1271" t="s">
        <v>1995</v>
      </c>
      <c r="AB5" s="1271" t="s">
        <v>1996</v>
      </c>
      <c r="AC5" s="71"/>
      <c r="AD5" s="71" t="s">
        <v>1997</v>
      </c>
      <c r="AE5" s="1270" t="s">
        <v>1998</v>
      </c>
      <c r="AF5" s="1271" t="s">
        <v>1999</v>
      </c>
      <c r="AG5" s="70" t="s">
        <v>2000</v>
      </c>
      <c r="AH5" s="1270" t="s">
        <v>2001</v>
      </c>
      <c r="AI5" s="2298" t="s">
        <v>2002</v>
      </c>
      <c r="AJ5" s="2298" t="s">
        <v>2003</v>
      </c>
      <c r="AK5" s="1271" t="s">
        <v>2004</v>
      </c>
      <c r="AL5" s="1271" t="s">
        <v>2005</v>
      </c>
      <c r="AM5" s="70" t="s">
        <v>2006</v>
      </c>
      <c r="AN5" s="2299" t="s">
        <v>2007</v>
      </c>
      <c r="AO5" s="2072" t="s">
        <v>2008</v>
      </c>
      <c r="AP5" s="1252"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工业</v>
      </c>
      <c r="B6" s="2302" t="str">
        <f>IF(A6=0,"","经营性")</f>
        <v>经营性</v>
      </c>
      <c r="C6" s="2303" t="s">
        <v>6</v>
      </c>
      <c r="D6" s="1054">
        <f>SUMIF(项目基本情况!D$12:I$12,C6,项目基本情况!D$14:I$14)</f>
        <v>50</v>
      </c>
      <c r="E6" s="1051">
        <f>IF(B6="","",SUMIF(项目基本情况!D$12:I$12,C6,项目基本情况!D$13:I$13))</f>
        <v>56164</v>
      </c>
      <c r="F6" s="72">
        <f>SUMIF(项目基本情况!D$12:I$12,C6,项目基本情况!D$15:I$15)</f>
        <v>35.44</v>
      </c>
      <c r="G6" s="73">
        <f>IF(ISERROR(ROUND(POWER(1+H6,D6-F6)*(POWER(1+H6,F6)-1)/(POWER(1+H6,D6)-1),3)),0,ROUND(POWER(1+H6,D6-F6)*(POWER(1+H6,F6)-1)/(POWER(1+H6,D6)-1),3))</f>
        <v>0.874</v>
      </c>
      <c r="H6" s="802">
        <v>0.04</v>
      </c>
      <c r="I6" s="802">
        <v>0.05</v>
      </c>
      <c r="J6" s="74">
        <v>8.5000000000000006E-2</v>
      </c>
      <c r="K6" s="1254">
        <f>SUMIF('数据-汇总表'!C$19:C$33,A6,'数据-汇总表'!E$19:E$33)</f>
        <v>14131.06</v>
      </c>
      <c r="L6" s="803">
        <v>2300</v>
      </c>
      <c r="M6" s="75">
        <f t="shared" ref="M6:M14" si="0">ROUND(K6*L6/10000,0)</f>
        <v>3250</v>
      </c>
      <c r="N6" s="801">
        <f>O19</f>
        <v>0.8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5">
        <f>ROUND($L$14*S6/10000,0)</f>
        <v>0</v>
      </c>
      <c r="U6" s="78">
        <v>1</v>
      </c>
      <c r="V6" s="79">
        <v>2.5000000000000001E-2</v>
      </c>
      <c r="W6" s="79">
        <v>0.1</v>
      </c>
      <c r="X6" s="1264"/>
      <c r="Y6" s="80">
        <f>N6</f>
        <v>0.8</v>
      </c>
      <c r="Z6" s="81"/>
      <c r="AA6" s="74"/>
      <c r="AB6" s="74"/>
      <c r="AC6" s="1264"/>
      <c r="AD6" s="82"/>
      <c r="AE6" s="1265">
        <f ca="1">IF(AN6="",0,SUMIF(INDIRECT("'"&amp;AN6&amp;"'"&amp;"!E:E"),$AE$5,INDIRECT("'"&amp;AN6&amp;"'"&amp;"!F:F")))</f>
        <v>35.44</v>
      </c>
      <c r="AF6" s="1806"/>
      <c r="AG6" s="147">
        <f>IF(AF6="",0,AE6-AF6)</f>
        <v>0</v>
      </c>
      <c r="AH6" s="83"/>
      <c r="AI6" s="85">
        <v>365</v>
      </c>
      <c r="AJ6" s="86"/>
      <c r="AK6" s="2953">
        <v>0.01</v>
      </c>
      <c r="AL6" s="88">
        <v>1.5E-3</v>
      </c>
      <c r="AM6" s="89">
        <v>0.01</v>
      </c>
      <c r="AN6" s="2304" t="s">
        <v>3089</v>
      </c>
      <c r="AO6" s="55">
        <f ca="1">SUMIF(INDIRECT("'"&amp;AN6&amp;"'"&amp;"!A:A"),"总价",INDIRECT("'"&amp;AN6&amp;"'"&amp;"!B:B"))</f>
        <v>7879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配套办公</v>
      </c>
      <c r="B7" s="2302" t="str">
        <f t="shared" ref="B7:B13" si="1">IF(A7=0,"","经营性")</f>
        <v>经营性</v>
      </c>
      <c r="C7" s="2303" t="s">
        <v>6</v>
      </c>
      <c r="D7" s="1054">
        <f>SUMIF(项目基本情况!D$12:I$12,C7,项目基本情况!D$14:I$14)</f>
        <v>50</v>
      </c>
      <c r="E7" s="1051">
        <f>IF(B7="","",SUMIF(项目基本情况!D$12:I$12,C7,项目基本情况!D$13:I$13))</f>
        <v>56164</v>
      </c>
      <c r="F7" s="72">
        <f>SUMIF(项目基本情况!D$12:I$12,C7,项目基本情况!D$15:I$15)</f>
        <v>35.44</v>
      </c>
      <c r="G7" s="73">
        <f t="shared" ref="G7:G11" si="2">IF(ISERROR(ROUND(POWER(1+H7,D7-F7)*(POWER(1+H7,F7)-1)/(POWER(1+H7,D7)-1),3)),0,ROUND(POWER(1+H7,D7-F7)*(POWER(1+H7,F7)-1)/(POWER(1+H7,D7)-1),3))</f>
        <v>0.874</v>
      </c>
      <c r="H7" s="802">
        <v>0.04</v>
      </c>
      <c r="I7" s="802">
        <v>0.05</v>
      </c>
      <c r="J7" s="74">
        <v>8.5000000000000006E-2</v>
      </c>
      <c r="K7" s="1254">
        <f>SUMIF('数据-汇总表'!C$19:C$33,A7,'数据-汇总表'!E$19:E$33)</f>
        <v>1819.3</v>
      </c>
      <c r="L7" s="803">
        <v>2600</v>
      </c>
      <c r="M7" s="75">
        <f t="shared" si="0"/>
        <v>473</v>
      </c>
      <c r="N7" s="801">
        <f>O20</f>
        <v>0.82</v>
      </c>
      <c r="O7" s="75" t="str">
        <f t="shared" ref="O7:O14" si="3">IF($N$5="成新度","——",ROUND(M7*N7,0))</f>
        <v>——</v>
      </c>
      <c r="P7" s="76" t="str">
        <f t="shared" ref="P7:P14" si="4">IF($N$5="成新度","——",M7-O7)</f>
        <v>——</v>
      </c>
      <c r="Q7" s="804">
        <v>0.1</v>
      </c>
      <c r="R7" s="77">
        <f ca="1">SUMIF('数据-汇总表'!C$19:C$33,A7,'数据-汇总表'!R$19:R$27)</f>
        <v>2762.05</v>
      </c>
      <c r="S7" s="54">
        <f>IF('数据-汇总表'!$I$17="按面积比例",SUMIF('数据-汇总表'!C$19:C$33,A7,'数据-汇总表'!K$19:K$33),SUMIF('数据-汇总表'!C$19:C$33,A7,'数据-汇总表'!N$19:N$33))</f>
        <v>0</v>
      </c>
      <c r="T7" s="1445">
        <f t="shared" ref="T7:T13" si="5">ROUND($L$14*S7/10000,0)</f>
        <v>0</v>
      </c>
      <c r="U7" s="78">
        <v>1.3</v>
      </c>
      <c r="V7" s="79">
        <v>2.5000000000000001E-2</v>
      </c>
      <c r="W7" s="79">
        <v>0.1</v>
      </c>
      <c r="X7" s="1264"/>
      <c r="Y7" s="80">
        <f>N7</f>
        <v>0.82</v>
      </c>
      <c r="Z7" s="81"/>
      <c r="AA7" s="74"/>
      <c r="AB7" s="74"/>
      <c r="AC7" s="1264"/>
      <c r="AD7" s="82"/>
      <c r="AE7" s="1265">
        <f t="shared" ref="AE7:AE13" ca="1" si="6">IF(AN7="",0,SUMIF(INDIRECT("'"&amp;AN7&amp;"'"&amp;"!E:E"),$AE$5,INDIRECT("'"&amp;AN7&amp;"'"&amp;"!F:F")))</f>
        <v>35.44</v>
      </c>
      <c r="AF7" s="1806"/>
      <c r="AG7" s="147">
        <f t="shared" ref="AG7:AG13" si="7">IF(AF7="",0,AE7-AF7)</f>
        <v>0</v>
      </c>
      <c r="AH7" s="83"/>
      <c r="AI7" s="85">
        <v>365</v>
      </c>
      <c r="AJ7" s="86"/>
      <c r="AK7" s="2953">
        <v>0.01</v>
      </c>
      <c r="AL7" s="88">
        <v>1.5E-3</v>
      </c>
      <c r="AM7" s="89">
        <v>0.01</v>
      </c>
      <c r="AN7" s="2304" t="s">
        <v>3088</v>
      </c>
      <c r="AO7" s="55">
        <f t="shared" ref="AO7:AO13" ca="1" si="8">SUMIF(INDIRECT("'"&amp;AN7&amp;"'"&amp;"!A:A"),"总价",INDIRECT("'"&amp;AN7&amp;"'"&amp;"!B:B"))</f>
        <v>1378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2012</v>
      </c>
      <c r="B14" s="2302" t="s">
        <v>2013</v>
      </c>
      <c r="C14" s="2307"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2014</v>
      </c>
      <c r="B15" s="2302" t="s">
        <v>2013</v>
      </c>
      <c r="C15" s="2307"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2016</v>
      </c>
      <c r="B16" s="97"/>
      <c r="C16" s="1008"/>
      <c r="D16" s="2309"/>
      <c r="E16" s="97"/>
      <c r="F16" s="97"/>
      <c r="G16" s="98">
        <f>ROUND(SUMPRODUCT(G6:G13,K6:K13)/SUMPRODUCT((G6:G13&gt;0)*(K6:K13)),3)</f>
        <v>0.874</v>
      </c>
      <c r="H16" s="99">
        <f>ROUND(SUMPRODUCT(H6:H13,K6:K13)/SUMPRODUCT((H6:H13&gt;0)*(K6:K13)),3)</f>
        <v>0.04</v>
      </c>
      <c r="I16" s="100"/>
      <c r="J16" s="100"/>
      <c r="K16" s="101">
        <f>SUM(K6:K15)</f>
        <v>15950.359999999999</v>
      </c>
      <c r="L16" s="102">
        <f>ROUND(M16*10000/SUM(K6:K14),0)</f>
        <v>2334</v>
      </c>
      <c r="M16" s="102">
        <f>SUM(M6:M14)</f>
        <v>3723</v>
      </c>
      <c r="N16" s="103">
        <f>ROUND(SUMPRODUCT(M6:M14,N6:N14)/M16,3)</f>
        <v>0.80300000000000005</v>
      </c>
      <c r="O16" s="102">
        <f>SUM(O6:O14)</f>
        <v>0</v>
      </c>
      <c r="P16" s="102">
        <f>SUM(P6:P14)</f>
        <v>0</v>
      </c>
      <c r="Q16" s="104">
        <f>ROUND(SUMPRODUCT(Q6:Q13,K6:K13)/SUMPRODUCT((Q6:Q13&gt;0)*(K6:K13)),2)</f>
        <v>0.1</v>
      </c>
      <c r="R16" s="1258">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5"/>
      <c r="C18" s="2272"/>
      <c r="D18" s="2273"/>
      <c r="E18" s="2272"/>
      <c r="F18" s="2272"/>
      <c r="G18" s="2272"/>
      <c r="H18" s="2272"/>
      <c r="I18" s="2272"/>
      <c r="J18" s="2272"/>
      <c r="K18" s="168"/>
      <c r="L18" s="168"/>
      <c r="M18" s="2951" t="s">
        <v>3085</v>
      </c>
      <c r="N18" s="2951" t="s">
        <v>3086</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2018</v>
      </c>
      <c r="B19" s="112">
        <v>0</v>
      </c>
      <c r="C19" s="2272" t="s">
        <v>2019</v>
      </c>
      <c r="D19" s="2273"/>
      <c r="E19" s="2272"/>
      <c r="F19" s="2272"/>
      <c r="G19" s="2272"/>
      <c r="H19" s="2272"/>
      <c r="I19" s="2272"/>
      <c r="J19" s="2272"/>
      <c r="K19" s="168"/>
      <c r="L19" s="2951" t="s">
        <v>3084</v>
      </c>
      <c r="M19" s="2477">
        <v>0.74</v>
      </c>
      <c r="N19" s="2477">
        <v>0.85</v>
      </c>
      <c r="O19" s="2952">
        <f>ROUND((M19+N19)/2,2)</f>
        <v>0.8</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2020</v>
      </c>
      <c r="B20" s="113">
        <v>1</v>
      </c>
      <c r="C20" s="2272" t="s">
        <v>2021</v>
      </c>
      <c r="D20" s="2273"/>
      <c r="E20" s="2272"/>
      <c r="F20" s="2272"/>
      <c r="G20" s="2272"/>
      <c r="H20" s="2272"/>
      <c r="I20" s="2272"/>
      <c r="J20" s="2272"/>
      <c r="K20" s="168"/>
      <c r="L20" s="2951" t="s">
        <v>3087</v>
      </c>
      <c r="M20" s="2477">
        <v>0.78300000000000003</v>
      </c>
      <c r="N20" s="2477">
        <v>0.85</v>
      </c>
      <c r="O20" s="2952">
        <f>ROUND((M20+N20)/2,2)</f>
        <v>0.82</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2022</v>
      </c>
      <c r="B21" s="113">
        <v>1</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2023</v>
      </c>
      <c r="B22" s="114">
        <f>B19+B20</f>
        <v>1</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2024</v>
      </c>
      <c r="B23" s="114">
        <f>B19+B21</f>
        <v>1</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2026</v>
      </c>
      <c r="B26" s="2315" t="s">
        <v>2027</v>
      </c>
      <c r="C26" s="2316" t="s">
        <v>2028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2029</v>
      </c>
      <c r="B27" s="116">
        <v>80</v>
      </c>
      <c r="C27" s="1766" t="s">
        <v>2030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2031</v>
      </c>
      <c r="B28" s="119">
        <v>120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2032</v>
      </c>
      <c r="B29" s="121">
        <f ca="1">成本法!C10</f>
        <v>191</v>
      </c>
      <c r="C29" s="1766" t="s">
        <v>2033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2034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2037</v>
      </c>
      <c r="B33" s="726">
        <v>0.03</v>
      </c>
      <c r="C33" s="1765" t="s">
        <v>2038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2039</v>
      </c>
      <c r="B34" s="122">
        <v>0</v>
      </c>
      <c r="C34" s="1765" t="s">
        <v>2040</v>
      </c>
      <c r="D34" s="2273" t="s">
        <v>2041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2042</v>
      </c>
      <c r="B35" s="119">
        <v>200</v>
      </c>
      <c r="C35" s="1765" t="s">
        <v>2043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2044</v>
      </c>
      <c r="B36" s="123">
        <v>1.4999999999999999E-2</v>
      </c>
      <c r="C36" s="1765" t="s">
        <v>2045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2046</v>
      </c>
      <c r="B37" s="124">
        <v>0.02</v>
      </c>
      <c r="C37" s="1765" t="s">
        <v>2047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2048</v>
      </c>
      <c r="B38" s="122">
        <v>0.02</v>
      </c>
      <c r="C38" s="1765" t="s">
        <v>2047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2050</v>
      </c>
      <c r="B40" s="1303">
        <f ca="1">存贷款利率!G1</f>
        <v>4.3499999999999997E-2</v>
      </c>
      <c r="C40" s="1765" t="s">
        <v>2051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2052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2053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2054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2055</v>
      </c>
      <c r="B44" s="128">
        <v>0.05</v>
      </c>
      <c r="C44" s="1765" t="s">
        <v>2056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2057</v>
      </c>
      <c r="B45" s="126">
        <v>0.03</v>
      </c>
      <c r="C45" s="1766" t="s">
        <v>2058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2059</v>
      </c>
      <c r="B46" s="126">
        <v>0.02</v>
      </c>
      <c r="C46" s="1766" t="s">
        <v>2060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2061</v>
      </c>
      <c r="B47" s="129"/>
      <c r="C47" s="1766" t="s">
        <v>2062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2063</v>
      </c>
      <c r="B48" s="130">
        <v>0.03</v>
      </c>
      <c r="C48" s="1773" t="s">
        <v>2064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2065</v>
      </c>
      <c r="B49" s="126">
        <v>5.0000000000000001E-4</v>
      </c>
      <c r="C49" s="1773" t="s">
        <v>2066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2070</v>
      </c>
      <c r="B53" s="2331" t="s">
        <v>56</v>
      </c>
      <c r="C53" s="1429" t="s">
        <v>2071</v>
      </c>
      <c r="D53" s="2332" t="s">
        <v>2072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2080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2081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2" t="s">
        <v>2083</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71" t="s">
        <v>2087</v>
      </c>
      <c r="C3" s="2365" t="s">
        <v>2088</v>
      </c>
      <c r="D3" s="2366"/>
      <c r="E3" s="431" t="s">
        <v>2086</v>
      </c>
      <c r="F3" s="2367" t="s">
        <v>2089</v>
      </c>
      <c r="G3" s="2954" t="s">
        <v>3096</v>
      </c>
      <c r="H3" s="2363"/>
      <c r="I3" s="2363"/>
      <c r="J3" s="2363"/>
      <c r="K3" s="2363"/>
      <c r="L3" s="2363"/>
      <c r="M3" s="2363"/>
      <c r="N3" s="2363"/>
      <c r="O3" s="2363"/>
      <c r="P3" s="2363"/>
      <c r="Q3" s="2363"/>
      <c r="R3" s="2363"/>
    </row>
    <row r="4" spans="1:29" ht="67.5">
      <c r="A4" s="431"/>
      <c r="B4" s="1797" t="s">
        <v>2090</v>
      </c>
      <c r="C4" s="2368" t="s">
        <v>2091</v>
      </c>
      <c r="D4" s="2366"/>
      <c r="E4" s="2369"/>
      <c r="F4" s="42" t="s">
        <v>2092</v>
      </c>
      <c r="G4" s="2955" t="s">
        <v>3097</v>
      </c>
      <c r="H4" s="2363"/>
      <c r="I4" s="2363"/>
      <c r="J4" s="2363"/>
      <c r="K4" s="2363"/>
      <c r="L4" s="2363"/>
      <c r="M4" s="2363"/>
      <c r="N4" s="2363"/>
      <c r="O4" s="2363"/>
      <c r="P4" s="2363"/>
      <c r="Q4" s="2363"/>
      <c r="R4" s="2363"/>
    </row>
    <row r="5" spans="1:29" ht="81">
      <c r="A5" s="431"/>
      <c r="B5" s="1797" t="s">
        <v>2094</v>
      </c>
      <c r="C5" s="2368" t="s">
        <v>2095</v>
      </c>
      <c r="D5" s="2366"/>
      <c r="E5" s="2369"/>
      <c r="F5" s="1797" t="s">
        <v>2096</v>
      </c>
      <c r="G5" s="2955" t="s">
        <v>3098</v>
      </c>
      <c r="H5" s="2363"/>
      <c r="I5" s="2363"/>
      <c r="J5" s="2363"/>
      <c r="K5" s="2363"/>
      <c r="L5" s="2363"/>
      <c r="M5" s="2363"/>
      <c r="N5" s="2363"/>
      <c r="O5" s="2363"/>
      <c r="P5" s="2363"/>
      <c r="Q5" s="2363"/>
      <c r="R5" s="2363"/>
    </row>
    <row r="6" spans="1:29" ht="54">
      <c r="A6" s="431"/>
      <c r="B6" s="1797" t="s">
        <v>2098</v>
      </c>
      <c r="C6" s="2370" t="s">
        <v>2093</v>
      </c>
      <c r="D6" s="2366"/>
      <c r="E6" s="2369"/>
      <c r="F6" s="1797" t="s">
        <v>2099</v>
      </c>
      <c r="G6" s="2955" t="s">
        <v>3099</v>
      </c>
      <c r="H6" s="2363"/>
      <c r="I6" s="2363"/>
      <c r="J6" s="2363"/>
      <c r="K6" s="2363"/>
      <c r="L6" s="2363"/>
      <c r="M6" s="2363"/>
      <c r="N6" s="2363"/>
      <c r="O6" s="2363"/>
      <c r="P6" s="2363"/>
      <c r="Q6" s="2363"/>
      <c r="R6" s="2363"/>
    </row>
    <row r="7" spans="1:29" ht="41.25" thickBot="1">
      <c r="A7" s="431"/>
      <c r="B7" s="1797" t="s">
        <v>2096</v>
      </c>
      <c r="C7" s="2370" t="s">
        <v>2097</v>
      </c>
      <c r="D7" s="2371"/>
      <c r="E7" s="2372"/>
      <c r="F7" s="2373" t="s">
        <v>2101</v>
      </c>
      <c r="G7" s="2956" t="s">
        <v>3100</v>
      </c>
      <c r="H7" s="2363"/>
      <c r="I7" s="2363"/>
      <c r="J7" s="2363"/>
      <c r="K7" s="2363"/>
      <c r="L7" s="2363"/>
      <c r="M7" s="2363"/>
      <c r="N7" s="2363"/>
      <c r="O7" s="2363"/>
      <c r="P7" s="2363"/>
      <c r="Q7" s="2363"/>
      <c r="R7" s="2363"/>
    </row>
    <row r="8" spans="1:29" ht="27">
      <c r="A8" s="431"/>
      <c r="B8" s="1797" t="s">
        <v>2099</v>
      </c>
      <c r="C8" s="2370" t="s">
        <v>2100</v>
      </c>
      <c r="D8" s="2371"/>
      <c r="E8" s="2371"/>
      <c r="F8" s="1136"/>
      <c r="G8" s="1136"/>
      <c r="H8" s="2363"/>
      <c r="I8" s="2363"/>
      <c r="J8" s="2363"/>
      <c r="K8" s="2363"/>
      <c r="L8" s="2363"/>
      <c r="M8" s="2363"/>
      <c r="N8" s="2363"/>
      <c r="O8" s="2363"/>
      <c r="P8" s="2363"/>
      <c r="Q8" s="2363"/>
      <c r="R8" s="2363"/>
    </row>
    <row r="9" spans="1:29" ht="27">
      <c r="A9" s="431"/>
      <c r="B9" s="1797" t="s">
        <v>2102</v>
      </c>
      <c r="C9" s="2368" t="s">
        <v>2103</v>
      </c>
      <c r="D9" s="2366"/>
      <c r="E9" s="2371"/>
      <c r="F9" s="1136"/>
      <c r="G9" s="1136"/>
      <c r="H9" s="2363"/>
      <c r="I9" s="2363"/>
      <c r="J9" s="2363"/>
      <c r="K9" s="2363"/>
      <c r="L9" s="2363"/>
      <c r="M9" s="2363"/>
      <c r="N9" s="2363"/>
      <c r="O9" s="2363"/>
      <c r="P9" s="2363"/>
      <c r="Q9" s="2363"/>
      <c r="R9" s="2363"/>
    </row>
    <row r="10" spans="1:29" s="117" customFormat="1" ht="15.75" thickBot="1">
      <c r="A10" s="2374"/>
      <c r="B10" s="2375" t="s">
        <v>2104</v>
      </c>
      <c r="C10" s="2376"/>
      <c r="D10" s="2366"/>
      <c r="E10" s="2366"/>
      <c r="F10" s="1136"/>
      <c r="G10" s="1136"/>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4"/>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2105</v>
      </c>
      <c r="B13" s="2381"/>
      <c r="C13" s="2381"/>
      <c r="D13" s="2388"/>
      <c r="E13" s="2381"/>
      <c r="F13" s="2381"/>
      <c r="G13" s="2381"/>
    </row>
    <row r="14" spans="1:29" ht="15.75" thickBot="1">
      <c r="A14" s="2392"/>
      <c r="B14" s="2393"/>
      <c r="C14" s="2394" t="s">
        <v>2106</v>
      </c>
      <c r="D14" s="2366"/>
      <c r="E14" s="2395"/>
      <c r="F14" s="2395"/>
      <c r="G14" s="2360" t="s">
        <v>2107</v>
      </c>
    </row>
    <row r="15" spans="1:29" ht="57">
      <c r="A15" s="68" t="s">
        <v>2108</v>
      </c>
      <c r="B15" s="1270" t="s">
        <v>2087</v>
      </c>
      <c r="C15" s="2396" t="str">
        <f>C3</f>
        <v>估价对象周边居住用地比例、居住小区规模和社区发展完善程度，综合评价居住社区成熟度一般</v>
      </c>
      <c r="D15" s="2366"/>
      <c r="E15" s="2397" t="s">
        <v>2109</v>
      </c>
      <c r="F15" s="1270" t="s">
        <v>2110</v>
      </c>
      <c r="G15" s="135" t="str">
        <f>G3</f>
        <v>估价对象位于北京雁栖经济开发区，园区建设成熟，周边有波尔亚太金属容器公司、星达顺五星建材产业集聚程度较好。</v>
      </c>
    </row>
    <row r="16" spans="1:29" ht="71.25">
      <c r="A16" s="645"/>
      <c r="B16" s="2398" t="s">
        <v>2090</v>
      </c>
      <c r="C16" s="2399" t="str">
        <f>C4</f>
        <v>估价对象位于XX商圈，周边商业氛围成熟，人流量大，商业繁华度好</v>
      </c>
      <c r="D16" s="2366"/>
      <c r="E16" s="2400"/>
      <c r="F16" s="2401" t="s">
        <v>2092</v>
      </c>
      <c r="G16" s="136" t="str">
        <f>G4</f>
        <v>估价对象紧邻城市次干道——杨雁路，公共交通通达情况一般，周边有864、936路等公交线路，停车便捷程度一般，综合评价交通便捷度一般。</v>
      </c>
    </row>
    <row r="17" spans="1:18" ht="42.75">
      <c r="A17" s="645"/>
      <c r="B17" s="2398" t="s">
        <v>2094</v>
      </c>
      <c r="C17" s="2399" t="str">
        <f>C5</f>
        <v>估价对象位于XX商圈，周边办公楼项目较多，入驻率高，办公集聚程度较好</v>
      </c>
      <c r="D17" s="2371"/>
      <c r="E17" s="2400"/>
      <c r="F17" s="2401" t="s">
        <v>2111</v>
      </c>
      <c r="G17" s="2957" t="s">
        <v>3101</v>
      </c>
    </row>
    <row r="18" spans="1:18" ht="57">
      <c r="A18" s="645"/>
      <c r="B18" s="2401" t="s">
        <v>2098</v>
      </c>
      <c r="C18" s="136" t="str">
        <f>C6</f>
        <v>估价对象周边道路状况、公共交通通达情况、停车便捷程度，综合评价交通便捷度较好</v>
      </c>
      <c r="D18" s="2371"/>
      <c r="E18" s="2400"/>
      <c r="F18" s="2401" t="s">
        <v>2101</v>
      </c>
      <c r="G18" s="136" t="str">
        <f>G7</f>
        <v>该园区内无污染型企业，绿化较好，卫生条件良好，整体环境状况较好。</v>
      </c>
    </row>
    <row r="19" spans="1:18" ht="85.5">
      <c r="A19" s="645"/>
      <c r="B19" s="2401" t="s">
        <v>2112</v>
      </c>
      <c r="C19" s="1571"/>
      <c r="D19" s="2366"/>
      <c r="E19" s="2400"/>
      <c r="F19" s="1797" t="s">
        <v>2096</v>
      </c>
      <c r="G19" s="136" t="str">
        <f>G5</f>
        <v>估价对象周边2公里范围内有银行（中国银行），超市（世纪华联超市），学校（怀柔区职业学校），医院（雁栖镇北台下社区卫生服务站），公共配套设施程度一般。</v>
      </c>
    </row>
    <row r="20" spans="1:18" ht="28.5">
      <c r="A20" s="645"/>
      <c r="B20" s="2401" t="s">
        <v>2113</v>
      </c>
      <c r="C20" s="2399" t="str">
        <f>C9</f>
        <v>区域自然环境：；人文环境；综合评价环境状况一般</v>
      </c>
      <c r="D20" s="2371"/>
      <c r="E20" s="2400"/>
      <c r="F20" s="1797" t="s">
        <v>2114</v>
      </c>
      <c r="G20" s="136" t="str">
        <f>G6</f>
        <v>估价对象所在区域基础设施水平达到“五通”。</v>
      </c>
    </row>
    <row r="21" spans="1:18" ht="28.5">
      <c r="A21" s="645"/>
      <c r="B21" s="1797" t="s">
        <v>2096</v>
      </c>
      <c r="C21" s="136" t="str">
        <f>C7</f>
        <v>估价对象所在区域公共配套设施齐备情况</v>
      </c>
      <c r="D21" s="2366"/>
      <c r="E21" s="2400"/>
      <c r="F21" s="2401" t="s">
        <v>2115</v>
      </c>
      <c r="G21" s="2402" t="s">
        <v>3102</v>
      </c>
    </row>
    <row r="22" spans="1:18" ht="13.5" customHeight="1">
      <c r="A22" s="645"/>
      <c r="B22" s="1797" t="s">
        <v>2099</v>
      </c>
      <c r="C22" s="136" t="str">
        <f>C8</f>
        <v>估价对象所在区域基础设施水平</v>
      </c>
      <c r="D22" s="2366"/>
      <c r="E22" s="2400"/>
      <c r="F22" s="2401" t="s">
        <v>2104</v>
      </c>
      <c r="G22" s="1571" t="s">
        <v>3103</v>
      </c>
    </row>
    <row r="23" spans="1:18" s="2363" customFormat="1" ht="15.75" thickBot="1">
      <c r="A23" s="645"/>
      <c r="B23" s="2401" t="s">
        <v>2115</v>
      </c>
      <c r="C23" s="2402"/>
      <c r="D23" s="2389"/>
      <c r="E23" s="2403"/>
      <c r="F23" s="2404" t="s">
        <v>2116</v>
      </c>
      <c r="G23" s="2405"/>
      <c r="H23" s="2389"/>
      <c r="I23" s="2390"/>
      <c r="J23" s="2389"/>
      <c r="K23" s="2389"/>
      <c r="L23" s="2390"/>
      <c r="M23" s="2389"/>
      <c r="N23" s="2389"/>
      <c r="O23" s="2390"/>
      <c r="P23" s="2389"/>
      <c r="Q23" s="2389"/>
      <c r="R23" s="2391"/>
    </row>
    <row r="24" spans="1:18" s="2363" customFormat="1" ht="15.75" thickBot="1">
      <c r="A24" s="2406"/>
      <c r="B24" s="2404" t="s">
        <v>2117</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15950.36</v>
      </c>
      <c r="C1" s="1744"/>
      <c r="D1" s="1744"/>
      <c r="E1" s="1744"/>
      <c r="F1" s="1744"/>
      <c r="G1" s="1742"/>
    </row>
    <row r="2" spans="1:10" ht="16.5">
      <c r="A2" s="1745" t="s">
        <v>1353</v>
      </c>
      <c r="B2" s="1745">
        <f>SUM(C14:C23)</f>
        <v>24215.7</v>
      </c>
      <c r="C2" s="1744"/>
      <c r="D2" s="1744"/>
      <c r="E2" s="1744"/>
      <c r="F2" s="1744"/>
      <c r="G2" s="1742"/>
    </row>
    <row r="3" spans="1:10" ht="16.5">
      <c r="A3" s="1745" t="s">
        <v>1362</v>
      </c>
      <c r="B3" s="1746">
        <f>项目基本情况!D3</f>
        <v>43228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8366</v>
      </c>
      <c r="C5" s="1745">
        <f ca="1">ROUND(B5*10000/$B$1,0)</f>
        <v>5245</v>
      </c>
      <c r="D5" s="1745">
        <f ca="1">ROUND(B5*10000/$B$2,0)</f>
        <v>3455</v>
      </c>
      <c r="E5" s="1744"/>
      <c r="F5" s="1742"/>
      <c r="G5" s="1742"/>
    </row>
    <row r="6" spans="1:10" ht="16.5">
      <c r="A6" s="1745" t="s">
        <v>1356</v>
      </c>
      <c r="B6" s="1745">
        <f ca="1">SUM(G14:G23)</f>
        <v>8366</v>
      </c>
      <c r="C6" s="1745">
        <f ca="1">ROUND(B6*10000/$B$1,0)</f>
        <v>5245</v>
      </c>
      <c r="D6" s="1745">
        <f ca="1">ROUND(B6*10000/$B$2,0)</f>
        <v>3455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15950.36</v>
      </c>
      <c r="C14" s="1743">
        <f>结果表!C118</f>
        <v>24215.7</v>
      </c>
      <c r="D14" s="1743">
        <f ca="1">结果表!H118</f>
        <v>8366</v>
      </c>
      <c r="E14" s="1743">
        <f ca="1">ROUND(D14*10000/B14,0)</f>
        <v>5245</v>
      </c>
      <c r="F14" s="1743">
        <f ca="1">ROUND(D14*10000/C14,0)</f>
        <v>3455</v>
      </c>
      <c r="G14" s="1743">
        <f ca="1">结果表!D122</f>
        <v>8366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22" zoomScaleNormal="100" zoomScaleSheetLayoutView="100" zoomScalePageLayoutView="80" workbookViewId="0">
      <selection activeCell="D33" sqref="D33"/>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2118</v>
      </c>
      <c r="B1" s="2412"/>
      <c r="C1" s="2413"/>
      <c r="D1" s="2412"/>
      <c r="E1" s="2412"/>
      <c r="F1" s="2414" t="s">
        <v>2119</v>
      </c>
      <c r="G1" s="2069" t="s">
        <v>3064</v>
      </c>
      <c r="H1" s="2415" t="str">
        <f>IF(G1="现房","——","估价对象范围")</f>
        <v>——</v>
      </c>
      <c r="I1" s="2416"/>
    </row>
    <row r="2" spans="1:12" ht="21.75" customHeight="1" thickBot="1">
      <c r="A2" s="3087" t="str">
        <f>项目基本情况!S2</f>
        <v>北京市怀柔区雁栖经济开发区雁栖路2号房地产</v>
      </c>
      <c r="B2" s="3088"/>
      <c r="C2" s="3088"/>
      <c r="D2" s="3088"/>
      <c r="E2" s="3088"/>
      <c r="F2" s="3088"/>
      <c r="G2" s="3088"/>
      <c r="H2" s="3088"/>
      <c r="I2" s="3089"/>
    </row>
    <row r="3" spans="1:12" ht="12.75">
      <c r="A3" s="3091" t="s">
        <v>2120</v>
      </c>
      <c r="B3" s="3092"/>
      <c r="C3" s="3092"/>
      <c r="D3" s="3092"/>
      <c r="E3" s="3092"/>
      <c r="F3" s="3092"/>
      <c r="G3" s="3092"/>
      <c r="H3" s="3092"/>
      <c r="I3" s="3092"/>
    </row>
    <row r="4" spans="1:12" ht="14.25">
      <c r="A4" s="2419" t="s">
        <v>2121</v>
      </c>
      <c r="B4" s="2420" t="s">
        <v>2122</v>
      </c>
      <c r="C4" s="2421" t="s">
        <v>3111</v>
      </c>
      <c r="D4" s="2421" t="s">
        <v>3112</v>
      </c>
      <c r="E4" s="3084" t="s">
        <v>2123</v>
      </c>
      <c r="F4" s="3085"/>
      <c r="G4" s="3085"/>
      <c r="H4" s="3085"/>
      <c r="I4" s="309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2124</v>
      </c>
      <c r="B5" s="3005">
        <v>25</v>
      </c>
      <c r="C5" s="3070"/>
      <c r="D5" s="3090"/>
      <c r="E5" s="140" t="s">
        <v>2125</v>
      </c>
      <c r="F5" s="2423"/>
      <c r="G5" s="2423"/>
      <c r="H5" s="2423"/>
      <c r="I5" s="1833"/>
    </row>
    <row r="6" spans="1:12" ht="12.75">
      <c r="A6" s="3067"/>
      <c r="B6" s="3005"/>
      <c r="C6" s="3071"/>
      <c r="D6" s="3090"/>
      <c r="E6" s="140" t="s">
        <v>2126</v>
      </c>
      <c r="F6" s="2423"/>
      <c r="G6" s="2423"/>
      <c r="H6" s="2423"/>
      <c r="I6" s="1833"/>
    </row>
    <row r="7" spans="1:12" ht="12.75">
      <c r="A7" s="3067"/>
      <c r="B7" s="3005"/>
      <c r="C7" s="3072"/>
      <c r="D7" s="3090"/>
      <c r="E7" s="140" t="s">
        <v>2127</v>
      </c>
      <c r="F7" s="2423"/>
      <c r="G7" s="2423"/>
      <c r="H7" s="2423"/>
      <c r="I7" s="1833"/>
    </row>
    <row r="8" spans="1:12" ht="12.75">
      <c r="A8" s="3067" t="s">
        <v>2128</v>
      </c>
      <c r="B8" s="3005">
        <v>15</v>
      </c>
      <c r="C8" s="3070"/>
      <c r="D8" s="3090"/>
      <c r="E8" s="140" t="s">
        <v>2129</v>
      </c>
      <c r="F8" s="2423"/>
      <c r="G8" s="2423"/>
      <c r="H8" s="2423"/>
      <c r="I8" s="1833"/>
    </row>
    <row r="9" spans="1:12" ht="12.75">
      <c r="A9" s="3067"/>
      <c r="B9" s="3005"/>
      <c r="C9" s="3072"/>
      <c r="D9" s="3090"/>
      <c r="E9" s="140" t="s">
        <v>2130</v>
      </c>
      <c r="F9" s="2423"/>
      <c r="G9" s="2423"/>
      <c r="H9" s="2423"/>
      <c r="I9" s="1833"/>
    </row>
    <row r="10" spans="1:12" ht="12.75">
      <c r="A10" s="3067" t="s">
        <v>2131</v>
      </c>
      <c r="B10" s="3005">
        <v>15</v>
      </c>
      <c r="C10" s="3070"/>
      <c r="D10" s="3090"/>
      <c r="E10" s="140" t="s">
        <v>2132</v>
      </c>
      <c r="F10" s="2423"/>
      <c r="G10" s="2423"/>
      <c r="H10" s="2423"/>
      <c r="I10" s="1833"/>
    </row>
    <row r="11" spans="1:12" ht="12.75">
      <c r="A11" s="3067"/>
      <c r="B11" s="3005"/>
      <c r="C11" s="3072"/>
      <c r="D11" s="3090"/>
      <c r="E11" s="140" t="s">
        <v>2133</v>
      </c>
      <c r="F11" s="2423"/>
      <c r="G11" s="2423"/>
      <c r="H11" s="2423"/>
      <c r="I11" s="1833"/>
    </row>
    <row r="12" spans="1:12" ht="12.75">
      <c r="A12" s="3067" t="s">
        <v>2134</v>
      </c>
      <c r="B12" s="3005">
        <v>15</v>
      </c>
      <c r="C12" s="3070"/>
      <c r="D12" s="3090"/>
      <c r="E12" s="140" t="s">
        <v>2135</v>
      </c>
      <c r="F12" s="2423"/>
      <c r="G12" s="2423"/>
      <c r="H12" s="2423"/>
      <c r="I12" s="1833"/>
    </row>
    <row r="13" spans="1:12" ht="12.75">
      <c r="A13" s="3067"/>
      <c r="B13" s="3005"/>
      <c r="C13" s="3072"/>
      <c r="D13" s="3090"/>
      <c r="E13" s="140" t="s">
        <v>2136</v>
      </c>
      <c r="F13" s="2423"/>
      <c r="G13" s="2423"/>
      <c r="H13" s="2423"/>
      <c r="I13" s="1833"/>
    </row>
    <row r="14" spans="1:12" ht="12.75">
      <c r="A14" s="3067" t="s">
        <v>2137</v>
      </c>
      <c r="B14" s="3005">
        <v>30</v>
      </c>
      <c r="C14" s="3070">
        <v>5</v>
      </c>
      <c r="D14" s="3090">
        <v>5</v>
      </c>
      <c r="E14" s="140" t="s">
        <v>2138</v>
      </c>
      <c r="F14" s="2423"/>
      <c r="G14" s="2423"/>
      <c r="H14" s="2423"/>
      <c r="I14" s="1833"/>
    </row>
    <row r="15" spans="1:12" ht="12.75">
      <c r="A15" s="3067"/>
      <c r="B15" s="3005"/>
      <c r="C15" s="3071"/>
      <c r="D15" s="3090"/>
      <c r="E15" s="140" t="s">
        <v>2139</v>
      </c>
      <c r="F15" s="2423"/>
      <c r="G15" s="2423"/>
      <c r="H15" s="2423"/>
      <c r="I15" s="1833"/>
    </row>
    <row r="16" spans="1:12" ht="12.75">
      <c r="A16" s="3067"/>
      <c r="B16" s="3005"/>
      <c r="C16" s="3072"/>
      <c r="D16" s="3090"/>
      <c r="E16" s="140" t="s">
        <v>2140</v>
      </c>
      <c r="F16" s="2423"/>
      <c r="G16" s="2423"/>
      <c r="H16" s="2423"/>
      <c r="I16" s="1833"/>
    </row>
    <row r="17" spans="1:35" ht="15">
      <c r="A17" s="2424" t="s">
        <v>2141</v>
      </c>
      <c r="B17" s="64"/>
      <c r="C17" s="141">
        <f>SUM(C5:C16)</f>
        <v>5</v>
      </c>
      <c r="D17" s="141">
        <f>SUM(D5:D16)</f>
        <v>5</v>
      </c>
      <c r="E17" s="138"/>
      <c r="F17" s="138"/>
      <c r="G17" s="138"/>
      <c r="H17" s="138"/>
      <c r="I17" s="138"/>
      <c r="K17" s="2422"/>
      <c r="L17" s="2425" t="s">
        <v>2142</v>
      </c>
      <c r="M17" s="2425" t="s">
        <v>2143</v>
      </c>
    </row>
    <row r="18" spans="1:35" ht="15.75" thickBot="1">
      <c r="A18" s="2426" t="s">
        <v>2144</v>
      </c>
      <c r="B18" s="2427"/>
      <c r="C18" s="142">
        <f>ROUND(C17/SUM(C17:D17),2)</f>
        <v>0.5</v>
      </c>
      <c r="D18" s="142">
        <f>1-C18</f>
        <v>0.5</v>
      </c>
      <c r="E18" s="138"/>
      <c r="F18" s="138"/>
      <c r="G18" s="138"/>
      <c r="H18" s="138"/>
      <c r="I18" s="138"/>
      <c r="K18" s="2422" t="s">
        <v>2145</v>
      </c>
      <c r="L18" s="2422">
        <f>IF(C1="",'数据-汇总表'!E3,SUMIF(项目类型,C1,'数据-汇总表'!E17:E26)+SUMIF(项目类型,C1,'数据-汇总表'!I17:I26))</f>
        <v>15950.36</v>
      </c>
      <c r="M18" s="2422">
        <f>IF(C1="",'数据-汇总表'!E3,SUMIF(项目类型,C1,'数据-汇总表'!E17:E26))</f>
        <v>15950.36</v>
      </c>
    </row>
    <row r="19" spans="1:35" ht="15">
      <c r="A19" s="2428" t="s">
        <v>2146</v>
      </c>
      <c r="B19" s="2429" t="s">
        <v>2147</v>
      </c>
      <c r="C19" s="143">
        <f ca="1">SUMIF(INDIRECT("'"&amp;C4&amp;"'"&amp;"!A:A"),结果表!B19,INDIRECT("'"&amp;C4&amp;"'"&amp;"!B:B"))</f>
        <v>7474</v>
      </c>
      <c r="D19" s="144">
        <f ca="1">SUMIF(INDIRECT("'"&amp;D4&amp;"'"&amp;"!A:A"),结果表!B19,INDIRECT("'"&amp;D4&amp;"'"&amp;"!B:B"))</f>
        <v>9257</v>
      </c>
      <c r="E19" s="2428" t="s">
        <v>2148</v>
      </c>
      <c r="F19" s="2429" t="s">
        <v>2147</v>
      </c>
      <c r="G19" s="145">
        <f ca="1">ROUND(C19*$C$18+D19*$D$18,0)</f>
        <v>8366</v>
      </c>
      <c r="H19" s="2430" t="s">
        <v>2149</v>
      </c>
      <c r="I19" s="138"/>
      <c r="K19" s="2422" t="s">
        <v>2150</v>
      </c>
      <c r="L19" s="2422">
        <f>IF(C1="",'数据-汇总表'!D3,SUMIF(项目类型,C1,'数据-汇总表'!D17:D26)+SUMIF(项目类型,C1,'数据-汇总表'!H17:H27))</f>
        <v>24215.7</v>
      </c>
      <c r="M19" s="2422">
        <f>IF(C1="",'数据-汇总表'!D3,SUMIF(项目类型,C1,'数据-汇总表'!D17:D26))</f>
        <v>24215.7</v>
      </c>
    </row>
    <row r="20" spans="1:35" ht="15">
      <c r="A20" s="2431"/>
      <c r="B20" s="1250" t="s">
        <v>2151</v>
      </c>
      <c r="C20" s="146">
        <f ca="1">SUMIF(INDIRECT("'"&amp;C4&amp;"'"&amp;"!A:A"),结果表!B20,INDIRECT("'"&amp;C4&amp;"'"&amp;"!B:B"))</f>
        <v>4686</v>
      </c>
      <c r="D20" s="147">
        <f ca="1">SUMIF(INDIRECT("'"&amp;D4&amp;"'"&amp;"!A:A"),结果表!B20,INDIRECT("'"&amp;D4&amp;"'"&amp;"!B:B"))</f>
        <v>5804</v>
      </c>
      <c r="E20" s="2431"/>
      <c r="F20" s="1250" t="s">
        <v>2151</v>
      </c>
      <c r="G20" s="148">
        <f ca="1">ROUND(C20*$C$18+D20*$D$18,0)</f>
        <v>5245</v>
      </c>
      <c r="H20" s="983" t="s">
        <v>2152</v>
      </c>
      <c r="I20" s="138"/>
    </row>
    <row r="21" spans="1:35" ht="15" customHeight="1" thickBot="1">
      <c r="A21" s="1003"/>
      <c r="B21" s="2432" t="s">
        <v>2153</v>
      </c>
      <c r="C21" s="789">
        <f ca="1">ROUND(C19*10000/L19,0)</f>
        <v>3086</v>
      </c>
      <c r="D21" s="790">
        <f ca="1">ROUND(D19*10000/L19,0)</f>
        <v>3823</v>
      </c>
      <c r="E21" s="1003"/>
      <c r="F21" s="2432" t="s">
        <v>2153</v>
      </c>
      <c r="G21" s="149">
        <f ca="1">ROUND(G19*10000/L19,0)</f>
        <v>3455</v>
      </c>
      <c r="H21" s="2433" t="s">
        <v>2152</v>
      </c>
      <c r="I21" s="138"/>
    </row>
    <row r="22" spans="1:35" ht="15" thickBot="1">
      <c r="A22" s="2276" t="s">
        <v>2154</v>
      </c>
      <c r="B22" s="2434"/>
      <c r="C22" s="2435"/>
      <c r="D22" s="791">
        <f ca="1">IF(C19&lt;D19,D19/C19-1,C19/D19-1)</f>
        <v>0.23856034252073854</v>
      </c>
      <c r="E22" s="138"/>
      <c r="F22" s="138"/>
      <c r="G22" s="138"/>
      <c r="H22" s="138"/>
      <c r="I22" s="138"/>
    </row>
    <row r="23" spans="1:35" ht="13.5" thickBot="1">
      <c r="A23" s="2412"/>
      <c r="B23" s="2412"/>
      <c r="C23" s="2412"/>
      <c r="D23" s="2412"/>
      <c r="E23" s="138"/>
      <c r="F23" s="138"/>
      <c r="G23" s="138"/>
      <c r="H23" s="138"/>
      <c r="I23" s="138"/>
    </row>
    <row r="24" spans="1:35" ht="14.25">
      <c r="A24" s="3061" t="s">
        <v>2155</v>
      </c>
      <c r="B24" s="2429" t="s">
        <v>2147</v>
      </c>
      <c r="C24" s="145">
        <f>IF(B30=0,0,D30)</f>
        <v>0</v>
      </c>
      <c r="D24" s="2436"/>
      <c r="E24" s="138"/>
      <c r="F24" s="138"/>
      <c r="G24" s="138"/>
      <c r="H24" s="138"/>
      <c r="I24" s="138"/>
    </row>
    <row r="25" spans="1:35" ht="14.25">
      <c r="A25" s="3062"/>
      <c r="B25" s="1250"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21" t="s">
        <v>3036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8366</v>
      </c>
      <c r="D32" s="2443" t="s">
        <v>2162</v>
      </c>
      <c r="E32" s="138"/>
      <c r="F32" s="138"/>
      <c r="G32" s="138"/>
      <c r="H32" s="138"/>
      <c r="I32" s="138"/>
    </row>
    <row r="33" spans="1:15" ht="15">
      <c r="A33" s="960" t="s">
        <v>2163</v>
      </c>
      <c r="B33" s="2444"/>
      <c r="C33" s="2445" t="s">
        <v>3113</v>
      </c>
      <c r="D33" s="2446" t="s">
        <v>3111</v>
      </c>
      <c r="E33" s="2447" t="s">
        <v>2164</v>
      </c>
      <c r="F33" s="2448" t="str">
        <f>IF(D32="楼面单价","取值（单价）","取值（总价）")</f>
        <v>取值（总价）</v>
      </c>
      <c r="G33" s="138"/>
      <c r="H33" s="138"/>
      <c r="I33" s="138"/>
    </row>
    <row r="34" spans="1:15" ht="15">
      <c r="A34" s="2449"/>
      <c r="B34" s="2450" t="s">
        <v>2165</v>
      </c>
      <c r="C34" s="157">
        <f ca="1">IF(C33="自定义",F34,C32-C35)</f>
        <v>3689</v>
      </c>
      <c r="D34" s="1058">
        <f ca="1">IF(C33="自定义",ROUND(C34/C32,3),IF(C33="收益比率",SUMIF(INDIRECT("'"&amp;D33&amp;"'"&amp;"!b:b"),"土地收益比率",INDIRECT("'"&amp;D33&amp;"'"&amp;"!c:c")),SUMIF(INDIRECT("'"&amp;D33&amp;"'"&amp;"!b:b"),"土地成本比率",INDIRECT("'"&amp;D33&amp;"'"&amp;"!c:c"))))</f>
        <v>0.44099999999999995</v>
      </c>
      <c r="E34" s="2451" t="s">
        <v>2166</v>
      </c>
      <c r="F34" s="1738"/>
      <c r="G34" s="138"/>
      <c r="H34" s="138"/>
      <c r="I34" s="138"/>
    </row>
    <row r="35" spans="1:15" ht="15.75" thickBot="1">
      <c r="A35" s="2452"/>
      <c r="B35" s="2453" t="s">
        <v>2167</v>
      </c>
      <c r="C35" s="1443">
        <f ca="1">IF(C33="自定义",F35,ROUND(C32*D35,0))</f>
        <v>4677</v>
      </c>
      <c r="D35" s="1444">
        <f ca="1">IF(C33="自定义",ROUND(C35/C32,3),IF(C33="收益比率",SUMIF(INDIRECT("'"&amp;D33&amp;"'"&amp;"!b:b"),"建筑物收益比率",INDIRECT("'"&amp;D33&amp;"'"&amp;"!c:c")),SUMIF(INDIRECT("'"&amp;D33&amp;"'"&amp;"!b:b"),"建筑物成本比率",INDIRECT("'"&amp;D33&amp;"'"&amp;"!c:c"))))</f>
        <v>0.55900000000000005</v>
      </c>
      <c r="E35" s="2454" t="s">
        <v>2168</v>
      </c>
      <c r="F35" s="163"/>
      <c r="G35" s="138"/>
      <c r="H35" s="138"/>
      <c r="I35" s="138"/>
    </row>
    <row r="36" spans="1:15" ht="15.75" thickBot="1">
      <c r="A36" s="3079" t="s">
        <v>2169</v>
      </c>
      <c r="B36" s="2455" t="s">
        <v>2170</v>
      </c>
      <c r="C36" s="154"/>
      <c r="D36" s="2456"/>
      <c r="E36" s="2457"/>
      <c r="F36" s="2458"/>
      <c r="G36" s="138"/>
      <c r="H36" s="138"/>
      <c r="I36" s="138"/>
    </row>
    <row r="37" spans="1:15" ht="15.75" thickBot="1">
      <c r="A37" s="3080"/>
      <c r="B37" s="2262" t="s">
        <v>2171</v>
      </c>
      <c r="C37" s="156"/>
      <c r="D37" s="1394"/>
      <c r="E37" s="1394"/>
      <c r="F37" s="2458"/>
      <c r="G37" s="138"/>
      <c r="H37" s="138"/>
      <c r="I37" s="138"/>
    </row>
    <row r="38" spans="1:15" ht="15.75" thickBot="1">
      <c r="A38" s="3081"/>
      <c r="B38" s="2459" t="s">
        <v>2172</v>
      </c>
      <c r="C38" s="727"/>
      <c r="D38" s="2460" t="s">
        <v>2173</v>
      </c>
      <c r="E38" s="1394"/>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058" t="s">
        <v>2183</v>
      </c>
      <c r="B45" s="3059"/>
      <c r="C45" s="3060"/>
      <c r="D45" s="164">
        <f ca="1">ROUND(H101*F45,0)</f>
        <v>8366</v>
      </c>
      <c r="E45" s="165" t="s">
        <v>2184</v>
      </c>
      <c r="F45" s="166">
        <v>1</v>
      </c>
      <c r="G45" s="167" t="s">
        <v>2185</v>
      </c>
      <c r="H45" s="138"/>
      <c r="I45" s="138"/>
      <c r="J45" s="3118" t="s">
        <v>2186</v>
      </c>
      <c r="K45" s="3118"/>
      <c r="L45" s="3118"/>
      <c r="M45" s="3118"/>
      <c r="N45" s="3118"/>
      <c r="O45" s="3118"/>
    </row>
    <row r="46" spans="1:15" ht="14.25" customHeight="1">
      <c r="A46" s="3055" t="s">
        <v>2187</v>
      </c>
      <c r="B46" s="3056"/>
      <c r="C46" s="3056"/>
      <c r="D46" s="3056"/>
      <c r="E46" s="3056"/>
      <c r="F46" s="3056"/>
      <c r="G46" s="3057"/>
      <c r="H46" s="2474"/>
      <c r="I46" s="168"/>
      <c r="J46" s="1811">
        <v>1</v>
      </c>
      <c r="K46" s="3118" t="s">
        <v>2188</v>
      </c>
      <c r="L46" s="3118"/>
      <c r="M46" s="3138"/>
      <c r="N46" s="3138"/>
      <c r="O46" s="3138"/>
    </row>
    <row r="47" spans="1:15" ht="12" customHeight="1">
      <c r="A47" s="169" t="s">
        <v>2189</v>
      </c>
      <c r="B47" s="170"/>
      <c r="C47" s="171"/>
      <c r="D47" s="172" t="s">
        <v>2190</v>
      </c>
      <c r="E47" s="24" t="s">
        <v>2191</v>
      </c>
      <c r="F47" s="173" t="s">
        <v>2192</v>
      </c>
      <c r="G47" s="174" t="s">
        <v>2193</v>
      </c>
      <c r="H47" s="2474"/>
      <c r="I47" s="168"/>
      <c r="J47" s="1811">
        <v>2</v>
      </c>
      <c r="K47" s="3118" t="s">
        <v>2194</v>
      </c>
      <c r="L47" s="3118"/>
      <c r="M47" s="3139">
        <f>'数据-取费表'!B2</f>
        <v>43228</v>
      </c>
      <c r="N47" s="3139"/>
      <c r="O47" s="3139"/>
    </row>
    <row r="48" spans="1:15" ht="25.5">
      <c r="A48" s="3086" t="s">
        <v>2195</v>
      </c>
      <c r="B48" s="3069"/>
      <c r="C48" s="3069"/>
      <c r="D48" s="140">
        <f>IF(H48="情况1",0,IF(H48="情况2",D52,IF(H48="情况3",D53,IF(H48="情况4",D54))))</f>
        <v>0</v>
      </c>
      <c r="E48" s="1800" t="str">
        <f>IF(H48="情况4","(销售额-原购置价)×税（费）率","销售额×税（费）率")</f>
        <v>销售额×税（费）率</v>
      </c>
      <c r="F48" s="175" t="str">
        <f>IF(H48="情况1","免征",'数据-取费表'!B41)</f>
        <v>免征</v>
      </c>
      <c r="G48" s="2475" t="s">
        <v>2196</v>
      </c>
      <c r="H48" s="2476" t="s">
        <v>2197</v>
      </c>
      <c r="I48" s="2474"/>
      <c r="J48" s="1811">
        <v>3</v>
      </c>
      <c r="K48" s="3118" t="s">
        <v>2198</v>
      </c>
      <c r="L48" s="3118"/>
      <c r="M48" s="3140">
        <f ca="1">H101</f>
        <v>8366</v>
      </c>
      <c r="N48" s="3140"/>
      <c r="O48" s="3140"/>
    </row>
    <row r="49" spans="1:35" ht="25.5" customHeight="1">
      <c r="A49" s="176" t="s">
        <v>2199</v>
      </c>
      <c r="B49" s="3054" t="s">
        <v>2200</v>
      </c>
      <c r="C49" s="3054"/>
      <c r="D49" s="177">
        <v>0</v>
      </c>
      <c r="E49" s="23" t="s">
        <v>2201</v>
      </c>
      <c r="F49" s="28" t="s">
        <v>34</v>
      </c>
      <c r="G49" s="3124"/>
      <c r="H49" s="138"/>
      <c r="I49" s="2477"/>
      <c r="J49" s="1811">
        <v>4</v>
      </c>
      <c r="K49" s="3118" t="str">
        <f>IF(项目基本情况!E8="房地产抵押价值","房地产抵押价值","抵押担保权已注销时的房地产抵押价值")</f>
        <v>房地产抵押价值</v>
      </c>
      <c r="L49" s="3118"/>
      <c r="M49" s="3140">
        <f ca="1">IF(项目基本情况!E8="房地产抵押价值",H107,H109)</f>
        <v>8366</v>
      </c>
      <c r="N49" s="3140"/>
      <c r="O49" s="3140"/>
    </row>
    <row r="50" spans="1:35" ht="25.5" customHeight="1">
      <c r="A50" s="178"/>
      <c r="B50" s="3054" t="s">
        <v>2202</v>
      </c>
      <c r="C50" s="3054"/>
      <c r="D50" s="179"/>
      <c r="E50" s="31"/>
      <c r="F50" s="180"/>
      <c r="G50" s="3125"/>
      <c r="H50" s="138"/>
      <c r="I50" s="2477"/>
      <c r="J50" s="3118" t="s">
        <v>2203</v>
      </c>
      <c r="K50" s="3118"/>
      <c r="L50" s="3118"/>
      <c r="M50" s="3118"/>
      <c r="N50" s="3118"/>
      <c r="O50" s="3118"/>
    </row>
    <row r="51" spans="1:35" ht="12" customHeight="1">
      <c r="A51" s="181"/>
      <c r="B51" s="3054" t="s">
        <v>2204</v>
      </c>
      <c r="C51" s="3054"/>
      <c r="D51" s="182"/>
      <c r="E51" s="30"/>
      <c r="F51" s="180"/>
      <c r="G51" s="3126"/>
      <c r="H51" s="138"/>
      <c r="I51" s="2477"/>
      <c r="J51" s="2478" t="s">
        <v>2205</v>
      </c>
      <c r="K51" s="3118" t="s">
        <v>2206</v>
      </c>
      <c r="L51" s="3118"/>
      <c r="M51" s="2478" t="s">
        <v>2207</v>
      </c>
      <c r="N51" s="2478" t="s">
        <v>2208</v>
      </c>
      <c r="O51" s="2478" t="s">
        <v>2209</v>
      </c>
    </row>
    <row r="52" spans="1:35" ht="24" customHeight="1">
      <c r="A52" s="183" t="s">
        <v>2210</v>
      </c>
      <c r="B52" s="3054" t="s">
        <v>2211</v>
      </c>
      <c r="C52" s="3054"/>
      <c r="D52" s="182">
        <f ca="1">ROUND(D45*'数据-取费表'!B41/(1+'数据-取费表'!C42),0)</f>
        <v>438</v>
      </c>
      <c r="E52" s="11" t="s">
        <v>2212</v>
      </c>
      <c r="F52" s="184">
        <f>'数据-取费表'!B41</f>
        <v>5.5000000000000007E-2</v>
      </c>
      <c r="G52" s="2479"/>
      <c r="H52" s="138"/>
      <c r="I52" s="2477"/>
      <c r="J52" s="1811">
        <v>1</v>
      </c>
      <c r="K52" s="3119" t="s">
        <v>2213</v>
      </c>
      <c r="L52" s="3119"/>
      <c r="M52" s="1753">
        <f>D48</f>
        <v>0</v>
      </c>
      <c r="N52" s="1811" t="str">
        <f>E48</f>
        <v>销售额×税（费）率</v>
      </c>
      <c r="O52" s="1754" t="str">
        <f>F48</f>
        <v>免征</v>
      </c>
    </row>
    <row r="53" spans="1:35" ht="12" customHeight="1">
      <c r="A53" s="183" t="s">
        <v>2214</v>
      </c>
      <c r="B53" s="3077" t="s">
        <v>2215</v>
      </c>
      <c r="C53" s="3078"/>
      <c r="D53" s="182">
        <f ca="1">ROUND(D45*'数据-取费表'!B41/(1+'数据-取费表'!C42),0)</f>
        <v>438</v>
      </c>
      <c r="E53" s="11" t="s">
        <v>2212</v>
      </c>
      <c r="F53" s="184">
        <f>'数据-取费表'!B41</f>
        <v>5.5000000000000007E-2</v>
      </c>
      <c r="G53" s="2479"/>
      <c r="H53" s="138"/>
      <c r="I53" s="2477"/>
      <c r="J53" s="1811">
        <v>2</v>
      </c>
      <c r="K53" s="3119" t="s">
        <v>2216</v>
      </c>
      <c r="L53" s="3119"/>
      <c r="M53" s="1753">
        <f t="shared" ref="M53:O54" ca="1" si="0">D55</f>
        <v>4</v>
      </c>
      <c r="N53" s="1811" t="str">
        <f t="shared" si="0"/>
        <v>销售额×税（费）率</v>
      </c>
      <c r="O53" s="1754">
        <f t="shared" si="0"/>
        <v>5.0000000000000001E-4</v>
      </c>
    </row>
    <row r="54" spans="1:35" ht="12" customHeight="1">
      <c r="A54" s="183" t="s">
        <v>2217</v>
      </c>
      <c r="B54" s="3077" t="s">
        <v>2218</v>
      </c>
      <c r="C54" s="3078"/>
      <c r="D54" s="182">
        <f ca="1">C68</f>
        <v>438</v>
      </c>
      <c r="E54" s="30" t="s">
        <v>2219</v>
      </c>
      <c r="F54" s="184">
        <f>'数据-取费表'!B41</f>
        <v>5.5000000000000007E-2</v>
      </c>
      <c r="G54" s="2479"/>
      <c r="H54" s="2480"/>
      <c r="I54" s="2477"/>
      <c r="J54" s="1811">
        <v>3</v>
      </c>
      <c r="K54" s="3119" t="s">
        <v>2220</v>
      </c>
      <c r="L54" s="3119"/>
      <c r="M54" s="1753">
        <f t="shared" ca="1" si="0"/>
        <v>4743</v>
      </c>
      <c r="N54" s="1811" t="str">
        <f t="shared" si="0"/>
        <v>增值额×税（费）率</v>
      </c>
      <c r="O54" s="1755" t="str">
        <f t="shared" si="0"/>
        <v>——</v>
      </c>
    </row>
    <row r="55" spans="1:35" ht="24" customHeight="1">
      <c r="A55" s="3068" t="s">
        <v>2221</v>
      </c>
      <c r="B55" s="3069"/>
      <c r="C55" s="3069"/>
      <c r="D55" s="185">
        <f ca="1">IF(H55="个人住宅",0,ROUND(D45*I55,0))</f>
        <v>4</v>
      </c>
      <c r="E55" s="11" t="s">
        <v>2222</v>
      </c>
      <c r="F55" s="184">
        <f>IF(H55="正常",I55,"免征")</f>
        <v>5.0000000000000001E-4</v>
      </c>
      <c r="G55" s="2479"/>
      <c r="H55" s="2476" t="s">
        <v>2223</v>
      </c>
      <c r="I55" s="186">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2224</v>
      </c>
      <c r="B56" s="3069"/>
      <c r="C56" s="3069"/>
      <c r="D56" s="185">
        <f ca="1">IF(H56="个人住宅",D57,D58)</f>
        <v>4743</v>
      </c>
      <c r="E56" s="11" t="s">
        <v>2225</v>
      </c>
      <c r="F56" s="184" t="str">
        <f>IF(H56="正常",F58,"免征")</f>
        <v>——</v>
      </c>
      <c r="G56" s="2481" t="s">
        <v>2226</v>
      </c>
      <c r="H56" s="2482" t="s">
        <v>2223</v>
      </c>
      <c r="I56" s="2483"/>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3" t="s">
        <v>2199</v>
      </c>
      <c r="B57" s="3084" t="s">
        <v>2227</v>
      </c>
      <c r="C57" s="3093"/>
      <c r="D57" s="187">
        <v>0</v>
      </c>
      <c r="E57" s="23" t="s">
        <v>2201</v>
      </c>
      <c r="F57" s="155"/>
      <c r="G57" s="2479"/>
      <c r="H57" s="2483"/>
      <c r="I57" s="2483"/>
      <c r="J57" s="3119">
        <f>IF(AND(J55="",J56=""),4,IF(项目基本情况!K6="上海银行",结果表!J56+1,结果表!J55+1))</f>
        <v>4</v>
      </c>
      <c r="K57" s="3119" t="s">
        <v>2228</v>
      </c>
      <c r="L57" s="2484" t="s">
        <v>2229</v>
      </c>
      <c r="M57" s="1758"/>
      <c r="N57" s="1759">
        <f ca="1">SUMIF(M52:M56,"&lt;9e307")</f>
        <v>4747</v>
      </c>
      <c r="O57" s="2485"/>
      <c r="P57" s="1752">
        <f ca="1">N57/M49</f>
        <v>0.56741573033707871</v>
      </c>
    </row>
    <row r="58" spans="1:35" ht="24.75">
      <c r="A58" s="183" t="s">
        <v>2210</v>
      </c>
      <c r="B58" s="3084" t="s">
        <v>2230</v>
      </c>
      <c r="C58" s="3085"/>
      <c r="D58" s="185">
        <f ca="1">IF(H58="转让取得",C81,C97)</f>
        <v>4743</v>
      </c>
      <c r="E58" s="11" t="s">
        <v>2225</v>
      </c>
      <c r="F58" s="24" t="s">
        <v>34</v>
      </c>
      <c r="G58" s="2479"/>
      <c r="H58" s="2482" t="s">
        <v>2231</v>
      </c>
      <c r="I58" s="2483"/>
      <c r="J58" s="3119"/>
      <c r="K58" s="3119"/>
      <c r="L58" s="2484" t="s">
        <v>2232</v>
      </c>
      <c r="M58" s="1760"/>
      <c r="N58" s="2486" t="str">
        <f ca="1">NUMBERSTRING(INT(N57*10000),2)&amp;"元整"</f>
        <v>肆仟柒佰肆拾柒万元整</v>
      </c>
      <c r="O58" s="2487"/>
    </row>
    <row r="59" spans="1:35" ht="24.75" thickBot="1">
      <c r="A59" s="3122" t="s">
        <v>2233</v>
      </c>
      <c r="B59" s="3123"/>
      <c r="C59" s="3123"/>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120">
        <f>J57+1</f>
        <v>5</v>
      </c>
      <c r="K59" s="3119" t="s">
        <v>2235</v>
      </c>
      <c r="L59" s="1811" t="s">
        <v>2229</v>
      </c>
      <c r="M59" s="1761"/>
      <c r="N59" s="1762">
        <f ca="1">M49-N57</f>
        <v>3619</v>
      </c>
      <c r="O59" s="2489"/>
    </row>
    <row r="60" spans="1:35" ht="12" customHeight="1">
      <c r="A60" s="2490"/>
      <c r="B60" s="2412"/>
      <c r="C60" s="2412"/>
      <c r="D60" s="2412"/>
      <c r="E60" s="2161"/>
      <c r="F60" s="2483"/>
      <c r="G60" s="2483"/>
      <c r="H60" s="2491"/>
      <c r="I60" s="138"/>
      <c r="J60" s="3121"/>
      <c r="K60" s="3119"/>
      <c r="L60" s="2484" t="s">
        <v>2232</v>
      </c>
      <c r="M60" s="1760"/>
      <c r="N60" s="2486" t="str">
        <f ca="1">NUMBERSTRING(INT(N59*10000),2)&amp;"元整"</f>
        <v>叁仟陆佰壹拾玖万元整</v>
      </c>
      <c r="O60" s="2487"/>
    </row>
    <row r="61" spans="1:35" ht="13.5" thickBot="1">
      <c r="A61" s="3066" t="s">
        <v>2236</v>
      </c>
      <c r="B61" s="3066"/>
      <c r="C61" s="3066"/>
      <c r="D61" s="3066"/>
      <c r="E61" s="3066"/>
      <c r="F61" s="2483"/>
      <c r="G61" s="2483"/>
      <c r="H61" s="2491"/>
      <c r="I61" s="138"/>
      <c r="J61" s="1811">
        <f>J59+1</f>
        <v>6</v>
      </c>
      <c r="K61" s="3119" t="s">
        <v>2237</v>
      </c>
      <c r="L61" s="3119"/>
      <c r="M61" s="1763"/>
      <c r="N61" s="1764">
        <f ca="1">ROUND(N59*10000/'数据-汇总表'!E3,0)</f>
        <v>2269</v>
      </c>
      <c r="O61" s="2492"/>
    </row>
    <row r="62" spans="1:35" ht="12.75">
      <c r="A62" s="3082" t="s">
        <v>2238</v>
      </c>
      <c r="B62" s="3083"/>
      <c r="C62" s="1803"/>
      <c r="D62" s="1803" t="s">
        <v>2239</v>
      </c>
      <c r="E62" s="192" t="s">
        <v>2240</v>
      </c>
      <c r="F62" s="2483"/>
      <c r="G62" s="2483"/>
      <c r="H62" s="2491"/>
      <c r="I62" s="138"/>
    </row>
    <row r="63" spans="1:35" ht="12.75">
      <c r="A63" s="203" t="s">
        <v>775</v>
      </c>
      <c r="B63" s="193" t="s">
        <v>2241</v>
      </c>
      <c r="C63" s="194">
        <f ca="1">ROUND((C64+C65)/(1+'数据-取费表'!C42),0)</f>
        <v>7968</v>
      </c>
      <c r="D63" s="195"/>
      <c r="E63" s="196"/>
      <c r="F63" s="2483"/>
      <c r="G63" s="2483"/>
      <c r="H63" s="2491"/>
      <c r="I63" s="138"/>
      <c r="J63" s="3144" t="s">
        <v>2242</v>
      </c>
      <c r="K63" s="2493" t="s">
        <v>2243</v>
      </c>
      <c r="L63" s="1751">
        <f ca="1">IF(M49&gt;10000,M49*0.5%,IF(AND(M49&gt;1000,M49&lt;=10000),M49*1%,IF(AND(M49&gt;100,M49&lt;=1000),M49*3%,IF(AND(M49&gt;10,M49&lt;=100),M49*5%,M49*8%))))</f>
        <v>83.66</v>
      </c>
      <c r="M63" s="24">
        <f ca="1">ROUND(L63,1)</f>
        <v>83.7</v>
      </c>
      <c r="Z63" s="2417"/>
      <c r="AI63" s="2418"/>
    </row>
    <row r="64" spans="1:35" ht="14.25" customHeight="1">
      <c r="A64" s="197" t="s">
        <v>770</v>
      </c>
      <c r="B64" s="198" t="s">
        <v>2244</v>
      </c>
      <c r="C64" s="199">
        <f ca="1">D45</f>
        <v>8366</v>
      </c>
      <c r="D64" s="200" t="s">
        <v>32</v>
      </c>
      <c r="E64" s="201"/>
      <c r="F64" s="2483"/>
      <c r="G64" s="2483"/>
      <c r="H64" s="2491"/>
      <c r="I64" s="138"/>
      <c r="J64" s="3144"/>
      <c r="K64" s="2493" t="s">
        <v>2245</v>
      </c>
      <c r="L64" s="1751">
        <f ca="1">IF(M49&gt;2000,M49*0.5%,IF(AND(M49&gt;1000,M49&lt;=2000),M49*0.6%,IF(AND(M49&gt;500,M49&lt;=1000),M49*0.7%,IF(AND(M49&gt;200,M49&lt;=500),M49*0.8%,IF(AND(M49&gt;100,M49&lt;=200),M49*0.9%,IF(AND(M49&gt;50,M49&lt;=100),M49*1%,IF(AND(M49&gt;20,M49&lt;=50),M49*1.5%,IF(AND(M49&gt;10,M49&lt;=20),M49*2%,IF(AND(M49&gt;1,M49&lt;=10),M49*2.5%)))))))))</f>
        <v>41.83</v>
      </c>
      <c r="M64" s="24">
        <f t="shared" ref="M64:M65" ca="1" si="1">ROUND(L64,1)</f>
        <v>41.8</v>
      </c>
      <c r="N64" s="138" t="s">
        <v>2246</v>
      </c>
      <c r="Z64" s="2417"/>
      <c r="AI64" s="2418"/>
    </row>
    <row r="65" spans="1:35" ht="14.25" customHeight="1">
      <c r="A65" s="197" t="s">
        <v>771</v>
      </c>
      <c r="B65" s="198" t="s">
        <v>2247</v>
      </c>
      <c r="C65" s="202"/>
      <c r="D65" s="200"/>
      <c r="E65" s="201"/>
      <c r="F65" s="2483"/>
      <c r="G65" s="2483"/>
      <c r="H65" s="2491"/>
      <c r="I65" s="138"/>
      <c r="J65" s="3144"/>
      <c r="K65" s="2493" t="s">
        <v>2248</v>
      </c>
      <c r="L65" s="1751">
        <f ca="1">IF(M49&gt;1000,M49*0.1%,IF(AND(M49&gt;500,M49&lt;=1000),M49*0.5%,IF(AND(M49&gt;50,M49&lt;=500),M49*1%,IF(AND(M49&gt;1,M49&lt;=50),M49*1.5%))))</f>
        <v>8.3659999999999997</v>
      </c>
      <c r="M65" s="24">
        <f t="shared" ca="1" si="1"/>
        <v>8.4</v>
      </c>
      <c r="N65" s="138" t="s">
        <v>2246</v>
      </c>
      <c r="Z65" s="2417"/>
      <c r="AI65" s="2418"/>
    </row>
    <row r="66" spans="1:35" ht="14.25" customHeight="1">
      <c r="A66" s="203" t="s">
        <v>772</v>
      </c>
      <c r="B66" s="204" t="s">
        <v>2249</v>
      </c>
      <c r="C66" s="205"/>
      <c r="D66" s="206" t="s">
        <v>32</v>
      </c>
      <c r="E66" s="1775" t="s">
        <v>1371</v>
      </c>
      <c r="F66" s="2483"/>
      <c r="G66" s="2483"/>
      <c r="H66" s="2491"/>
      <c r="I66" s="138"/>
      <c r="J66" s="3144"/>
      <c r="K66" s="2493" t="s">
        <v>2250</v>
      </c>
      <c r="L66" s="1751">
        <f ca="1">M49*0.5%</f>
        <v>41.83</v>
      </c>
      <c r="M66" s="24">
        <f ca="1">IF(L66&gt;0.5,0.5,ROUND(L66,0))</f>
        <v>0.5</v>
      </c>
      <c r="N66" s="138" t="s">
        <v>2251</v>
      </c>
      <c r="Z66" s="2417"/>
      <c r="AI66" s="2418"/>
    </row>
    <row r="67" spans="1:35" ht="14.25" customHeight="1">
      <c r="A67" s="203" t="s">
        <v>773</v>
      </c>
      <c r="B67" s="204" t="s">
        <v>2252</v>
      </c>
      <c r="C67" s="207">
        <f ca="1">C63-C66</f>
        <v>7968</v>
      </c>
      <c r="D67" s="200" t="s">
        <v>32</v>
      </c>
      <c r="E67" s="201"/>
      <c r="F67" s="2483"/>
      <c r="G67" s="2483"/>
      <c r="H67" s="2491"/>
      <c r="I67" s="138"/>
      <c r="J67" s="3144"/>
      <c r="K67" s="2493" t="s">
        <v>2253</v>
      </c>
      <c r="L67" s="1751">
        <f ca="1">IF(M49&gt;=10000,(8.25+(M49-10000)*0.01%),IF(AND(M49&gt;=8000,M49&lt;10000),(7.85+(M49-8000)*0.02%),IF(AND(M49&gt;=5000,M49&lt;8000),(6.65+(M49-5000)*0.04%),IF(AND(M49&gt;=2000,M49&lt;5000),(4.25+(PM49-2000)*0.08%),IF(AND(M49&gt;=1000,M49&lt;2000),(2.75+(M49-1000)*0.15%),IF(AND(M49&gt;=100,M49&lt;1000),(0.5+(M49-100)*0.25%),IF(AND(M49&gt;0,M49&lt;100),M49*0.5%)))))))</f>
        <v>7.9231999999999996</v>
      </c>
      <c r="M67" s="24">
        <f ca="1">ROUND(L67*0.9,1)</f>
        <v>7.1</v>
      </c>
      <c r="Z67" s="2417"/>
      <c r="AI67" s="2418"/>
    </row>
    <row r="68" spans="1:35" ht="14.25" customHeight="1" thickBot="1">
      <c r="A68" s="208" t="s">
        <v>774</v>
      </c>
      <c r="B68" s="209" t="s">
        <v>2254</v>
      </c>
      <c r="C68" s="210">
        <f ca="1">IF(C67&lt;=0,0,ROUND(C67*D68,0))</f>
        <v>438</v>
      </c>
      <c r="D68" s="211">
        <f>'数据-取费表'!B41</f>
        <v>5.5000000000000007E-2</v>
      </c>
      <c r="E68" s="212"/>
      <c r="F68" s="2483"/>
      <c r="G68" s="2483"/>
      <c r="H68" s="2491"/>
      <c r="I68" s="138"/>
      <c r="J68" s="3144"/>
      <c r="K68" s="2493" t="s">
        <v>2255</v>
      </c>
      <c r="L68" s="1751">
        <f ca="1">IF(M49&gt;10000,M49*0.5%,IF(AND(M49&gt;5000,M49&lt;=10000),M49*1%,IF(AND(M49&gt;1000,M49&lt;=5000),M49*2%,IF(AND(M49&gt;200,M49&lt;=1000),M49*3%,M49*5%))))</f>
        <v>83.66</v>
      </c>
      <c r="M68" s="24">
        <f ca="1">ROUND(L68,1)</f>
        <v>83.7</v>
      </c>
      <c r="Z68" s="2417"/>
      <c r="AI68" s="2418"/>
    </row>
    <row r="69" spans="1:35" s="2440" customFormat="1" ht="16.5" customHeight="1">
      <c r="A69" s="2494"/>
      <c r="B69" s="2495"/>
      <c r="C69" s="2496"/>
      <c r="D69" s="2497"/>
      <c r="E69" s="2498"/>
      <c r="F69" s="2161"/>
      <c r="G69" s="2161"/>
      <c r="H69" s="2160"/>
      <c r="I69" s="2412"/>
      <c r="J69" s="3144"/>
      <c r="K69" s="2493" t="s">
        <v>2256</v>
      </c>
      <c r="L69" s="2499"/>
      <c r="M69" s="24">
        <f ca="1">ROUND(SUM(M63:M68),0)</f>
        <v>225</v>
      </c>
      <c r="N69" s="1752">
        <f ca="1">M69/M49</f>
        <v>2.6894573272770738E-2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3" t="s">
        <v>2257</v>
      </c>
      <c r="B70" s="3104"/>
      <c r="C70" s="3104"/>
      <c r="D70" s="3104"/>
      <c r="E70" s="3104"/>
      <c r="F70" s="3104"/>
      <c r="G70" s="3104"/>
      <c r="H70" s="310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2" t="s">
        <v>2238</v>
      </c>
      <c r="B71" s="3083"/>
      <c r="C71" s="1803"/>
      <c r="D71" s="1803"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2258</v>
      </c>
      <c r="C72" s="207">
        <f ca="1">ROUND(D45/(1+'数据-取费表'!C42),0)</f>
        <v>7968</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2259</v>
      </c>
      <c r="C73" s="207">
        <f ca="1">C74+C78</f>
        <v>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077" t="s">
        <v>2266</v>
      </c>
      <c r="F76" s="3054"/>
      <c r="G76" s="3054"/>
      <c r="H76" s="310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40</v>
      </c>
      <c r="D78" s="226">
        <f>'数据-取费表'!B43</f>
        <v>5.000000000000001E-3</v>
      </c>
      <c r="E78" s="3063" t="s">
        <v>2271</v>
      </c>
      <c r="F78" s="3064"/>
      <c r="G78" s="3064"/>
      <c r="H78" s="307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2272</v>
      </c>
      <c r="C79" s="207">
        <f ca="1">C72-C73</f>
        <v>7928</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198.2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2274</v>
      </c>
      <c r="C81" s="228">
        <f ca="1">ROUND(IF(C79&lt;=0,0,IF(C80&gt;=200%,C79*60%-C73*35%,IF(C80&gt;=100%,C79*50%-C73*15%,IF(C80&gt;=50%,C79*40%-C73*5%,IF(C80&lt;50%,C79*30%,0))))),0)</f>
        <v>4743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3" t="s">
        <v>2275</v>
      </c>
      <c r="B83" s="3104"/>
      <c r="C83" s="3104"/>
      <c r="D83" s="3104"/>
      <c r="E83" s="3104"/>
      <c r="F83" s="3104"/>
      <c r="G83" s="3104"/>
      <c r="H83" s="310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2" t="s">
        <v>2238</v>
      </c>
      <c r="B84" s="3083"/>
      <c r="C84" s="1803"/>
      <c r="D84" s="1803"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2258</v>
      </c>
      <c r="C85" s="207">
        <f ca="1">ROUND(D45/(1+'数据-取费表'!C42),0)</f>
        <v>7968</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2259</v>
      </c>
      <c r="C86" s="207">
        <f ca="1">IF(H88="仅含出让金",C87+C90+C91+C92+C93+C94,C87+C91+C92+C93+C94)</f>
        <v>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2276</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2277</v>
      </c>
      <c r="C88" s="236"/>
      <c r="D88" s="226"/>
      <c r="E88" s="237" t="s">
        <v>2278</v>
      </c>
      <c r="F88" s="1799"/>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2267</v>
      </c>
      <c r="C89" s="225">
        <f>ROUND(C88*D89,0)</f>
        <v>0</v>
      </c>
      <c r="D89" s="226">
        <f>'数据-取费表'!B48+'数据-取费表'!B49</f>
        <v>3.0499999999999999E-2</v>
      </c>
      <c r="E89" s="237" t="s">
        <v>2280</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2281</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063" t="s">
        <v>2284</v>
      </c>
      <c r="F91" s="3064"/>
      <c r="G91" s="3064"/>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063" t="s">
        <v>2288</v>
      </c>
      <c r="F92" s="3064"/>
      <c r="G92" s="3064"/>
      <c r="H92" s="307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40</v>
      </c>
      <c r="D93" s="226">
        <f>'数据-取费表'!B43</f>
        <v>5.000000000000001E-3</v>
      </c>
      <c r="E93" s="3063" t="s">
        <v>2271</v>
      </c>
      <c r="F93" s="3064"/>
      <c r="G93" s="3064"/>
      <c r="H93" s="307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074" t="s">
        <v>2292</v>
      </c>
      <c r="F94" s="3075"/>
      <c r="G94" s="3075"/>
      <c r="H94" s="307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2272</v>
      </c>
      <c r="C95" s="207">
        <f ca="1">ROUND(C85-C86,0)</f>
        <v>7928</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198.2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2274</v>
      </c>
      <c r="C97" s="228">
        <f ca="1">ROUND(IF(C95&lt;=0,0,IF(C96&gt;=200%,C95*60%-C86*35%,IF(C96&gt;=100%,C95*50%-C86*15%,IF(C96&gt;=50%,C95*40%-C86*5%,IF(C96&lt;50%,C95*30%,0))))),0)</f>
        <v>4743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2293</v>
      </c>
      <c r="B99" s="2412"/>
      <c r="C99" s="2412"/>
      <c r="D99" s="2412"/>
      <c r="E99" s="2161"/>
      <c r="F99" s="2161"/>
      <c r="G99" s="2161"/>
      <c r="H99" s="2160"/>
      <c r="I99" s="138"/>
    </row>
    <row r="100" spans="1:35" ht="18.75" customHeight="1">
      <c r="A100" s="3048" t="s">
        <v>2294</v>
      </c>
      <c r="B100" s="3049"/>
      <c r="C100" s="3049"/>
      <c r="D100" s="3065"/>
      <c r="E100" s="3049" t="s">
        <v>2295</v>
      </c>
      <c r="F100" s="3049"/>
      <c r="G100" s="3049"/>
      <c r="H100" s="3065"/>
      <c r="I100" s="138"/>
    </row>
    <row r="101" spans="1:35" ht="18.75" customHeight="1">
      <c r="A101" s="3127" t="s">
        <v>2296</v>
      </c>
      <c r="B101" s="3128"/>
      <c r="C101" s="736" t="str">
        <f>C4</f>
        <v>成本法</v>
      </c>
      <c r="D101" s="737" t="str">
        <f>D4</f>
        <v>收益法（汇总）</v>
      </c>
      <c r="E101" s="3141" t="s">
        <v>2297</v>
      </c>
      <c r="F101" s="3095"/>
      <c r="G101" s="2514" t="s">
        <v>2298</v>
      </c>
      <c r="H101" s="1048">
        <f ca="1">H118</f>
        <v>8366</v>
      </c>
      <c r="I101" s="138"/>
    </row>
    <row r="102" spans="1:35" ht="18.75" customHeight="1">
      <c r="A102" s="3097" t="s">
        <v>2299</v>
      </c>
      <c r="B102" s="2514" t="s">
        <v>2298</v>
      </c>
      <c r="C102" s="736">
        <f ca="1">C19</f>
        <v>7474</v>
      </c>
      <c r="D102" s="737">
        <f ca="1">D19</f>
        <v>9257</v>
      </c>
      <c r="E102" s="3141"/>
      <c r="F102" s="3095"/>
      <c r="G102" s="2514" t="s">
        <v>2300</v>
      </c>
      <c r="H102" s="371">
        <f ca="1">I118</f>
        <v>5245</v>
      </c>
      <c r="I102" s="138"/>
    </row>
    <row r="103" spans="1:35" ht="42.75" customHeight="1">
      <c r="A103" s="3097"/>
      <c r="B103" s="2514" t="s">
        <v>2300</v>
      </c>
      <c r="C103" s="738">
        <f ca="1">C20</f>
        <v>4686</v>
      </c>
      <c r="D103" s="739">
        <f ca="1">D20</f>
        <v>5804</v>
      </c>
      <c r="E103" s="3136" t="s">
        <v>2301</v>
      </c>
      <c r="F103" s="3137"/>
      <c r="G103" s="2515" t="s">
        <v>2302</v>
      </c>
      <c r="H103" s="1048">
        <f>IF(D36="正常操作",H104+H105+H106,H105+H106)</f>
        <v>0</v>
      </c>
      <c r="I103" s="138"/>
    </row>
    <row r="104" spans="1:35" ht="18.75" customHeight="1">
      <c r="A104" s="3097" t="s">
        <v>2303</v>
      </c>
      <c r="B104" s="2516" t="s">
        <v>2298</v>
      </c>
      <c r="C104" s="740">
        <f ca="1">H118</f>
        <v>8366</v>
      </c>
      <c r="D104" s="741"/>
      <c r="E104" s="2262" t="s">
        <v>2304</v>
      </c>
      <c r="F104" s="2253"/>
      <c r="G104" s="2515" t="s">
        <v>2302</v>
      </c>
      <c r="H104" s="1049">
        <f>IF(D36="同一抵押权人同一抵押物续贷",C36&amp;"（未扣减，详见特别提示）",C36)</f>
        <v>0</v>
      </c>
      <c r="I104" s="138"/>
    </row>
    <row r="105" spans="1:35" ht="18.75" customHeight="1" thickBot="1">
      <c r="A105" s="3098"/>
      <c r="B105" s="2517" t="s">
        <v>2300</v>
      </c>
      <c r="C105" s="742">
        <f ca="1">I118</f>
        <v>5245</v>
      </c>
      <c r="D105" s="743"/>
      <c r="E105" s="2262" t="s">
        <v>2305</v>
      </c>
      <c r="F105" s="2253"/>
      <c r="G105" s="2515" t="s">
        <v>2302</v>
      </c>
      <c r="H105" s="1049">
        <f>C37</f>
        <v>0</v>
      </c>
      <c r="I105" s="138"/>
    </row>
    <row r="106" spans="1:35" ht="18.75" customHeight="1">
      <c r="A106" s="2412" t="s">
        <v>2306</v>
      </c>
      <c r="B106" s="2412"/>
      <c r="C106" s="2412"/>
      <c r="D106" s="2412"/>
      <c r="E106" s="2518" t="s">
        <v>2307</v>
      </c>
      <c r="F106" s="2253"/>
      <c r="G106" s="2515" t="s">
        <v>2302</v>
      </c>
      <c r="H106" s="1049">
        <f>C38</f>
        <v>0</v>
      </c>
      <c r="I106" s="138"/>
    </row>
    <row r="107" spans="1:35" ht="18.75" customHeight="1">
      <c r="A107" s="138"/>
      <c r="B107" s="138"/>
      <c r="C107" s="138"/>
      <c r="D107" s="138"/>
      <c r="E107" s="3094" t="str">
        <f>IF(项目基本情况!E8="已注销","——","3.房地产抵押价值")</f>
        <v>3.房地产抵押价值</v>
      </c>
      <c r="F107" s="3095"/>
      <c r="G107" s="2514" t="s">
        <v>2298</v>
      </c>
      <c r="H107" s="1048">
        <f ca="1">IF(E107="——","——",H101-H103)</f>
        <v>8366</v>
      </c>
      <c r="I107" s="138"/>
    </row>
    <row r="108" spans="1:35" ht="18.75" customHeight="1">
      <c r="A108" s="138"/>
      <c r="B108" s="138"/>
      <c r="C108" s="138"/>
      <c r="D108" s="138"/>
      <c r="E108" s="3094"/>
      <c r="F108" s="3095"/>
      <c r="G108" s="2514" t="s">
        <v>2300</v>
      </c>
      <c r="H108" s="371">
        <f ca="1">ROUND(H107*10000/'数据-汇总表'!E3,0)</f>
        <v>5245</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4" t="s">
        <v>2298</v>
      </c>
      <c r="H109" s="348" t="str">
        <f>IF(E109="——","——",H101-H105-H106)</f>
        <v>——</v>
      </c>
      <c r="I109" s="138"/>
    </row>
    <row r="110" spans="1:35" ht="18.75" customHeight="1">
      <c r="A110" s="138"/>
      <c r="B110" s="138"/>
      <c r="C110" s="138"/>
      <c r="D110" s="138"/>
      <c r="E110" s="3094"/>
      <c r="F110" s="3095"/>
      <c r="G110" s="2514" t="s">
        <v>2300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4" t="s">
        <v>2298</v>
      </c>
      <c r="H111" s="1048" t="str">
        <f>IF(E111="——","——",N59)</f>
        <v>——</v>
      </c>
      <c r="I111" s="138"/>
    </row>
    <row r="112" spans="1:35" ht="18.75" customHeight="1" thickBot="1">
      <c r="A112" s="138"/>
      <c r="B112" s="138"/>
      <c r="C112" s="138"/>
      <c r="D112" s="138"/>
      <c r="E112" s="3131"/>
      <c r="F112" s="3132"/>
      <c r="G112" s="2519" t="s">
        <v>2300</v>
      </c>
      <c r="H112" s="790" t="str">
        <f>IF(E111="——","——",N61)</f>
        <v>——</v>
      </c>
      <c r="I112" s="138"/>
    </row>
    <row r="113" spans="1:11" ht="18.75" customHeight="1">
      <c r="A113" s="138"/>
      <c r="B113" s="138"/>
      <c r="C113" s="138"/>
      <c r="D113" s="138"/>
      <c r="E113" s="3099" t="s">
        <v>2306</v>
      </c>
      <c r="F113" s="3099"/>
      <c r="G113" s="3099"/>
      <c r="H113" s="3099"/>
      <c r="I113" s="138"/>
    </row>
    <row r="114" spans="1:11" ht="3.75" customHeight="1">
      <c r="A114" s="2412"/>
      <c r="B114" s="2412"/>
      <c r="C114" s="2412"/>
      <c r="D114" s="2412"/>
      <c r="E114" s="2490"/>
      <c r="F114" s="2490"/>
      <c r="G114" s="2490"/>
      <c r="H114" s="2490"/>
      <c r="I114" s="2412"/>
    </row>
    <row r="115" spans="1:11" ht="18.75" customHeight="1">
      <c r="A115" s="3112" t="s">
        <v>2308</v>
      </c>
      <c r="B115" s="3113"/>
      <c r="C115" s="3113"/>
      <c r="D115" s="3113"/>
      <c r="E115" s="3113"/>
      <c r="F115" s="3113"/>
      <c r="G115" s="3113"/>
      <c r="H115" s="3113"/>
      <c r="I115" s="3114"/>
    </row>
    <row r="116" spans="1:11" ht="27" customHeight="1">
      <c r="A116" s="3005" t="s">
        <v>2309</v>
      </c>
      <c r="B116" s="3100" t="s">
        <v>2310</v>
      </c>
      <c r="C116" s="3100" t="s">
        <v>2311</v>
      </c>
      <c r="D116" s="3116" t="s">
        <v>2312</v>
      </c>
      <c r="E116" s="3117"/>
      <c r="F116" s="3108" t="s">
        <v>2313</v>
      </c>
      <c r="G116" s="3108"/>
      <c r="H116" s="3005" t="s">
        <v>2314</v>
      </c>
      <c r="I116" s="3005"/>
    </row>
    <row r="117" spans="1:11" ht="18.75" customHeight="1">
      <c r="A117" s="3005"/>
      <c r="B117" s="3101"/>
      <c r="C117" s="3101"/>
      <c r="D117" s="1797" t="s">
        <v>2315</v>
      </c>
      <c r="E117" s="1797" t="s">
        <v>2316</v>
      </c>
      <c r="F117" s="1797" t="s">
        <v>2315</v>
      </c>
      <c r="G117" s="1797" t="s">
        <v>2317</v>
      </c>
      <c r="H117" s="1797" t="s">
        <v>2315</v>
      </c>
      <c r="I117" s="1797" t="s">
        <v>2317</v>
      </c>
    </row>
    <row r="118" spans="1:11" ht="24.75" customHeight="1">
      <c r="A118" s="2520" t="str">
        <f>项目基本情况!S2</f>
        <v>北京市怀柔区雁栖经济开发区雁栖路2号房地产</v>
      </c>
      <c r="B118" s="1797">
        <f>M18</f>
        <v>15950.36</v>
      </c>
      <c r="C118" s="1797">
        <f>M19</f>
        <v>24215.7</v>
      </c>
      <c r="D118" s="1797">
        <f ca="1">ROUND(IF(D32="总价",C34,E118*B118/10000),0)</f>
        <v>3689</v>
      </c>
      <c r="E118" s="1797">
        <f ca="1">ROUND(IF(C33="自定义",IF(D32="楼面单价",C34,D118*10000/B118),I118-G118),0)</f>
        <v>2313</v>
      </c>
      <c r="F118" s="1797">
        <f ca="1">ROUND(IF(D32="总价",C35,G118*B118/10000),0)</f>
        <v>4677</v>
      </c>
      <c r="G118" s="1797">
        <f ca="1">ROUND(IF(D32="楼面单价",C35,F118*10000/B118),0)</f>
        <v>2932</v>
      </c>
      <c r="H118" s="1797">
        <f ca="1">ROUND(IF(D32="总价",C32,I118*B118/10000),0)</f>
        <v>8366</v>
      </c>
      <c r="I118" s="1797">
        <f ca="1">ROUND(IF(D32="楼面单价",C32,H118*10000/B118),0)</f>
        <v>5245</v>
      </c>
    </row>
    <row r="119" spans="1:11" ht="18.75" customHeight="1">
      <c r="A119" s="3005" t="s">
        <v>2318</v>
      </c>
      <c r="B119" s="3005"/>
      <c r="C119" s="3005"/>
      <c r="D119" s="3105" t="str">
        <f ca="1">NUMBERSTRING(INT(D118*10000),2)&amp;"元整"</f>
        <v>叁仟陆佰捌拾玖万元整</v>
      </c>
      <c r="E119" s="3107"/>
      <c r="F119" s="3105" t="str">
        <f ca="1">NUMBERSTRING(INT(F118*10000),2)&amp;"元整"</f>
        <v>肆仟陆佰柒拾柒万元整</v>
      </c>
      <c r="G119" s="3107"/>
      <c r="H119" s="3105" t="str">
        <f ca="1">NUMBERSTRING(INT(H118*10000),2)&amp;"元整"</f>
        <v>捌仟叁佰陆拾陆万元整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7" t="str">
        <f>IF(D120=0,"故，本次评估不存在"&amp;A120,"故，本次评估"&amp;A120&amp;"为人民币"&amp;D120&amp;"万元整。")</f>
        <v>故，本次评估不存在估价师知悉的法定优先受偿款</v>
      </c>
    </row>
    <row r="121" spans="1:11" ht="18.75" customHeight="1">
      <c r="A121" s="3109" t="s">
        <v>2318</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8366</v>
      </c>
      <c r="E122" s="3134"/>
      <c r="F122" s="3134"/>
      <c r="G122" s="3134"/>
      <c r="H122" s="3134"/>
      <c r="I122" s="3135"/>
    </row>
    <row r="123" spans="1:11" ht="18.75" customHeight="1">
      <c r="A123" s="3005" t="s">
        <v>2318</v>
      </c>
      <c r="B123" s="3005"/>
      <c r="C123" s="3005"/>
      <c r="D123" s="3105" t="str">
        <f ca="1">NUMBERSTRING(INT(D122*10000),2)&amp;"元整"</f>
        <v>捌仟叁佰陆拾陆万元整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2318</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2318</v>
      </c>
      <c r="B127" s="3005"/>
      <c r="C127" s="3005"/>
      <c r="D127" s="3105" t="e">
        <f>NUMBERSTRING(INT(D126*10000),2)&amp;"元整"</f>
        <v>#VALUE!</v>
      </c>
      <c r="E127" s="3106"/>
      <c r="F127" s="3106"/>
      <c r="G127" s="3106"/>
      <c r="H127" s="3106"/>
      <c r="I127" s="3107"/>
    </row>
    <row r="128" spans="1:11" ht="21.75" customHeight="1">
      <c r="A128" s="3115" t="s">
        <v>2319</v>
      </c>
      <c r="B128" s="3115"/>
      <c r="C128" s="3115"/>
      <c r="D128" s="3115"/>
      <c r="E128" s="3115"/>
      <c r="F128" s="3115"/>
      <c r="G128" s="3115"/>
      <c r="H128" s="3115"/>
      <c r="I128" s="311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A33" sqref="A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7474</v>
      </c>
      <c r="C2" s="243" t="s">
        <v>2329</v>
      </c>
      <c r="D2" s="2543" t="s">
        <v>70</v>
      </c>
      <c r="E2" s="1442"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2614</v>
      </c>
      <c r="D5" s="255" t="s">
        <v>2335</v>
      </c>
      <c r="E5" s="256" t="s">
        <v>2336</v>
      </c>
      <c r="F5" s="256" t="s">
        <v>2337</v>
      </c>
      <c r="G5" s="257"/>
    </row>
    <row r="6" spans="1:9" s="258" customFormat="1" ht="13.5" customHeight="1">
      <c r="A6" s="952" t="s">
        <v>2338</v>
      </c>
      <c r="B6" s="259" t="s">
        <v>2339</v>
      </c>
      <c r="C6" s="260">
        <f ca="1">基准地价修正!B2</f>
        <v>2351</v>
      </c>
      <c r="D6" s="261"/>
      <c r="E6" s="262"/>
      <c r="F6" s="262"/>
      <c r="G6" s="263"/>
    </row>
    <row r="7" spans="1:9" s="258" customFormat="1" ht="13.5" customHeight="1">
      <c r="A7" s="952" t="s">
        <v>2340</v>
      </c>
      <c r="B7" s="259" t="s">
        <v>2341</v>
      </c>
      <c r="C7" s="264">
        <f ca="1">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191</v>
      </c>
      <c r="D8" s="266"/>
      <c r="E8" s="264"/>
      <c r="F8" s="265"/>
      <c r="G8" s="2546" t="s">
        <v>3108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47" t="s">
        <v>3109</v>
      </c>
      <c r="H9" s="2959">
        <f ca="1">C10</f>
        <v>191</v>
      </c>
      <c r="I9" s="2548" t="s">
        <v>2345</v>
      </c>
    </row>
    <row r="10" spans="1:9" s="258" customFormat="1" ht="13.5" customHeight="1">
      <c r="A10" s="953" t="s">
        <v>801</v>
      </c>
      <c r="B10" s="268" t="s">
        <v>2346</v>
      </c>
      <c r="C10" s="269">
        <f ca="1">ROUND(D10*E10/10000,0)</f>
        <v>191</v>
      </c>
      <c r="D10" s="1035">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15950.36</v>
      </c>
      <c r="E19" s="255">
        <f>'数据-取费表'!B31</f>
        <v>200</v>
      </c>
      <c r="F19" s="275"/>
      <c r="G19" s="2546" t="s">
        <v>3110</v>
      </c>
    </row>
    <row r="20" spans="1:7" s="258" customFormat="1" ht="13.5" customHeight="1">
      <c r="A20" s="299" t="s">
        <v>2359</v>
      </c>
      <c r="B20" s="254" t="s">
        <v>2360</v>
      </c>
      <c r="C20" s="276">
        <f ca="1">ROUND((C5+C19)*F20,0)</f>
        <v>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115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267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267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3294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4210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2392</v>
      </c>
    </row>
    <row r="35" spans="1:7" ht="13.5" customHeight="1">
      <c r="A35" s="954" t="s">
        <v>796</v>
      </c>
      <c r="B35" s="259" t="s">
        <v>2393</v>
      </c>
      <c r="C35" s="264">
        <f ca="1">ROUND(C34*F35,0)</f>
        <v>112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319</v>
      </c>
      <c r="D37" s="261">
        <f ca="1">D19</f>
        <v>15950.36</v>
      </c>
      <c r="E37" s="293">
        <f>'数据-取费表'!B35</f>
        <v>200</v>
      </c>
      <c r="F37" s="303"/>
      <c r="G37" s="305" t="s">
        <v>2398</v>
      </c>
    </row>
    <row r="38" spans="1:7" ht="13.5" customHeight="1">
      <c r="A38" s="954" t="s">
        <v>799</v>
      </c>
      <c r="B38" s="259" t="s">
        <v>2399</v>
      </c>
      <c r="C38" s="264">
        <f ca="1">ROUND(C34*F38,0)</f>
        <v>56</v>
      </c>
      <c r="D38" s="264"/>
      <c r="E38" s="264"/>
      <c r="F38" s="303">
        <f>'数据-取费表'!B36</f>
        <v>1.4999999999999999E-2</v>
      </c>
      <c r="G38" s="263" t="s">
        <v>2394</v>
      </c>
    </row>
    <row r="39" spans="1:7" s="258" customFormat="1" ht="13.5" customHeight="1">
      <c r="A39" s="299" t="s">
        <v>2400</v>
      </c>
      <c r="B39" s="254" t="s">
        <v>2401</v>
      </c>
      <c r="C39" s="276">
        <f ca="1">ROUND(C33*F20,0)</f>
        <v>84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92</v>
      </c>
      <c r="D42" s="282"/>
      <c r="E42" s="282"/>
      <c r="F42" s="283"/>
      <c r="G42" s="3147" t="s">
        <v>2410</v>
      </c>
    </row>
    <row r="43" spans="1:7" ht="13.5" customHeight="1">
      <c r="A43" s="954" t="s">
        <v>792</v>
      </c>
      <c r="B43" s="259" t="s">
        <v>2411</v>
      </c>
      <c r="C43" s="282">
        <f ca="1">ROUND(IF('数据-取费表'!B22&lt;=1,C39*F22*'数据-取费表'!B21/2,C39*(POWER((1+F22),'数据-取费表'!B21/2)-1)),0)</f>
        <v>2</v>
      </c>
      <c r="D43" s="282"/>
      <c r="E43" s="282"/>
      <c r="F43" s="283"/>
      <c r="G43" s="3148"/>
    </row>
    <row r="44" spans="1:7" ht="13.5" customHeight="1">
      <c r="A44" s="954" t="s">
        <v>793</v>
      </c>
      <c r="B44" s="259" t="s">
        <v>2412</v>
      </c>
      <c r="C44" s="282">
        <f ca="1">ROUND(IF('数据-取费表'!B22&lt;=1,C40*F22*'数据-取费表'!B21/2,C40*(POWER((1+F22),'数据-取费表'!B21/2)-1)),4)</f>
        <v>4.0000000000000002E-4</v>
      </c>
      <c r="D44" s="282"/>
      <c r="E44" s="282"/>
      <c r="F44" s="283"/>
      <c r="G44" s="3149"/>
    </row>
    <row r="45" spans="1:7" s="258" customFormat="1" ht="13.5" customHeight="1">
      <c r="A45" s="299" t="s">
        <v>2413</v>
      </c>
      <c r="B45" s="288" t="s">
        <v>2379</v>
      </c>
      <c r="C45" s="289">
        <f ca="1">C46</f>
        <v>429</v>
      </c>
      <c r="D45" s="279">
        <f ca="1">C47</f>
        <v>2E-3</v>
      </c>
      <c r="E45" s="280" t="s">
        <v>2405</v>
      </c>
      <c r="F45" s="290"/>
      <c r="G45" s="291" t="s">
        <v>2414</v>
      </c>
    </row>
    <row r="46" spans="1:7" s="258" customFormat="1" ht="13.5" customHeight="1">
      <c r="A46" s="954" t="s">
        <v>791</v>
      </c>
      <c r="B46" s="292" t="s">
        <v>2415</v>
      </c>
      <c r="C46" s="293">
        <f ca="1">ROUND((C33+C39)*F27,0)</f>
        <v>429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5206</v>
      </c>
      <c r="D49" s="276"/>
      <c r="E49" s="276"/>
      <c r="F49" s="308"/>
      <c r="G49" s="278" t="s">
        <v>2420</v>
      </c>
    </row>
    <row r="50" spans="1:7" s="302" customFormat="1" ht="24">
      <c r="A50" s="299" t="s">
        <v>2421</v>
      </c>
      <c r="B50" s="254" t="s">
        <v>2422</v>
      </c>
      <c r="C50" s="276"/>
      <c r="D50" s="276"/>
      <c r="E50" s="276"/>
      <c r="F50" s="308">
        <f>IF('数据-取费表'!B24=0,'数据-取费表'!N16,1)</f>
        <v>0.80300000000000005</v>
      </c>
      <c r="G50" s="291" t="s">
        <v>2423</v>
      </c>
    </row>
    <row r="51" spans="1:7" ht="16.5" customHeight="1">
      <c r="A51" s="299" t="s">
        <v>2424</v>
      </c>
      <c r="B51" s="254" t="s">
        <v>2425</v>
      </c>
      <c r="C51" s="276">
        <f ca="1">ROUND(C49*F50,0)</f>
        <v>4180</v>
      </c>
      <c r="D51" s="276"/>
      <c r="E51" s="276"/>
      <c r="F51" s="308"/>
      <c r="G51" s="278" t="s">
        <v>2426</v>
      </c>
    </row>
    <row r="52" spans="1:7" s="252" customFormat="1" ht="16.5" thickBot="1">
      <c r="A52" s="309" t="s">
        <v>2427</v>
      </c>
      <c r="B52" s="310"/>
      <c r="C52" s="311">
        <f ca="1">C31+C51</f>
        <v>7474</v>
      </c>
      <c r="D52" s="310"/>
      <c r="E52" s="310"/>
      <c r="F52" s="310"/>
      <c r="G52" s="312"/>
    </row>
    <row r="55" spans="1:7" ht="15">
      <c r="B55" s="314" t="s">
        <v>2428</v>
      </c>
      <c r="C55" s="315"/>
    </row>
    <row r="56" spans="1:7">
      <c r="B56" s="317" t="s">
        <v>1513</v>
      </c>
      <c r="C56" s="319">
        <f ca="1">1-C57</f>
        <v>0.44099999999999995</v>
      </c>
    </row>
    <row r="57" spans="1:7">
      <c r="B57" s="317" t="s">
        <v>1514</v>
      </c>
      <c r="C57" s="318">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北京市怀柔区雁栖经济开发区雁栖路2号房地产抵押价值预评估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4" t="str">
        <f>项目基本情况!B5</f>
        <v>北京科华国际幕墙工程有限公司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4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4824</v>
      </c>
      <c r="C2" s="243" t="s">
        <v>2329</v>
      </c>
      <c r="D2" s="2543" t="s">
        <v>70</v>
      </c>
      <c r="E2" s="1442"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3024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1914043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1914043</v>
      </c>
      <c r="D8" s="266"/>
      <c r="E8" s="264"/>
      <c r="F8" s="265"/>
      <c r="G8" s="254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1914043</v>
      </c>
      <c r="D10" s="1035">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3190072</v>
      </c>
      <c r="D19" s="1039">
        <f ca="1">D9+D10</f>
        <v>15950.36</v>
      </c>
      <c r="E19" s="255">
        <f>'数据-取费表'!B31</f>
        <v>200</v>
      </c>
      <c r="F19" s="275"/>
      <c r="G19" s="2546"/>
    </row>
    <row r="20" spans="1:7" s="258" customFormat="1" ht="13.5" customHeight="1">
      <c r="A20" s="299" t="s">
        <v>2440</v>
      </c>
      <c r="B20" s="254" t="s">
        <v>2441</v>
      </c>
      <c r="C20" s="276">
        <f ca="1">ROUND((C5+C19)*F20,0)</f>
        <v>102082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224249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83261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138768</v>
      </c>
      <c r="D24" s="282"/>
      <c r="E24" s="282"/>
      <c r="F24" s="283"/>
      <c r="G24" s="284" t="s">
        <v>2452</v>
      </c>
    </row>
    <row r="25" spans="1:7" s="258" customFormat="1" ht="24">
      <c r="A25" s="954" t="s">
        <v>2342</v>
      </c>
      <c r="B25" s="259" t="s">
        <v>2453</v>
      </c>
      <c r="C25" s="1384">
        <f ca="1">ROUND(IF('数据-取费表'!B22&lt;=1,C20*F22*'数据-取费表'!B22/2,C20*(POWER((1+F22),'数据-取费表'!B22/2)-1)),0)</f>
        <v>2220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520620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520620</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6432194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42097113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4" t="s">
        <v>796</v>
      </c>
      <c r="B35" s="259" t="s">
        <v>2393</v>
      </c>
      <c r="C35" s="264">
        <f ca="1">ROUND(C34*F35,0)</f>
        <v>1116949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3190072</v>
      </c>
      <c r="D37" s="261">
        <f ca="1">D19</f>
        <v>15950.36</v>
      </c>
      <c r="E37" s="293">
        <f>'数据-取费表'!B35</f>
        <v>200</v>
      </c>
      <c r="F37" s="303"/>
      <c r="G37" s="305"/>
    </row>
    <row r="38" spans="1:7" ht="13.5" customHeight="1">
      <c r="A38" s="954" t="s">
        <v>799</v>
      </c>
      <c r="B38" s="259" t="s">
        <v>2399</v>
      </c>
      <c r="C38" s="264">
        <f ca="1">ROUND(C34*F38,0)</f>
        <v>558474</v>
      </c>
      <c r="D38" s="264"/>
      <c r="E38" s="264"/>
      <c r="F38" s="303">
        <f>'数据-取费表'!B36</f>
        <v>1.4999999999999999E-2</v>
      </c>
      <c r="G38" s="263" t="s">
        <v>2394</v>
      </c>
    </row>
    <row r="39" spans="1:7" s="258" customFormat="1" ht="13.5" customHeight="1">
      <c r="A39" s="299" t="s">
        <v>2400</v>
      </c>
      <c r="B39" s="254" t="s">
        <v>2401</v>
      </c>
      <c r="C39" s="276">
        <f ca="1">ROUND(C33*F20,0)</f>
        <v>841942</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933924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915612</v>
      </c>
      <c r="D42" s="282"/>
      <c r="E42" s="282"/>
      <c r="F42" s="283"/>
      <c r="G42" s="3147" t="s">
        <v>2457</v>
      </c>
    </row>
    <row r="43" spans="1:7" ht="13.5" customHeight="1">
      <c r="A43" s="954" t="s">
        <v>792</v>
      </c>
      <c r="B43" s="259" t="s">
        <v>2411</v>
      </c>
      <c r="C43" s="282">
        <f ca="1">ROUND(IF('数据-取费表'!B22&lt;=1,C39*F22*'数据-取费表'!B20/2,C39*(POWER((1+F22),'数据-取费表'!B20/2)-1)),0)</f>
        <v>18312</v>
      </c>
      <c r="D43" s="282"/>
      <c r="E43" s="282"/>
      <c r="F43" s="283"/>
      <c r="G43" s="3148"/>
    </row>
    <row r="44" spans="1:7" ht="13.5" customHeight="1">
      <c r="A44" s="954" t="s">
        <v>793</v>
      </c>
      <c r="B44" s="259" t="s">
        <v>2412</v>
      </c>
      <c r="C44" s="282">
        <f ca="1">ROUND(IF('数据-取费表'!B22&lt;=1,C40*F22*'数据-取费表'!B20/2,C40*(POWER((1+F22),'数据-取费表'!B20/2)-1)),4)</f>
        <v>4.0000000000000002E-4</v>
      </c>
      <c r="D44" s="282"/>
      <c r="E44" s="282"/>
      <c r="F44" s="283"/>
      <c r="G44" s="3149"/>
    </row>
    <row r="45" spans="1:7" s="258" customFormat="1" ht="13.5" customHeight="1">
      <c r="A45" s="299" t="s">
        <v>2413</v>
      </c>
      <c r="B45" s="288" t="s">
        <v>2379</v>
      </c>
      <c r="C45" s="289">
        <f ca="1">C46</f>
        <v>4293906</v>
      </c>
      <c r="D45" s="279">
        <f ca="1">C47</f>
        <v>2E-3</v>
      </c>
      <c r="E45" s="280" t="s">
        <v>2405</v>
      </c>
      <c r="F45" s="290"/>
      <c r="G45" s="291" t="s">
        <v>2414</v>
      </c>
    </row>
    <row r="46" spans="1:7" s="258" customFormat="1" ht="13.5" customHeight="1">
      <c r="A46" s="954" t="s">
        <v>791</v>
      </c>
      <c r="B46" s="292" t="s">
        <v>2415</v>
      </c>
      <c r="C46" s="293">
        <f ca="1">ROUND((C33+C39)*F27,0)</f>
        <v>4293906</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52061052</v>
      </c>
      <c r="D49" s="276"/>
      <c r="E49" s="276"/>
      <c r="F49" s="308"/>
      <c r="G49" s="278" t="s">
        <v>2420</v>
      </c>
    </row>
    <row r="50" spans="1:7" s="302" customFormat="1">
      <c r="A50" s="299" t="s">
        <v>2421</v>
      </c>
      <c r="B50" s="254" t="s">
        <v>2422</v>
      </c>
      <c r="C50" s="276"/>
      <c r="D50" s="276"/>
      <c r="E50" s="276"/>
      <c r="F50" s="308">
        <f>IF('数据-取费表'!B24=0,'数据-取费表'!N16,1)</f>
        <v>0.80300000000000005</v>
      </c>
      <c r="G50" s="291"/>
    </row>
    <row r="51" spans="1:7" ht="16.5" customHeight="1">
      <c r="A51" s="299" t="s">
        <v>2424</v>
      </c>
      <c r="B51" s="254" t="s">
        <v>2459</v>
      </c>
      <c r="C51" s="276">
        <f ca="1">ROUND(C49*F50,0)</f>
        <v>41805025</v>
      </c>
      <c r="D51" s="276"/>
      <c r="E51" s="276"/>
      <c r="F51" s="308"/>
      <c r="G51" s="278" t="s">
        <v>2426</v>
      </c>
    </row>
    <row r="52" spans="1:7" s="252" customFormat="1" ht="16.5" thickBot="1">
      <c r="A52" s="309" t="s">
        <v>2427</v>
      </c>
      <c r="B52" s="310"/>
      <c r="C52" s="311">
        <f ca="1">C31+C51</f>
        <v>48237219</v>
      </c>
      <c r="D52" s="310"/>
      <c r="E52" s="310"/>
      <c r="F52" s="310"/>
      <c r="G52" s="312"/>
    </row>
    <row r="55" spans="1:7" ht="15">
      <c r="B55" s="314" t="s">
        <v>2428</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0" t="s">
        <v>2466</v>
      </c>
      <c r="D5" s="2550" t="s">
        <v>2467</v>
      </c>
      <c r="E5" s="2550" t="s">
        <v>2468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15950.36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15950.36</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2"/>
      <c r="H18" s="1579"/>
      <c r="I18" s="255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1"/>
      <c r="I19" s="984"/>
      <c r="J19" s="984"/>
      <c r="K19" s="985"/>
    </row>
    <row r="20" spans="1:33" s="978" customFormat="1" ht="13.5" customHeight="1">
      <c r="A20" s="974" t="s">
        <v>806</v>
      </c>
      <c r="B20" s="975" t="s">
        <v>2496</v>
      </c>
      <c r="C20" s="24">
        <f ca="1">ROUND(D20*E20/10000,0)</f>
        <v>191</v>
      </c>
      <c r="D20" s="1036">
        <f ca="1">IF(C1="",'数据-汇总表'!E6,IF(INDIRECT("'数据-取费表'!c"&amp;$K$1)="住宅",INDIRECT("'数据-取费表'!s"&amp;$K$1),INDIRECT("'数据-取费表'!k"&amp;$K$1)+INDIRECT("'数据-取费表'!s"&amp;$K$1)))</f>
        <v>15950.36</v>
      </c>
      <c r="E20" s="24">
        <f>'数据-取费表'!B28</f>
        <v>120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2510</v>
      </c>
      <c r="B28" s="2555"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56"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2805</v>
      </c>
      <c r="B1" s="241"/>
      <c r="C1" s="245" t="s">
        <v>2806</v>
      </c>
      <c r="D1" s="388">
        <f>SUM(D29:D30,D33:D39)</f>
        <v>15950.36</v>
      </c>
      <c r="E1" s="2713"/>
      <c r="F1" s="2713"/>
      <c r="G1" s="2713"/>
      <c r="H1" s="2713"/>
      <c r="I1" s="2713"/>
      <c r="J1" s="2713"/>
      <c r="K1" s="1373"/>
      <c r="L1" s="2714" t="s">
        <v>2807</v>
      </c>
      <c r="M1" s="1083">
        <f>SUMPRODUCT((区片价!B5:B9=I2)*(区片价!C3:F3=E2)*(区片价!C5:F9))</f>
        <v>0</v>
      </c>
      <c r="N1" s="1086">
        <f>SUMPRODUCT((因素修正幅度!B5:B9=I2)*(因素修正幅度!C3:F3=E2)*(因素修正幅度!C5:F9))</f>
        <v>0</v>
      </c>
      <c r="O1" s="2715"/>
      <c r="P1" s="2715"/>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2351</v>
      </c>
      <c r="C2" s="2717" t="s">
        <v>2814</v>
      </c>
      <c r="D2" s="2718" t="s">
        <v>2815</v>
      </c>
      <c r="E2" s="2719" t="s">
        <v>6</v>
      </c>
      <c r="F2" s="2718" t="s">
        <v>2816</v>
      </c>
      <c r="G2" s="2720" t="str">
        <f>IF(E2="商业",项目基本情况!B37,IF(E2="办公",项目基本情况!C37,IF(E2="住宅",项目基本情况!D37,项目基本情况!E37)))</f>
        <v>九级</v>
      </c>
      <c r="H2" s="2718" t="s">
        <v>2817</v>
      </c>
      <c r="I2" s="2720" t="str">
        <f>IF(E2="商业",项目基本情况!B38,IF(E2="办公",项目基本情况!C38,IF(E2="住宅",项目基本情况!D38,项目基本情况!E38)))</f>
        <v>Ⅸ-雁栖开发区A</v>
      </c>
      <c r="J2" s="2721"/>
      <c r="K2" s="1373"/>
      <c r="L2" s="2722"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2.9424000000000001</v>
      </c>
      <c r="T2" s="1604">
        <f ca="1">ROUND($C$5*$C$18*$C$19*$C$20*S2*$C$24,0)</f>
        <v>2847</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1474</v>
      </c>
      <c r="C3" s="2717" t="s">
        <v>2820</v>
      </c>
      <c r="D3" s="2718" t="s">
        <v>2821</v>
      </c>
      <c r="E3" s="2723" t="s">
        <v>3093</v>
      </c>
      <c r="F3" s="2724" t="s">
        <v>2822</v>
      </c>
      <c r="G3" s="916">
        <f>IF(F3="宗地容积率",'数据-汇总表'!I4,IF(F3="估价对象容积率",'数据-汇总表'!I6,'数据-汇总表'!I7))</f>
        <v>0.66</v>
      </c>
      <c r="H3" s="198" t="s">
        <v>2823</v>
      </c>
      <c r="I3" s="947"/>
      <c r="J3" s="2721" t="s">
        <v>2824</v>
      </c>
      <c r="K3" s="1373"/>
      <c r="L3" s="2722"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1.9392</v>
      </c>
      <c r="T3" s="1604">
        <f t="shared" ref="T3:T16" ca="1" si="0">ROUND($C$5*$C$18*$C$19*$C$20*S3*$C$24,0)</f>
        <v>1876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3"/>
      <c r="B4" s="3154"/>
      <c r="C4" s="3154"/>
      <c r="D4" s="3155"/>
      <c r="E4" s="3155"/>
      <c r="F4" s="3155"/>
      <c r="G4" s="3155"/>
      <c r="H4" s="3155"/>
      <c r="I4" s="3155"/>
      <c r="J4" s="3156"/>
      <c r="K4" s="1373"/>
      <c r="L4" s="2722"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1.5261</v>
      </c>
      <c r="T4" s="1604">
        <f t="shared" ca="1" si="0"/>
        <v>1477</v>
      </c>
      <c r="U4" s="1605"/>
      <c r="V4" s="1604">
        <f t="shared" ca="1" si="1"/>
        <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2827</v>
      </c>
      <c r="C5" s="917">
        <f>ROUND(IF(E2="商业",IF(F16="增加",C6*C7+C16,C6*C7-C16),IF(E2="住宅",IF(F16="增加",C6*C12+C16,C6*C12-C16),IF(F16="增加",C6+C16,C6-C16))),0)</f>
        <v>850</v>
      </c>
      <c r="D5" s="1789">
        <f>ROUND(IF(E2="商业",IF(F16="增加",C6+C16,C6-C16)),0)</f>
        <v>0</v>
      </c>
      <c r="E5" s="2727"/>
      <c r="F5" s="2727"/>
      <c r="G5" s="2728"/>
      <c r="H5" s="2728"/>
      <c r="I5" s="2728"/>
      <c r="J5" s="2729"/>
      <c r="K5" s="2730"/>
      <c r="L5" s="2722"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1.1402000000000001</v>
      </c>
      <c r="T5" s="1604">
        <f t="shared" ca="1" si="0"/>
        <v>1103</v>
      </c>
      <c r="U5" s="1605"/>
      <c r="V5" s="1604">
        <f t="shared" ca="1" si="1"/>
        <v>0</v>
      </c>
      <c r="W5" s="1608"/>
      <c r="X5" s="1608"/>
      <c r="Y5" s="1608"/>
      <c r="Z5" s="1608"/>
      <c r="AA5" s="1608"/>
      <c r="AB5" s="1608"/>
      <c r="AC5" s="2731"/>
      <c r="AD5" s="2732"/>
      <c r="AE5" s="2732"/>
      <c r="AF5" s="2732"/>
      <c r="AG5" s="2732"/>
      <c r="AH5" s="2732"/>
      <c r="AI5" s="2732"/>
      <c r="AJ5" s="2733"/>
    </row>
    <row r="6" spans="1:36" ht="15.75" thickBot="1">
      <c r="A6" s="2735" t="s">
        <v>2829</v>
      </c>
      <c r="B6" s="2736" t="s">
        <v>2830</v>
      </c>
      <c r="C6" s="918">
        <f>SUMIF(L1:L12,G2,M1:M12)</f>
        <v>850</v>
      </c>
      <c r="D6" s="2737" t="s">
        <v>2831</v>
      </c>
      <c r="E6" s="2738"/>
      <c r="F6" s="2738"/>
      <c r="G6" s="2739"/>
      <c r="H6" s="2739"/>
      <c r="I6" s="2739"/>
      <c r="J6" s="2740"/>
      <c r="K6" s="1844"/>
      <c r="L6" s="2722" t="s">
        <v>2832</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0.85740000000000005</v>
      </c>
      <c r="T6" s="1604">
        <f t="shared" ca="1" si="0"/>
        <v>830</v>
      </c>
      <c r="U6" s="1605"/>
      <c r="V6" s="1604">
        <f t="shared" ca="1" si="1"/>
        <v>0</v>
      </c>
      <c r="W6" s="1608"/>
      <c r="X6" s="1608"/>
      <c r="Y6" s="1608"/>
      <c r="Z6" s="1608"/>
      <c r="AA6" s="1608"/>
      <c r="AB6" s="1608"/>
      <c r="AC6" s="2731"/>
      <c r="AD6" s="2732"/>
      <c r="AE6" s="2732"/>
      <c r="AF6" s="2732"/>
      <c r="AG6" s="2732"/>
      <c r="AH6" s="2732"/>
      <c r="AI6" s="2732"/>
      <c r="AJ6" s="2733"/>
    </row>
    <row r="7" spans="1:36" ht="24">
      <c r="A7" s="3157" t="str">
        <f>IF(E2="商业",IF(C8="不临58条商业街","",2),"")</f>
        <v/>
      </c>
      <c r="B7" s="2741" t="s">
        <v>2833</v>
      </c>
      <c r="C7" s="919" t="e">
        <f>IF(C8="不临58条商业街",1,ROUND(1+(1.6*E8+1.2*E9+0.8*E10+0.4*E11)*C9,4))</f>
        <v>#DIV/0!</v>
      </c>
      <c r="D7" s="2742" t="s">
        <v>2834</v>
      </c>
      <c r="E7" s="948"/>
      <c r="F7" s="2743"/>
      <c r="G7" s="2744"/>
      <c r="H7" s="2744"/>
      <c r="I7" s="2744"/>
      <c r="J7" s="2745"/>
      <c r="K7" s="1844"/>
      <c r="L7" s="2722"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0.68559999999999999</v>
      </c>
      <c r="T7" s="1604">
        <f t="shared" ca="1" si="0"/>
        <v>663</v>
      </c>
      <c r="U7" s="1605"/>
      <c r="V7" s="1604">
        <f t="shared" ca="1" si="1"/>
        <v>0</v>
      </c>
      <c r="W7" s="1818" t="s">
        <v>2836</v>
      </c>
      <c r="X7" s="1606" t="str">
        <f>G2</f>
        <v>九级</v>
      </c>
      <c r="Y7" s="1606" t="s">
        <v>2837</v>
      </c>
      <c r="Z7" s="1607">
        <f>G3</f>
        <v>0.66</v>
      </c>
      <c r="AA7" s="1608"/>
      <c r="AB7" s="1608"/>
      <c r="AC7" s="1609"/>
      <c r="AD7" s="1610"/>
      <c r="AE7" s="1610"/>
      <c r="AF7" s="1610"/>
      <c r="AG7" s="1610"/>
      <c r="AH7" s="1610"/>
      <c r="AI7" s="1610"/>
      <c r="AJ7" s="1611"/>
    </row>
    <row r="8" spans="1:36" ht="15">
      <c r="A8" s="3158"/>
      <c r="B8" s="198" t="s">
        <v>2838</v>
      </c>
      <c r="C8" s="2746"/>
      <c r="D8" s="920" t="s">
        <v>139</v>
      </c>
      <c r="E8" s="921" t="e">
        <f>ROUND(C11/E7,4)</f>
        <v>#DIV/0!</v>
      </c>
      <c r="F8" s="2747" t="s">
        <v>2839</v>
      </c>
      <c r="G8" s="2748"/>
      <c r="H8" s="2748"/>
      <c r="I8" s="2748"/>
      <c r="J8" s="2749"/>
      <c r="K8" s="1373"/>
      <c r="L8" s="2722"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50" t="s">
        <v>2841</v>
      </c>
      <c r="X8" s="3151"/>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8"/>
      <c r="B9" s="198" t="s">
        <v>2854</v>
      </c>
      <c r="C9" s="922">
        <f>SUMIF(修正!C59:C119,C8,修正!E59:E119)</f>
        <v>0</v>
      </c>
      <c r="D9" s="200" t="s">
        <v>140</v>
      </c>
      <c r="E9" s="200" t="e">
        <f>ROUND(C11/E7,4)</f>
        <v>#DIV/0!</v>
      </c>
      <c r="F9" s="2747" t="s">
        <v>2855</v>
      </c>
      <c r="G9" s="2748"/>
      <c r="H9" s="2748"/>
      <c r="I9" s="2748"/>
      <c r="J9" s="2749"/>
      <c r="K9" s="1373"/>
      <c r="L9" s="2722" t="s">
        <v>2856</v>
      </c>
      <c r="M9" s="1084">
        <f>SUMPRODUCT((区片价!B245:B289=I2)*(区片价!C3:F3=E2)*(区片价!C245:F289))</f>
        <v>850</v>
      </c>
      <c r="N9" s="1086">
        <f>SUMPRODUCT((因素修正幅度!B245:B289=I2)*(因素修正幅度!C3:F3=E2)*(因素修正幅度!C245:F289))</f>
        <v>0.05</v>
      </c>
      <c r="O9" s="1373"/>
      <c r="P9" s="1373"/>
      <c r="Q9" s="1373"/>
      <c r="R9" s="1604">
        <v>8</v>
      </c>
      <c r="S9" s="1605"/>
      <c r="T9" s="1604">
        <f t="shared" ca="1" si="0"/>
        <v>0</v>
      </c>
      <c r="U9" s="1605"/>
      <c r="V9" s="1604">
        <f t="shared" ca="1" si="1"/>
        <v>0</v>
      </c>
      <c r="W9" s="3152"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8"/>
      <c r="B10" s="198" t="s">
        <v>2859</v>
      </c>
      <c r="C10" s="200">
        <f>SUMIF(修正!C59:C119,C8,修正!F59:F119)</f>
        <v>0</v>
      </c>
      <c r="D10" s="200" t="s">
        <v>141</v>
      </c>
      <c r="E10" s="200" t="e">
        <f>ROUND(C11/E7,4)</f>
        <v>#DIV/0!</v>
      </c>
      <c r="F10" s="2747" t="s">
        <v>2860</v>
      </c>
      <c r="G10" s="2748"/>
      <c r="H10" s="2748"/>
      <c r="I10" s="2748"/>
      <c r="J10" s="2749"/>
      <c r="K10" s="1373"/>
      <c r="L10" s="2722"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8"/>
      <c r="B11" s="2750" t="s">
        <v>2862</v>
      </c>
      <c r="C11" s="923">
        <f>C10/4</f>
        <v>0</v>
      </c>
      <c r="D11" s="923" t="s">
        <v>142</v>
      </c>
      <c r="E11" s="923" t="e">
        <f>ROUND(C11/E7,4)</f>
        <v>#DIV/0!</v>
      </c>
      <c r="F11" s="2751" t="s">
        <v>2863</v>
      </c>
      <c r="G11" s="2752"/>
      <c r="H11" s="2752"/>
      <c r="I11" s="2752"/>
      <c r="J11" s="2753"/>
      <c r="K11" s="1373"/>
      <c r="L11" s="2722"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52" t="s">
        <v>2865</v>
      </c>
      <c r="X11" s="1616" t="s">
        <v>2866</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157" t="s">
        <v>2867</v>
      </c>
      <c r="B12" s="2754" t="s">
        <v>2868</v>
      </c>
      <c r="C12" s="919">
        <f>ROUND(C15*D15*E15*F15*G15*H15*I15*J15,4)</f>
        <v>1</v>
      </c>
      <c r="D12" s="2755" t="s">
        <v>2869</v>
      </c>
      <c r="E12" s="2756"/>
      <c r="F12" s="2756"/>
      <c r="G12" s="2757"/>
      <c r="H12" s="2757"/>
      <c r="I12" s="2757"/>
      <c r="J12" s="2758"/>
      <c r="K12" s="1373"/>
      <c r="L12" s="2759"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52"/>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9"/>
      <c r="B13" s="2760" t="s">
        <v>2872</v>
      </c>
      <c r="C13" s="2761" t="s">
        <v>2873</v>
      </c>
      <c r="D13" s="1810" t="s">
        <v>2874</v>
      </c>
      <c r="E13" s="1810" t="s">
        <v>2875</v>
      </c>
      <c r="F13" s="30" t="s">
        <v>2876</v>
      </c>
      <c r="G13" s="2762" t="s">
        <v>2877</v>
      </c>
      <c r="H13" s="2762" t="s">
        <v>2877</v>
      </c>
      <c r="I13" s="2762" t="s">
        <v>2877</v>
      </c>
      <c r="J13" s="2763" t="s">
        <v>2877</v>
      </c>
      <c r="K13" s="1373"/>
      <c r="L13" s="1373"/>
      <c r="M13" s="1373"/>
      <c r="N13" s="1373"/>
      <c r="O13" s="1373"/>
      <c r="P13" s="1373"/>
      <c r="Q13" s="1373"/>
      <c r="R13" s="1604">
        <v>12</v>
      </c>
      <c r="S13" s="1605"/>
      <c r="T13" s="1604">
        <f t="shared" ca="1" si="0"/>
        <v>0</v>
      </c>
      <c r="U13" s="1605"/>
      <c r="V13" s="1604">
        <f t="shared" ca="1" si="1"/>
        <v>0</v>
      </c>
      <c r="W13" s="3152"/>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159"/>
      <c r="B14" s="2764"/>
      <c r="C14" s="2765"/>
      <c r="D14" s="2766"/>
      <c r="E14" s="2766"/>
      <c r="F14" s="2767"/>
      <c r="G14" s="2768" t="s">
        <v>2878</v>
      </c>
      <c r="H14" s="2769"/>
      <c r="I14" s="2770"/>
      <c r="J14" s="2771"/>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0"/>
      <c r="B15" s="2772" t="s">
        <v>2879</v>
      </c>
      <c r="C15" s="229">
        <f>IF(C14="有",1.1,1)</f>
        <v>1</v>
      </c>
      <c r="D15" s="229">
        <f>IF(D14="有",1.1,1)</f>
        <v>1</v>
      </c>
      <c r="E15" s="229">
        <f>IF(E14="有",1.1,1)</f>
        <v>1</v>
      </c>
      <c r="F15" s="229">
        <f>IF(F14="500米范围内",1.2,IF(F14="500-1000米",1.1,1))</f>
        <v>1</v>
      </c>
      <c r="G15" s="949">
        <v>1</v>
      </c>
      <c r="H15" s="949">
        <v>1</v>
      </c>
      <c r="I15" s="949">
        <v>1</v>
      </c>
      <c r="J15" s="950">
        <v>1</v>
      </c>
      <c r="K15" s="1373"/>
      <c r="L15" s="2773" t="s">
        <v>2815</v>
      </c>
      <c r="M15" s="920" t="s">
        <v>2880</v>
      </c>
      <c r="N15" s="920" t="s">
        <v>2881</v>
      </c>
      <c r="O15" s="920" t="s">
        <v>2882</v>
      </c>
      <c r="P15" s="2774"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7" t="s">
        <v>2884</v>
      </c>
      <c r="B16" s="2741" t="s">
        <v>2885</v>
      </c>
      <c r="C16" s="1803">
        <f>ROUND(SUM(G17:J17)/C17,0)</f>
        <v>0</v>
      </c>
      <c r="D16" s="2775" t="s">
        <v>2886</v>
      </c>
      <c r="E16" s="2776"/>
      <c r="F16" s="2777"/>
      <c r="G16" s="2778"/>
      <c r="H16" s="2778"/>
      <c r="I16" s="2778"/>
      <c r="J16" s="2779"/>
      <c r="K16" s="1373"/>
      <c r="L16" s="2780"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8"/>
      <c r="B17" s="2781" t="s">
        <v>2888</v>
      </c>
      <c r="C17" s="924">
        <f>SUMPRODUCT((修正!A2:A5=E2)*(修正!B1:M1=G2)*(修正!B2:M5))</f>
        <v>1</v>
      </c>
      <c r="D17" s="2782"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2892</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9.25" thickBot="1">
      <c r="A19" s="2785" t="s">
        <v>809</v>
      </c>
      <c r="B19" s="2786" t="s">
        <v>2893</v>
      </c>
      <c r="C19" s="927">
        <f>ROUND(IF(H19="按公示增长率计算",SUMPRODUCT((地价!A3:A22=YEAR(G19)&amp;"-"&amp;ROUNDUP(MONTH(G19)/3,0))*(地价!X2:AB2=E2)*(地价!X3:AB22)),IF(H19="地价指数",M20/M19,(1+I19)^O19)),4)</f>
        <v>1.2557</v>
      </c>
      <c r="D19" s="2793" t="s">
        <v>2894</v>
      </c>
      <c r="E19" s="928">
        <v>41640</v>
      </c>
      <c r="F19" s="2793" t="s">
        <v>2895</v>
      </c>
      <c r="G19" s="929">
        <f>'数据-取费表'!B2</f>
        <v>43228</v>
      </c>
      <c r="H19" s="2794" t="s">
        <v>3095</v>
      </c>
      <c r="I19" s="930" t="str">
        <f>IF(H19="季度增幅（自定义）",SUMIF(N21:N24,E2,O21:O24),"")</f>
        <v/>
      </c>
      <c r="J19" s="2791"/>
      <c r="K19" s="1380"/>
      <c r="L19" s="2795" t="s">
        <v>2896</v>
      </c>
      <c r="M19" s="1736">
        <f>ROUND(SUMIF(地价!B2:F2,E2,地价!B22:F22),0)</f>
        <v>230</v>
      </c>
      <c r="N19" s="2796"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2898</v>
      </c>
      <c r="C20" s="932">
        <f ca="1">ROUND(POWER(1+G20,J20-I20)*(POWER(1+G20,I20)-1)/(POWER(1+G20,J20)-1),4)</f>
        <v>0.89610000000000001</v>
      </c>
      <c r="D20" s="2802" t="s">
        <v>2899</v>
      </c>
      <c r="E20" s="1770">
        <f ca="1">存贷款利率!D4/100</f>
        <v>4.3499999999999997E-2</v>
      </c>
      <c r="F20" s="2802" t="s">
        <v>2891</v>
      </c>
      <c r="G20" s="937">
        <f ca="1">SUMIF(M15:P15,E2,M17:P17)</f>
        <v>4.8000000000000001E-2</v>
      </c>
      <c r="H20" s="2802" t="s">
        <v>2900</v>
      </c>
      <c r="I20" s="938">
        <f>SUMIF('数据-取费表'!C6:C15,E2,'数据-取费表'!F6:F15)/COUNTIF('数据-取费表'!C6:C15,E2)</f>
        <v>35.44</v>
      </c>
      <c r="J20" s="939">
        <f>IF(E2="住宅",70,IF(E2="商业",40,50))</f>
        <v>50</v>
      </c>
      <c r="K20" s="1380"/>
      <c r="L20" s="2803" t="s">
        <v>2901</v>
      </c>
      <c r="M20" s="1737">
        <f>ROUND(SUMPRODUCT((地价!A4:A22=YEAR(G19)&amp;"-"&amp;ROUNDUP(MONTH(G19)/3,0))*(地价!B2:F2=E2)*(地价!B4:F22)),0)</f>
        <v>289</v>
      </c>
      <c r="N20" s="2804" t="s">
        <v>2902</v>
      </c>
      <c r="O20" s="2805" t="s">
        <v>2903</v>
      </c>
      <c r="P20" s="2806" t="s">
        <v>2904</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3094</v>
      </c>
      <c r="C21" s="940">
        <f>IF(B21="容积率修正",IF(G3&lt;=10,D22,J22),C23)</f>
        <v>1.5238</v>
      </c>
      <c r="D21" s="2809"/>
      <c r="E21" s="2809"/>
      <c r="F21" s="2809"/>
      <c r="G21" s="2809"/>
      <c r="H21" s="2809"/>
      <c r="I21" s="2809"/>
      <c r="J21" s="2810"/>
      <c r="K21" s="1380"/>
      <c r="N21" s="2811" t="s">
        <v>2905</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2906</v>
      </c>
      <c r="B22" s="2812" t="s">
        <v>2907</v>
      </c>
      <c r="C22" s="1812" t="s">
        <v>2908</v>
      </c>
      <c r="D22" s="1812">
        <f>IF(E22=G22,F22,IF(G3&lt;=10,ROUND(F22+(H22-F22)*(G3-E22)/(G22-E22),4),"——"))</f>
        <v>1.5238</v>
      </c>
      <c r="E22" s="916">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1" t="str">
        <f>IF(G3&gt;10,D113,"——")</f>
        <v>——</v>
      </c>
      <c r="K22" s="1380"/>
      <c r="N22" s="2811" t="s">
        <v>2909</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2910</v>
      </c>
      <c r="B23" s="2813" t="s">
        <v>2911</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2912</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2913</v>
      </c>
      <c r="C24" s="927">
        <f>SUMIF(A45:A88,E2,B45:B88)</f>
        <v>1.0116000000000001</v>
      </c>
      <c r="D24" s="2789"/>
      <c r="E24" s="2819"/>
      <c r="F24" s="2819"/>
      <c r="G24" s="2819"/>
      <c r="H24" s="2819"/>
      <c r="I24" s="2819"/>
      <c r="J24" s="2820"/>
      <c r="K24" s="1380"/>
      <c r="N24" s="2821" t="s">
        <v>2914</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2915</v>
      </c>
      <c r="C25" s="933"/>
      <c r="D25" s="2744"/>
      <c r="E25" s="2744"/>
      <c r="F25" s="2823"/>
      <c r="G25" s="2744"/>
      <c r="H25" s="2744"/>
      <c r="I25" s="2744"/>
      <c r="J25" s="2745"/>
      <c r="K25" s="1373"/>
      <c r="N25" s="2824" t="s">
        <v>2916</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2917</v>
      </c>
      <c r="C26" s="206">
        <f ca="1">E29+SUM(E33:E39)</f>
        <v>2351</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2918</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2919</v>
      </c>
      <c r="C28" s="2836" t="s">
        <v>2920</v>
      </c>
      <c r="D28" s="2836" t="s">
        <v>2921</v>
      </c>
      <c r="E28" s="2837" t="s">
        <v>2922</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2923</v>
      </c>
      <c r="C29" s="206">
        <f ca="1">ROUND(C5*C18*C19*C20*C21*C24,0)</f>
        <v>1474</v>
      </c>
      <c r="D29" s="2841">
        <f>'数据-基础表'!B3</f>
        <v>15950.36</v>
      </c>
      <c r="E29" s="945">
        <f ca="1">ROUND(C29*D29/10000,0)</f>
        <v>2351</v>
      </c>
      <c r="F29" s="2842" t="s">
        <v>2924</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2925</v>
      </c>
      <c r="C30" s="229">
        <f ca="1">ROUND(IF(E2="工业",C29*M39,C29*M38),0)</f>
        <v>221</v>
      </c>
      <c r="D30" s="2847"/>
      <c r="E30" s="945">
        <f ca="1">ROUND(C30*D30/10000,0)</f>
        <v>0</v>
      </c>
      <c r="F30" s="2848" t="s">
        <v>2926</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2920</v>
      </c>
      <c r="D32" s="498" t="s">
        <v>2921</v>
      </c>
      <c r="E32" s="498" t="s">
        <v>2922</v>
      </c>
      <c r="F32" s="388" t="s">
        <v>2930</v>
      </c>
      <c r="G32" s="2856" t="s">
        <v>2920</v>
      </c>
      <c r="H32" s="2856" t="s">
        <v>2921</v>
      </c>
      <c r="I32" s="285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167" t="s">
        <v>2931</v>
      </c>
      <c r="B33" s="2857" t="s">
        <v>2932</v>
      </c>
      <c r="C33" s="206">
        <f ca="1">ROUND(D5*C19*C20*C24*F33,0)</f>
        <v>0</v>
      </c>
      <c r="D33" s="2841"/>
      <c r="E33" s="200">
        <f ca="1">ROUND(C33*D33/10000,0)</f>
        <v>0</v>
      </c>
      <c r="F33" s="200">
        <f>SUMIF(修正!A45:A56,G2,修正!B45:B56)</f>
        <v>0.6</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8"/>
      <c r="B34" s="2761" t="s">
        <v>2933</v>
      </c>
      <c r="C34" s="206">
        <f ca="1">ROUND(D5*C19*C20*C24*F34,0)</f>
        <v>0</v>
      </c>
      <c r="D34" s="2841"/>
      <c r="E34" s="200">
        <f t="shared" ref="E34:E39" ca="1" si="7">ROUND(C34*D34/10000,0)</f>
        <v>0</v>
      </c>
      <c r="F34" s="200">
        <f>SUMIF(修正!A45:A56,G2,修正!C45:C56)</f>
        <v>0.3</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8"/>
      <c r="B35" s="2761" t="s">
        <v>2934</v>
      </c>
      <c r="C35" s="206">
        <f ca="1">ROUND(D5*C19*C20*C24*F35,0)</f>
        <v>0</v>
      </c>
      <c r="D35" s="2841"/>
      <c r="E35" s="200">
        <f t="shared" ca="1" si="7"/>
        <v>0</v>
      </c>
      <c r="F35" s="200">
        <f>SUMIF(修正!A45:A56,G2,修正!D45:D56)</f>
        <v>0.2</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69"/>
      <c r="B36" s="2761" t="s">
        <v>2935</v>
      </c>
      <c r="C36" s="206">
        <f ca="1">ROUND(D5*C19*C20*C24*F36,0)</f>
        <v>0</v>
      </c>
      <c r="D36" s="2841"/>
      <c r="E36" s="200">
        <f t="shared" ca="1" si="7"/>
        <v>0</v>
      </c>
      <c r="F36" s="200">
        <f>SUMIF(修正!A45:A56,G2,修正!E45:E56)</f>
        <v>0.2</v>
      </c>
      <c r="G36" s="200">
        <f t="shared" ca="1" si="6"/>
        <v>0</v>
      </c>
      <c r="H36" s="200">
        <f t="shared" si="8"/>
        <v>0</v>
      </c>
      <c r="I36" s="200">
        <f t="shared" ca="1" si="9"/>
        <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2936</v>
      </c>
      <c r="C37" s="200">
        <f ca="1">ROUND(C5*C19*C20*C24*F37,0)</f>
        <v>194</v>
      </c>
      <c r="D37" s="2841"/>
      <c r="E37" s="200">
        <f t="shared" ca="1" si="7"/>
        <v>0</v>
      </c>
      <c r="F37" s="206">
        <f>SUMIF(修正!A45:A56,G2,修正!F45:F56)</f>
        <v>0.2</v>
      </c>
      <c r="G37" s="200">
        <f t="shared" ca="1" si="6"/>
        <v>49</v>
      </c>
      <c r="H37" s="200">
        <f t="shared" si="8"/>
        <v>0</v>
      </c>
      <c r="I37" s="200">
        <f t="shared" ca="1" si="9"/>
        <v>0</v>
      </c>
      <c r="J37" s="2858"/>
      <c r="K37" s="1373"/>
      <c r="L37" s="2860" t="s">
        <v>2937</v>
      </c>
      <c r="M37" s="2861"/>
      <c r="N37" s="1373"/>
      <c r="O37" s="1373"/>
      <c r="P37" s="1373"/>
      <c r="Q37" s="1373"/>
      <c r="R37" s="1373"/>
      <c r="S37" s="1373"/>
      <c r="T37" s="1373"/>
      <c r="U37" s="1373"/>
      <c r="V37" s="1373"/>
      <c r="W37" s="1373"/>
      <c r="X37" s="1373"/>
      <c r="Y37" s="1373"/>
      <c r="Z37" s="1374"/>
    </row>
    <row r="38" spans="1:37">
      <c r="A38" s="2859"/>
      <c r="B38" s="2761" t="s">
        <v>2938</v>
      </c>
      <c r="C38" s="200">
        <f ca="1">ROUND(C5*C19*C20*C24*F38,0)</f>
        <v>194</v>
      </c>
      <c r="D38" s="2841"/>
      <c r="E38" s="200">
        <f t="shared" ca="1" si="7"/>
        <v>0</v>
      </c>
      <c r="F38" s="206">
        <f>SUMIF(修正!A45:A56,G2,修正!G45:G56)</f>
        <v>0.2</v>
      </c>
      <c r="G38" s="200">
        <f t="shared" ca="1" si="6"/>
        <v>49</v>
      </c>
      <c r="H38" s="200">
        <f t="shared" si="8"/>
        <v>0</v>
      </c>
      <c r="I38" s="200">
        <f t="shared" ca="1" si="9"/>
        <v>0</v>
      </c>
      <c r="J38" s="2858"/>
      <c r="K38" s="1373"/>
      <c r="L38" s="1889" t="s">
        <v>2939</v>
      </c>
      <c r="M38" s="2862">
        <v>0.25</v>
      </c>
      <c r="N38" s="1373"/>
      <c r="O38" s="1373"/>
      <c r="P38" s="1373"/>
      <c r="Q38" s="1373"/>
      <c r="R38" s="1373"/>
      <c r="S38" s="1373"/>
      <c r="T38" s="1373"/>
      <c r="U38" s="1373"/>
      <c r="V38" s="1373"/>
      <c r="W38" s="1373"/>
      <c r="X38" s="1373"/>
      <c r="Y38" s="1373"/>
      <c r="Z38" s="1374"/>
    </row>
    <row r="39" spans="1:37" ht="13.5" thickBot="1">
      <c r="A39" s="2845"/>
      <c r="B39" s="2863" t="s">
        <v>2940</v>
      </c>
      <c r="C39" s="229">
        <f ca="1">ROUND(C5*C19*C20*C24*F39,0)</f>
        <v>145</v>
      </c>
      <c r="D39" s="2847"/>
      <c r="E39" s="229">
        <f t="shared" ca="1" si="7"/>
        <v>0</v>
      </c>
      <c r="F39" s="935">
        <f>SUMIF(修正!A45:A56,G2,修正!H45:H56)</f>
        <v>0.15</v>
      </c>
      <c r="G39" s="229" t="e">
        <f t="shared" si="6"/>
        <v>#DIV/0!</v>
      </c>
      <c r="H39" s="229">
        <f t="shared" si="8"/>
        <v>0</v>
      </c>
      <c r="I39" s="229" t="e">
        <f t="shared" si="9"/>
        <v>#DIV/0!</v>
      </c>
      <c r="J39" s="2864"/>
      <c r="K39" s="1373"/>
      <c r="L39" s="2865" t="s">
        <v>2883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2941</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2942</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2943</v>
      </c>
      <c r="B47" s="1811" t="s">
        <v>2944</v>
      </c>
      <c r="C47" s="1811" t="s">
        <v>2945</v>
      </c>
      <c r="D47" s="1811" t="s">
        <v>2946</v>
      </c>
      <c r="E47" s="819" t="s">
        <v>2947</v>
      </c>
      <c r="F47" s="2875" t="s">
        <v>2948</v>
      </c>
      <c r="G47" s="1811" t="s">
        <v>754</v>
      </c>
      <c r="H47" s="2876" t="s">
        <v>2949</v>
      </c>
      <c r="I47" s="1811"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4" t="s">
        <v>2951</v>
      </c>
      <c r="B48" s="2877" t="str">
        <f>估价对象房地状况!C4</f>
        <v>估价对象位于XX商圈，周边商业氛围成熟，人流量大，商业繁华度好</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4" t="s">
        <v>2952</v>
      </c>
      <c r="B49" s="2878" t="str">
        <f>估价对象房地状况!C18</f>
        <v>估价对象周边道路状况、公共交通通达情况、停车便捷程度，综合评价交通便捷度较好</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2953</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2954</v>
      </c>
      <c r="B51" s="2879" t="s">
        <v>2955</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2956</v>
      </c>
      <c r="B52" s="2878">
        <f>估价对象房地状况!C24</f>
        <v>0</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2957</v>
      </c>
      <c r="B53" s="2880" t="s">
        <v>2958</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2959</v>
      </c>
      <c r="B54" s="1727" t="str">
        <f>估价对象房地状况!C21</f>
        <v>估价对象所在区域公共配套设施齐备情况</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2960</v>
      </c>
      <c r="B55" s="2878" t="str">
        <f>估价对象房地状况!C22</f>
        <v>估价对象所在区域基础设施水平</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2" t="s">
        <v>2961</v>
      </c>
      <c r="B56" s="2883" t="str">
        <f>估价对象房地状况!C20</f>
        <v>区域自然环境：；人文环境；综合评价环境状况一般</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2962</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2943</v>
      </c>
      <c r="B58" s="1811"/>
      <c r="C58" s="1811" t="s">
        <v>2945</v>
      </c>
      <c r="D58" s="1811" t="s">
        <v>2946</v>
      </c>
      <c r="E58" s="819" t="s">
        <v>2947</v>
      </c>
      <c r="F58" s="2875" t="s">
        <v>2963</v>
      </c>
      <c r="G58" s="1811" t="s">
        <v>754</v>
      </c>
      <c r="H58" s="2876" t="s">
        <v>2949</v>
      </c>
      <c r="I58" s="1811"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4" t="s">
        <v>2964</v>
      </c>
      <c r="B59" s="2877" t="str">
        <f>估价对象房地状况!C17</f>
        <v>估价对象位于XX商圈，周边办公楼项目较多，入驻率高，办公集聚程度较好</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4" t="s">
        <v>2952</v>
      </c>
      <c r="B60" s="2878" t="str">
        <f>估价对象房地状况!C18</f>
        <v>估价对象周边道路状况、公共交通通达情况、停车便捷程度，综合评价交通便捷度较好</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2953</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2954</v>
      </c>
      <c r="B62" s="2879" t="s">
        <v>2955</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2956</v>
      </c>
      <c r="B63" s="2878">
        <f>估价对象房地状况!C24</f>
        <v>0</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2957</v>
      </c>
      <c r="B64" s="2880" t="s">
        <v>2958</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2959</v>
      </c>
      <c r="B65" s="1727" t="str">
        <f>估价对象房地状况!C21</f>
        <v>估价对象所在区域公共配套设施齐备情况</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2960</v>
      </c>
      <c r="B66" s="1727" t="str">
        <f>估价对象房地状况!C22</f>
        <v>估价对象所在区域基础设施水平</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2" t="s">
        <v>2961</v>
      </c>
      <c r="B67" s="2884" t="str">
        <f>估价对象房地状况!C20</f>
        <v>区域自然环境：；人文环境；综合评价环境状况一般</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2965</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2943</v>
      </c>
      <c r="B69" s="1811"/>
      <c r="C69" s="1811" t="s">
        <v>2945</v>
      </c>
      <c r="D69" s="1811" t="s">
        <v>2946</v>
      </c>
      <c r="E69" s="819" t="s">
        <v>2947</v>
      </c>
      <c r="F69" s="2875" t="s">
        <v>2963</v>
      </c>
      <c r="G69" s="1811" t="s">
        <v>754</v>
      </c>
      <c r="H69" s="2876" t="s">
        <v>2949</v>
      </c>
      <c r="I69" s="1811"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4" t="s">
        <v>2966</v>
      </c>
      <c r="B70" s="2877" t="str">
        <f>估价对象房地状况!C15</f>
        <v>估价对象周边居住用地比例、居住小区规模和社区发展完善程度，综合评价居住社区成熟度一般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4" t="s">
        <v>2952</v>
      </c>
      <c r="B71" s="2878" t="str">
        <f>估价对象房地状况!C18</f>
        <v>估价对象周边道路状况、公共交通通达情况、停车便捷程度，综合评价交通便捷度较好</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2953</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2967</v>
      </c>
      <c r="B73" s="2878">
        <f>估价对象房地状况!C24</f>
        <v>0</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2959</v>
      </c>
      <c r="B74" s="1727" t="str">
        <f>估价对象房地状况!C21</f>
        <v>估价对象所在区域公共配套设施齐备情况</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2960</v>
      </c>
      <c r="B75" s="1727" t="str">
        <f>估价对象房地状况!C22</f>
        <v>估价对象所在区域基础设施水平</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2957</v>
      </c>
      <c r="B76" s="2880" t="s">
        <v>2958</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c r="A77" s="2874" t="s">
        <v>2961</v>
      </c>
      <c r="B77" s="2877" t="str">
        <f>估价对象房地状况!C20</f>
        <v>区域自然环境：；人文环境；综合评价环境状况一般</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2968</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2969</v>
      </c>
      <c r="B79" s="2871">
        <f>1+E81</f>
        <v>1.0116000000000001</v>
      </c>
      <c r="C79" s="814"/>
      <c r="D79" s="814"/>
      <c r="E79" s="815"/>
      <c r="F79" s="2873"/>
      <c r="G79" s="6"/>
      <c r="H79" s="6"/>
      <c r="I79" s="6"/>
      <c r="J79" s="7"/>
      <c r="K79" s="7"/>
      <c r="L79" s="7"/>
      <c r="M79" s="7"/>
      <c r="N79" s="7"/>
      <c r="Z79" s="2716"/>
      <c r="AA79" s="2792"/>
      <c r="AG79" s="1375"/>
      <c r="AK79" s="2792"/>
    </row>
    <row r="80" spans="1:37" ht="24.75">
      <c r="A80" s="2874" t="s">
        <v>2943</v>
      </c>
      <c r="B80" s="1811"/>
      <c r="C80" s="1811" t="s">
        <v>2945</v>
      </c>
      <c r="D80" s="1811" t="s">
        <v>2946</v>
      </c>
      <c r="E80" s="819" t="s">
        <v>2947</v>
      </c>
      <c r="F80" s="2875" t="s">
        <v>2963</v>
      </c>
      <c r="G80" s="1811" t="s">
        <v>754</v>
      </c>
      <c r="H80" s="2876" t="s">
        <v>2949</v>
      </c>
      <c r="I80" s="1811" t="s">
        <v>2950</v>
      </c>
      <c r="J80" s="603" t="s">
        <v>2598</v>
      </c>
      <c r="K80" s="603" t="s">
        <v>2599</v>
      </c>
      <c r="L80" s="603" t="s">
        <v>2600</v>
      </c>
      <c r="M80" s="603" t="s">
        <v>2601</v>
      </c>
      <c r="N80" s="603" t="s">
        <v>2602</v>
      </c>
      <c r="Z80" s="2716"/>
      <c r="AA80" s="2792"/>
      <c r="AG80" s="1375"/>
      <c r="AK80" s="2792"/>
    </row>
    <row r="81" spans="1:37" ht="63.75">
      <c r="A81" s="2874" t="s">
        <v>2970</v>
      </c>
      <c r="B81" s="2878" t="str">
        <f>估价对象房地状况!G15</f>
        <v>估价对象位于北京雁栖经济开发区，园区建设成熟，周边有波尔亚太金属容器公司、星达顺五星建材产业集聚程度较好。</v>
      </c>
      <c r="C81" s="2766" t="s">
        <v>3104</v>
      </c>
      <c r="D81" s="1289">
        <f t="shared" ref="D81:D88" si="25">SUMIF($J$80:$N$80,C81,J81:N81)</f>
        <v>6.4999999999999997E-3</v>
      </c>
      <c r="E81" s="821">
        <f>ROUND(SUM(D81:D88),4)</f>
        <v>1.1599999999999999E-2</v>
      </c>
      <c r="F81" s="2497">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16"/>
      <c r="AA81" s="2792"/>
      <c r="AG81" s="1375"/>
      <c r="AK81" s="2792"/>
    </row>
    <row r="82" spans="1:37" ht="76.5">
      <c r="A82" s="2874" t="s">
        <v>2952</v>
      </c>
      <c r="B82" s="2878" t="str">
        <f>估价对象房地状况!G16</f>
        <v>估价对象紧邻城市次干道——杨雁路，公共交通通达情况一般，周边有864、936路等公交线路，停车便捷程度一般，综合评价交通便捷度一般。</v>
      </c>
      <c r="C82" s="2766" t="s">
        <v>3105</v>
      </c>
      <c r="D82" s="1289">
        <f t="shared" si="25"/>
        <v>0</v>
      </c>
      <c r="E82" s="826"/>
      <c r="F82" s="2497"/>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16"/>
      <c r="AA82" s="2792"/>
      <c r="AG82" s="1375"/>
      <c r="AK82" s="2792"/>
    </row>
    <row r="83" spans="1:37" ht="25.5">
      <c r="A83" s="2874" t="s">
        <v>2953</v>
      </c>
      <c r="B83" s="2878" t="str">
        <f>估价对象房地状况!G17</f>
        <v>周边多为工业用地，对宗地利用无不利影响。</v>
      </c>
      <c r="C83" s="2766" t="s">
        <v>3104</v>
      </c>
      <c r="D83" s="1289">
        <f t="shared" si="25"/>
        <v>1.1999999999999999E-3</v>
      </c>
      <c r="E83" s="826"/>
      <c r="F83" s="2497"/>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16"/>
      <c r="AA83" s="2792"/>
      <c r="AG83" s="1375"/>
      <c r="AK83" s="2792"/>
    </row>
    <row r="84" spans="1:37" ht="14.25">
      <c r="A84" s="2874" t="s">
        <v>2967</v>
      </c>
      <c r="B84" s="2878" t="str">
        <f>估价对象房地状况!G22</f>
        <v>城市次干道——杨雁路</v>
      </c>
      <c r="C84" s="2766" t="s">
        <v>3105</v>
      </c>
      <c r="D84" s="1289">
        <f t="shared" si="25"/>
        <v>0</v>
      </c>
      <c r="E84" s="826"/>
      <c r="F84" s="2497"/>
      <c r="G84" s="1287">
        <f t="shared" si="26"/>
        <v>1E-3</v>
      </c>
      <c r="H84" s="1291">
        <f t="shared" si="27"/>
        <v>1E-3</v>
      </c>
      <c r="I84" s="820">
        <v>0.04</v>
      </c>
      <c r="J84" s="1288">
        <f t="shared" si="28"/>
        <v>2E-3</v>
      </c>
      <c r="K84" s="1288">
        <f t="shared" si="29"/>
        <v>1E-3</v>
      </c>
      <c r="L84" s="1288">
        <v>0</v>
      </c>
      <c r="M84" s="1288">
        <f t="shared" si="30"/>
        <v>-1E-3</v>
      </c>
      <c r="N84" s="1288">
        <f t="shared" si="30"/>
        <v>-2E-3</v>
      </c>
      <c r="Z84" s="2716"/>
      <c r="AA84" s="2792"/>
      <c r="AG84" s="1375"/>
      <c r="AK84" s="2792"/>
    </row>
    <row r="85" spans="1:37" ht="89.25">
      <c r="A85" s="2874" t="s">
        <v>2959</v>
      </c>
      <c r="B85" s="1727" t="str">
        <f>估价对象房地状况!G19</f>
        <v>估价对象周边2公里范围内有银行（中国银行），超市（世纪华联超市），学校（怀柔区职业学校），医院（雁栖镇北台下社区卫生服务站），公共配套设施程度一般。</v>
      </c>
      <c r="C85" s="2766" t="s">
        <v>3105</v>
      </c>
      <c r="D85" s="1289">
        <f t="shared" si="25"/>
        <v>0</v>
      </c>
      <c r="E85" s="826"/>
      <c r="F85" s="2497"/>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16"/>
      <c r="AA85" s="2792"/>
      <c r="AG85" s="1375"/>
      <c r="AK85" s="2792"/>
    </row>
    <row r="86" spans="1:37" ht="25.5">
      <c r="A86" s="2874" t="s">
        <v>2960</v>
      </c>
      <c r="B86" s="1727" t="str">
        <f>估价对象房地状况!G20</f>
        <v>估价对象所在区域基础设施水平达到“五通”。</v>
      </c>
      <c r="C86" s="2766" t="s">
        <v>3105</v>
      </c>
      <c r="D86" s="1289">
        <f t="shared" si="25"/>
        <v>0</v>
      </c>
      <c r="E86" s="826"/>
      <c r="F86" s="2497"/>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16"/>
      <c r="AA86" s="2792"/>
      <c r="AG86" s="1375"/>
      <c r="AK86" s="2792"/>
    </row>
    <row r="87" spans="1:37" ht="24">
      <c r="A87" s="2874" t="s">
        <v>2957</v>
      </c>
      <c r="B87" s="2958" t="s">
        <v>3107</v>
      </c>
      <c r="C87" s="2766" t="s">
        <v>3106</v>
      </c>
      <c r="D87" s="1289">
        <f t="shared" si="25"/>
        <v>2.3999999999999998E-3</v>
      </c>
      <c r="E87" s="826"/>
      <c r="F87" s="2497"/>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16"/>
      <c r="AA87" s="2792"/>
      <c r="AG87" s="1375"/>
      <c r="AK87" s="2792"/>
    </row>
    <row r="88" spans="1:37" ht="39" thickBot="1">
      <c r="A88" s="2882" t="s">
        <v>2971</v>
      </c>
      <c r="B88" s="2887" t="str">
        <f>估价对象房地状况!G18</f>
        <v>该园区内无污染型企业，绿化较好，卫生条件良好，整体环境状况较好。</v>
      </c>
      <c r="C88" s="2766" t="s">
        <v>3104</v>
      </c>
      <c r="D88" s="1289">
        <f t="shared" si="25"/>
        <v>1.5E-3</v>
      </c>
      <c r="E88" s="827"/>
      <c r="F88" s="2497"/>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16"/>
      <c r="AA88" s="2792"/>
      <c r="AG88" s="1375"/>
      <c r="AK88" s="2792"/>
    </row>
    <row r="90" spans="1:37">
      <c r="A90" s="3161" t="s">
        <v>2972</v>
      </c>
      <c r="B90" s="3161"/>
      <c r="C90" s="3161"/>
      <c r="D90" s="3161"/>
      <c r="E90" s="3161"/>
      <c r="F90" s="3161"/>
      <c r="G90" s="3161"/>
      <c r="H90" s="3161"/>
      <c r="I90" s="3161"/>
      <c r="J90" s="3161"/>
      <c r="K90" s="2888"/>
      <c r="L90" s="2888"/>
      <c r="M90" s="2888"/>
      <c r="N90" s="2888"/>
    </row>
    <row r="91" spans="1:37">
      <c r="A91" s="3163" t="s">
        <v>2973</v>
      </c>
      <c r="B91" s="3163" t="s">
        <v>2974</v>
      </c>
      <c r="C91" s="2842" t="s">
        <v>2975</v>
      </c>
      <c r="D91" s="2843"/>
      <c r="E91" s="2843"/>
      <c r="F91" s="2843"/>
      <c r="G91" s="2843"/>
      <c r="H91" s="2843"/>
      <c r="I91" s="2843"/>
      <c r="J91" s="2889"/>
      <c r="K91" s="2890"/>
      <c r="L91" s="2890"/>
      <c r="M91" s="2890"/>
      <c r="N91" s="2890"/>
    </row>
    <row r="92" spans="1:37">
      <c r="A92" s="3163"/>
      <c r="B92" s="3163"/>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64"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6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6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6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6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6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65"/>
      <c r="B99" s="2891" t="s">
        <v>2858</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16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64" t="s">
        <v>2977</v>
      </c>
      <c r="B101" s="2895" t="s">
        <v>2978</v>
      </c>
      <c r="C101" s="2896">
        <f>$G$3</f>
        <v>0.66</v>
      </c>
      <c r="D101" s="2896">
        <f t="shared" ref="D101:N101" si="32">$G$3</f>
        <v>0.66</v>
      </c>
      <c r="E101" s="2896">
        <f t="shared" si="32"/>
        <v>0.66</v>
      </c>
      <c r="F101" s="2896">
        <f t="shared" si="32"/>
        <v>0.66</v>
      </c>
      <c r="G101" s="2896">
        <f t="shared" si="32"/>
        <v>0.66</v>
      </c>
      <c r="H101" s="2896">
        <f t="shared" si="32"/>
        <v>0.66</v>
      </c>
      <c r="I101" s="2896">
        <f t="shared" si="32"/>
        <v>0.66</v>
      </c>
      <c r="J101" s="2896">
        <f t="shared" si="32"/>
        <v>0.66</v>
      </c>
      <c r="K101" s="2896">
        <f t="shared" si="32"/>
        <v>0.66</v>
      </c>
      <c r="L101" s="2896">
        <f t="shared" si="32"/>
        <v>0.66</v>
      </c>
      <c r="M101" s="2896">
        <f t="shared" si="32"/>
        <v>0.66</v>
      </c>
      <c r="N101" s="2896">
        <f t="shared" si="32"/>
        <v>0.66</v>
      </c>
    </row>
    <row r="102" spans="1:14">
      <c r="A102" s="3165"/>
      <c r="B102" s="2891">
        <v>1</v>
      </c>
      <c r="C102" s="2892">
        <f>1.9362/C101</f>
        <v>2.9336363636363636</v>
      </c>
      <c r="D102" s="2892">
        <f>1.9362/D101</f>
        <v>2.9336363636363636</v>
      </c>
      <c r="E102" s="2892">
        <f>1.8629/E101</f>
        <v>2.8225757575757573</v>
      </c>
      <c r="F102" s="2892">
        <f>1.8629/F101</f>
        <v>2.8225757575757573</v>
      </c>
      <c r="G102" s="2892">
        <f>1.8629/G101</f>
        <v>2.8225757575757573</v>
      </c>
      <c r="H102" s="2892">
        <f>1.8629/H101</f>
        <v>2.8225757575757573</v>
      </c>
      <c r="I102" s="2892">
        <f>1.8629/I101</f>
        <v>2.8225757575757573</v>
      </c>
      <c r="J102" s="2892">
        <f>1.942/J101</f>
        <v>2.9424242424242424</v>
      </c>
      <c r="K102" s="2892">
        <f>1.942/K101</f>
        <v>2.9424242424242424</v>
      </c>
      <c r="L102" s="2892">
        <f>1.942/L101</f>
        <v>2.9424242424242424</v>
      </c>
      <c r="M102" s="2892">
        <f>1.942/M101</f>
        <v>2.9424242424242424</v>
      </c>
      <c r="N102" s="2892">
        <f>1.942/N101</f>
        <v>2.9424242424242424</v>
      </c>
    </row>
    <row r="103" spans="1:14">
      <c r="A103" s="3165"/>
      <c r="B103" s="2891">
        <v>2</v>
      </c>
      <c r="C103" s="2892">
        <f>1.4198/C101</f>
        <v>2.1512121212121209</v>
      </c>
      <c r="D103" s="2892">
        <f>1.4198/D101</f>
        <v>2.1512121212121209</v>
      </c>
      <c r="E103" s="2892">
        <f>1.3372/E101</f>
        <v>2.0260606060606059</v>
      </c>
      <c r="F103" s="2892">
        <f>1.3372/F101</f>
        <v>2.0260606060606059</v>
      </c>
      <c r="G103" s="2892">
        <f>1.3372/G101</f>
        <v>2.0260606060606059</v>
      </c>
      <c r="H103" s="2892">
        <f>1.3372/H101</f>
        <v>2.0260606060606059</v>
      </c>
      <c r="I103" s="2892">
        <f>1.3372/I101</f>
        <v>2.0260606060606059</v>
      </c>
      <c r="J103" s="2892">
        <f>1.2799/J101</f>
        <v>1.9392424242424242</v>
      </c>
      <c r="K103" s="2892">
        <f>1.2799/K101</f>
        <v>1.9392424242424242</v>
      </c>
      <c r="L103" s="2892">
        <f>1.2799/L101</f>
        <v>1.9392424242424242</v>
      </c>
      <c r="M103" s="2892">
        <f>1.2799/M101</f>
        <v>1.9392424242424242</v>
      </c>
      <c r="N103" s="2892">
        <f>1.2799/N101</f>
        <v>1.9392424242424242</v>
      </c>
    </row>
    <row r="104" spans="1:14">
      <c r="A104" s="3165"/>
      <c r="B104" s="2891">
        <v>3</v>
      </c>
      <c r="C104" s="2892">
        <f>1.1594/C101</f>
        <v>1.7566666666666666</v>
      </c>
      <c r="D104" s="2892">
        <f>1.1594/D101</f>
        <v>1.7566666666666666</v>
      </c>
      <c r="E104" s="2892">
        <f>1.0788/E101</f>
        <v>1.6345454545454545</v>
      </c>
      <c r="F104" s="2892">
        <f>1.0788/F101</f>
        <v>1.6345454545454545</v>
      </c>
      <c r="G104" s="2892">
        <f>1.0788/G101</f>
        <v>1.6345454545454545</v>
      </c>
      <c r="H104" s="2892">
        <f>1.0788/H101</f>
        <v>1.6345454545454545</v>
      </c>
      <c r="I104" s="2892">
        <f>1.0788/I101</f>
        <v>1.6345454545454545</v>
      </c>
      <c r="J104" s="2892">
        <f>1.0072/J101</f>
        <v>1.5260606060606061</v>
      </c>
      <c r="K104" s="2892">
        <f>1.0072/K101</f>
        <v>1.5260606060606061</v>
      </c>
      <c r="L104" s="2892">
        <f>1.0072/L101</f>
        <v>1.5260606060606061</v>
      </c>
      <c r="M104" s="2892">
        <f>1.0072/M101</f>
        <v>1.5260606060606061</v>
      </c>
      <c r="N104" s="2892">
        <f>1.0072/N101</f>
        <v>1.5260606060606061</v>
      </c>
    </row>
    <row r="105" spans="1:14">
      <c r="A105" s="3165"/>
      <c r="B105" s="2891">
        <v>4</v>
      </c>
      <c r="C105" s="2892">
        <f>0.9622/C101</f>
        <v>1.457878787878788</v>
      </c>
      <c r="D105" s="2892">
        <f>0.9622/D101</f>
        <v>1.457878787878788</v>
      </c>
      <c r="E105" s="2892">
        <f>0.8656/E101</f>
        <v>1.3115151515151515</v>
      </c>
      <c r="F105" s="2892">
        <f>0.8656/F101</f>
        <v>1.3115151515151515</v>
      </c>
      <c r="G105" s="2892">
        <f>0.8656/G101</f>
        <v>1.3115151515151515</v>
      </c>
      <c r="H105" s="2892">
        <f>0.8656/H101</f>
        <v>1.3115151515151515</v>
      </c>
      <c r="I105" s="2892">
        <f>0.8656/I101</f>
        <v>1.3115151515151515</v>
      </c>
      <c r="J105" s="2892">
        <f>0.7525/J101</f>
        <v>1.1401515151515149</v>
      </c>
      <c r="K105" s="2892">
        <f>0.7525/K101</f>
        <v>1.1401515151515149</v>
      </c>
      <c r="L105" s="2892">
        <f>0.7525/L101</f>
        <v>1.1401515151515149</v>
      </c>
      <c r="M105" s="2892">
        <f>0.7525/M101</f>
        <v>1.1401515151515149</v>
      </c>
      <c r="N105" s="2892">
        <f>0.7525/N101</f>
        <v>1.1401515151515149</v>
      </c>
    </row>
    <row r="106" spans="1:14">
      <c r="A106" s="3165"/>
      <c r="B106" s="2891">
        <v>5</v>
      </c>
      <c r="C106" s="2892">
        <f>0.8417/C101</f>
        <v>1.2753030303030302</v>
      </c>
      <c r="D106" s="2892">
        <f>0.8417/D101</f>
        <v>1.2753030303030302</v>
      </c>
      <c r="E106" s="2892">
        <f>0.7371/E101</f>
        <v>1.1168181818181817</v>
      </c>
      <c r="F106" s="2892">
        <f>0.7371/F101</f>
        <v>1.1168181818181817</v>
      </c>
      <c r="G106" s="2892">
        <f>0.7371/G101</f>
        <v>1.1168181818181817</v>
      </c>
      <c r="H106" s="2892">
        <f>0.7371/H101</f>
        <v>1.1168181818181817</v>
      </c>
      <c r="I106" s="2892">
        <f>0.7371/I101</f>
        <v>1.1168181818181817</v>
      </c>
      <c r="J106" s="2892">
        <f>0.5659/J101</f>
        <v>0.85742424242424231</v>
      </c>
      <c r="K106" s="2892">
        <f>0.5659/K101</f>
        <v>0.85742424242424231</v>
      </c>
      <c r="L106" s="2892">
        <f>0.5659/L101</f>
        <v>0.85742424242424231</v>
      </c>
      <c r="M106" s="2892">
        <f>0.5659/M101</f>
        <v>0.85742424242424231</v>
      </c>
      <c r="N106" s="2892">
        <f>0.5659/N101</f>
        <v>0.85742424242424231</v>
      </c>
    </row>
    <row r="107" spans="1:14">
      <c r="A107" s="3165"/>
      <c r="B107" s="2891">
        <v>6</v>
      </c>
      <c r="C107" s="2892">
        <f>0.7608/C101</f>
        <v>1.1527272727272728</v>
      </c>
      <c r="D107" s="2892">
        <f>0.7608/D101</f>
        <v>1.1527272727272728</v>
      </c>
      <c r="E107" s="2892">
        <f>0.6482/E101</f>
        <v>0.98212121212121206</v>
      </c>
      <c r="F107" s="2892">
        <f>0.6482/F101</f>
        <v>0.98212121212121206</v>
      </c>
      <c r="G107" s="2892">
        <f>0.6482/G101</f>
        <v>0.98212121212121206</v>
      </c>
      <c r="H107" s="2892">
        <f>0.6482/H101</f>
        <v>0.98212121212121206</v>
      </c>
      <c r="I107" s="2892">
        <f>0.6482/I101</f>
        <v>0.98212121212121206</v>
      </c>
      <c r="J107" s="2892">
        <f>0.4525/J101</f>
        <v>0.68560606060606055</v>
      </c>
      <c r="K107" s="2892">
        <f>0.4525/K101</f>
        <v>0.68560606060606055</v>
      </c>
      <c r="L107" s="2892">
        <f>0.4525/L101</f>
        <v>0.68560606060606055</v>
      </c>
      <c r="M107" s="2892">
        <f>0.4525/M101</f>
        <v>0.68560606060606055</v>
      </c>
      <c r="N107" s="2892">
        <f>0.4525/N101</f>
        <v>0.68560606060606055</v>
      </c>
    </row>
    <row r="108" spans="1:14">
      <c r="A108" s="3165"/>
      <c r="B108" s="3120" t="s">
        <v>2979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166"/>
      <c r="B109" s="3121"/>
      <c r="C109" s="2894">
        <f>(-0.163*(C108^2)-0.59*C108+7617)*(10^(-4))/C101</f>
        <v>1.1540909090909091</v>
      </c>
      <c r="D109" s="2894">
        <f>(-0.163*(D108^2)-0.59*D108+7617)*(10^(-4))/D101</f>
        <v>1.1540909090909091</v>
      </c>
      <c r="E109" s="2894">
        <f>(-0.161*(E108^2)-7.509*E108+6533)*(10^(-4))/E101</f>
        <v>0.98984848484848476</v>
      </c>
      <c r="F109" s="2894">
        <f>(-0.161*(F108^2)-7.509*F108+6533)*(10^(-4))/F101</f>
        <v>0.98984848484848476</v>
      </c>
      <c r="G109" s="2894">
        <f>(-0.161*(G108^2)-7.509*G108+6533)*(10^(-4))/G101</f>
        <v>0.98984848484848476</v>
      </c>
      <c r="H109" s="2894">
        <f>(-0.161*(H108^2)-7.509*H108+6533)*(10^(-4))/H101</f>
        <v>0.98984848484848476</v>
      </c>
      <c r="I109" s="2894">
        <f>(-0.161*(I108^2)-7.509*I108+6533)*(10^(-4))/I101</f>
        <v>0.98984848484848476</v>
      </c>
      <c r="J109" s="2894">
        <f>(-0.214*(J108^2)-21.991*J108+4665)*(10^(-4))/J101</f>
        <v>0.70681818181818179</v>
      </c>
      <c r="K109" s="2894">
        <f>(-0.214*(K108^2)-21.991*K108+4665)*(10^(-4))/K101</f>
        <v>0.70681818181818179</v>
      </c>
      <c r="L109" s="2894">
        <f>(-0.214*(L108^2)-21.991*L108+4665)*(10^(-4))/L101</f>
        <v>0.70681818181818179</v>
      </c>
      <c r="M109" s="2894">
        <f>(-0.214*(M108^2)-21.991*M108+4665)*(10^(-4))/M101</f>
        <v>0.70681818181818179</v>
      </c>
      <c r="N109" s="2894">
        <f>(-0.214*(N108^2)-21.991*N108+4665)*(10^(-4))/N101</f>
        <v>0.70681818181818179</v>
      </c>
    </row>
    <row r="110" spans="1:14">
      <c r="A110" s="3162" t="s">
        <v>2980</v>
      </c>
      <c r="B110" s="3162"/>
      <c r="C110" s="3162"/>
      <c r="D110" s="3162"/>
      <c r="E110" s="3162"/>
      <c r="F110" s="3162"/>
      <c r="G110" s="3162"/>
      <c r="H110" s="3162"/>
      <c r="I110" s="3162"/>
      <c r="J110" s="3162"/>
      <c r="K110" s="2897"/>
      <c r="L110" s="2897"/>
      <c r="M110" s="2897"/>
      <c r="N110" s="2897"/>
    </row>
    <row r="112" spans="1:14" ht="13.5" thickBot="1"/>
    <row r="113" spans="1:13" ht="25.5" thickBot="1">
      <c r="A113" s="903" t="s">
        <v>2981</v>
      </c>
      <c r="B113" s="1290">
        <f>G3</f>
        <v>0.66</v>
      </c>
      <c r="C113" s="904" t="s">
        <v>2982</v>
      </c>
      <c r="D113" s="905">
        <f>SUMPRODUCT((A115:A118=F113)*(B114:M114=H113)*B115:M118)</f>
        <v>0.55769999999999997</v>
      </c>
      <c r="E113" s="2720" t="s">
        <v>2815</v>
      </c>
      <c r="F113" s="2899" t="str">
        <f>E2</f>
        <v>工业</v>
      </c>
      <c r="G113" s="2720" t="s">
        <v>2816</v>
      </c>
      <c r="H113" s="2899" t="str">
        <f>G2</f>
        <v>九级</v>
      </c>
      <c r="I113" s="2720"/>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2881</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2882</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2883</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2527</v>
      </c>
      <c r="B1" s="2558"/>
      <c r="C1" s="2558"/>
      <c r="D1" s="2558"/>
      <c r="E1" s="2559"/>
    </row>
    <row r="2" spans="1:6" ht="15.75">
      <c r="A2" s="2560" t="s">
        <v>2328</v>
      </c>
      <c r="B2" s="2561">
        <f ca="1">SUMIF(B6:B13,"&lt;&gt;#ref!",B6:B13)</f>
        <v>9257</v>
      </c>
      <c r="C2" s="2562" t="s">
        <v>2520</v>
      </c>
      <c r="D2" s="2563" t="s">
        <v>2521</v>
      </c>
      <c r="E2" s="2564">
        <f>SUM(E6:E13)</f>
        <v>15950.359999999999</v>
      </c>
    </row>
    <row r="3" spans="1:6" ht="15.75">
      <c r="A3" s="2560" t="s">
        <v>1395</v>
      </c>
      <c r="B3" s="2561">
        <f ca="1">ROUND(B2*10000/E2,0)</f>
        <v>5804</v>
      </c>
      <c r="C3" s="2562" t="s">
        <v>2528</v>
      </c>
      <c r="D3" s="2565"/>
      <c r="E3" s="2566"/>
    </row>
    <row r="4" spans="1:6" ht="15.75">
      <c r="A4" s="2567"/>
      <c r="B4" s="2565"/>
      <c r="C4" s="2565"/>
      <c r="D4" s="2565"/>
      <c r="E4" s="2566"/>
    </row>
    <row r="5" spans="1:6" ht="15">
      <c r="A5" s="2568" t="s">
        <v>2522</v>
      </c>
      <c r="B5" s="3170" t="s">
        <v>2523</v>
      </c>
      <c r="C5" s="3170"/>
      <c r="D5" s="2569"/>
      <c r="E5" s="2570" t="s">
        <v>2524</v>
      </c>
      <c r="F5" s="2571" t="s">
        <v>2525</v>
      </c>
    </row>
    <row r="6" spans="1:6">
      <c r="A6" s="2572" t="str">
        <f>'数据-取费表'!AN6</f>
        <v>收益法工业</v>
      </c>
      <c r="B6" s="2571">
        <f ca="1">IF(F6="是",'数据-取费表'!AO6,0)</f>
        <v>7879</v>
      </c>
      <c r="C6" s="2562" t="s">
        <v>2520</v>
      </c>
      <c r="D6" s="2565"/>
      <c r="E6" s="2573">
        <f>IF(OR(A6=0,F6="否"),0,'数据-取费表'!K6+'数据-取费表'!S6)</f>
        <v>14131.06</v>
      </c>
      <c r="F6" s="2574" t="s">
        <v>2526</v>
      </c>
    </row>
    <row r="7" spans="1:6">
      <c r="A7" s="2572" t="str">
        <f>'数据-取费表'!AN7</f>
        <v>收益法配套办公</v>
      </c>
      <c r="B7" s="2571">
        <f ca="1">IF(F7="是",'数据-取费表'!AO7,0)</f>
        <v>1378</v>
      </c>
      <c r="C7" s="2562" t="s">
        <v>2520</v>
      </c>
      <c r="D7" s="2565"/>
      <c r="E7" s="2573">
        <f>IF(OR(A7=0,F7="否"),0,'数据-取费表'!K7+'数据-取费表'!S7)</f>
        <v>1819.3</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6</v>
      </c>
      <c r="D1" s="1822" t="s">
        <v>70</v>
      </c>
      <c r="E1" s="1823" t="s">
        <v>1387</v>
      </c>
      <c r="F1" s="1286">
        <f ca="1">J53</f>
        <v>35.44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7879</v>
      </c>
      <c r="C2" s="1847" t="s">
        <v>1516</v>
      </c>
      <c r="D2" s="1847"/>
      <c r="E2" s="1848"/>
      <c r="F2" s="1849"/>
      <c r="G2" s="1850"/>
      <c r="H2" s="1842"/>
      <c r="I2" s="1842"/>
      <c r="J2" s="1842"/>
      <c r="K2" s="1843"/>
      <c r="L2" s="1842"/>
      <c r="M2" s="1842"/>
    </row>
    <row r="3" spans="1:37" ht="18" customHeight="1" thickBot="1">
      <c r="A3" s="1851" t="s">
        <v>1517</v>
      </c>
      <c r="B3" s="1852">
        <f ca="1">IF(ISERROR(B2*10000/F43),0,ROUND(B2*10000/F43,0))</f>
        <v>5576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464</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464</v>
      </c>
      <c r="D6" s="164" t="s">
        <v>3032</v>
      </c>
      <c r="E6" s="347" t="s">
        <v>1405</v>
      </c>
      <c r="F6" s="348">
        <f ca="1">INDIRECT("'数据-取费表'!u"&amp;$G$1)</f>
        <v>1</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14131.06</v>
      </c>
      <c r="G7" s="1853"/>
      <c r="H7" s="349"/>
      <c r="I7" s="3174"/>
      <c r="J7" s="351"/>
      <c r="K7" s="352"/>
      <c r="L7" s="347" t="s">
        <v>1406</v>
      </c>
      <c r="M7" s="348">
        <f ca="1">F7</f>
        <v>14131.06</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3641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3250</v>
      </c>
      <c r="D14" s="1802" t="s">
        <v>1418</v>
      </c>
      <c r="E14" s="1796"/>
      <c r="F14" s="364"/>
      <c r="G14" s="1853"/>
      <c r="H14" s="1204" t="s">
        <v>1035</v>
      </c>
      <c r="I14" s="347" t="s">
        <v>1419</v>
      </c>
      <c r="J14" s="24">
        <f ca="1">C29</f>
        <v>4551</v>
      </c>
      <c r="K14" s="15"/>
      <c r="L14" s="982"/>
      <c r="M14" s="983"/>
    </row>
    <row r="15" spans="1:37" s="1860" customFormat="1" ht="18" customHeight="1" thickBot="1">
      <c r="A15" s="1204" t="s">
        <v>1036</v>
      </c>
      <c r="B15" s="347" t="s">
        <v>1420</v>
      </c>
      <c r="C15" s="24">
        <f ca="1">ROUND(C14*F15,0)</f>
        <v>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87</v>
      </c>
      <c r="K16" s="1340" t="s">
        <v>1425</v>
      </c>
      <c r="L16" s="1341"/>
      <c r="M16" s="1297"/>
    </row>
    <row r="17" spans="1:37" s="1860" customFormat="1" ht="18" customHeight="1">
      <c r="A17" s="1204" t="s">
        <v>1390</v>
      </c>
      <c r="B17" s="347" t="s">
        <v>1426</v>
      </c>
      <c r="C17" s="24">
        <f ca="1">ROUND(F17*(F43+INDIRECT("'数据-取费表'!S"&amp;$G$1))/10000,0)</f>
        <v>283</v>
      </c>
      <c r="D17" s="347" t="s">
        <v>1427</v>
      </c>
      <c r="E17" s="347" t="s">
        <v>1428</v>
      </c>
      <c r="F17" s="26">
        <f>'数据-取费表'!B35</f>
        <v>200</v>
      </c>
      <c r="G17" s="1856"/>
      <c r="H17" s="1204" t="s">
        <v>1035</v>
      </c>
      <c r="I17" s="347" t="s">
        <v>1429</v>
      </c>
      <c r="J17" s="24">
        <f ca="1">ROUND(IF(项目基本情况!B11="自然人",J5*M17,J18+J19+J20),1)</f>
        <v>41.5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49</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3680</v>
      </c>
      <c r="D19" s="140" t="s">
        <v>1436</v>
      </c>
      <c r="E19" s="1820"/>
      <c r="F19" s="26"/>
      <c r="G19" s="1853"/>
      <c r="H19" s="1204" t="s">
        <v>1036</v>
      </c>
      <c r="I19" s="347" t="s">
        <v>1437</v>
      </c>
      <c r="J19" s="24">
        <f ca="1">IF(K19="按租金收入计税",ROUND(J5*M19,2),ROUND(C29*M19*0.7,2))</f>
        <v>38.229999999999997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74</v>
      </c>
      <c r="D20" s="369" t="s">
        <v>1440</v>
      </c>
      <c r="E20" s="347" t="s">
        <v>1422</v>
      </c>
      <c r="F20" s="367">
        <f>'数据-取费表'!B37</f>
        <v>0.02</v>
      </c>
      <c r="G20" s="1856"/>
      <c r="H20" s="1204" t="s">
        <v>1389</v>
      </c>
      <c r="I20" s="164" t="s">
        <v>1441</v>
      </c>
      <c r="J20" s="25">
        <f ca="1">ROUND(M20*M21/10000,2)</f>
        <v>3.22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21453.65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45.5</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-87</v>
      </c>
      <c r="K25" s="1348" t="s">
        <v>1464</v>
      </c>
      <c r="L25" s="1349"/>
      <c r="M25" s="1350"/>
    </row>
    <row r="26" spans="1:37">
      <c r="A26" s="1204" t="s">
        <v>1034</v>
      </c>
      <c r="B26" s="347" t="s">
        <v>1465</v>
      </c>
      <c r="C26" s="24">
        <f ca="1">ROUND((C19+C20)*F26,0)</f>
        <v>375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4551</v>
      </c>
      <c r="D29" s="1345"/>
      <c r="E29" s="1343"/>
      <c r="F29" s="1346"/>
      <c r="G29" s="1856"/>
      <c r="H29" s="380" t="s">
        <v>1033</v>
      </c>
      <c r="I29" s="381" t="s">
        <v>1479</v>
      </c>
      <c r="J29" s="382">
        <f ca="1">ROUND(J26/(1+F40)^F41,0)</f>
        <v>0</v>
      </c>
      <c r="K29" s="383" t="s">
        <v>1480</v>
      </c>
      <c r="L29" s="384"/>
      <c r="M29" s="385">
        <f ca="1">INDIRECT("'数据-取费表'!k"&amp;$G$1)</f>
        <v>14131.06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65.8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24.3</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38.229999999999997</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3.22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21453.65</v>
      </c>
      <c r="G35" s="1853"/>
      <c r="H35" s="745"/>
      <c r="I35" s="1862"/>
      <c r="J35" s="1863"/>
      <c r="K35" s="1864"/>
      <c r="L35" s="1861"/>
      <c r="M35" s="1861"/>
    </row>
    <row r="36" spans="1:18" ht="18" customHeight="1">
      <c r="A36" s="1355" t="s">
        <v>1039</v>
      </c>
      <c r="B36" s="347" t="s">
        <v>1449</v>
      </c>
      <c r="C36" s="24">
        <f ca="1">ROUND(C29*F36,1)</f>
        <v>45.5</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5.5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4.5999999999999996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343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7879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5576</v>
      </c>
      <c r="D43" s="383" t="s">
        <v>1488</v>
      </c>
      <c r="E43" s="384" t="s">
        <v>1489</v>
      </c>
      <c r="F43" s="385">
        <f ca="1">INDIRECT("'数据-取费表'!k"&amp;$G$1)</f>
        <v>14131.06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-9409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7879</v>
      </c>
      <c r="R47" s="1888" t="s">
        <v>1529</v>
      </c>
    </row>
    <row r="48" spans="1:18" s="1844" customFormat="1" ht="28.5" thickBot="1">
      <c r="A48" s="1363" t="s">
        <v>1135</v>
      </c>
      <c r="B48" s="345" t="s">
        <v>1401</v>
      </c>
      <c r="C48" s="1819">
        <f ca="1">C49+C53+C55</f>
        <v>0</v>
      </c>
      <c r="D48" s="1365"/>
      <c r="E48" s="1366"/>
      <c r="F48" s="1184"/>
      <c r="G48" s="792"/>
      <c r="H48" s="793"/>
      <c r="I48" s="1889" t="s">
        <v>1530</v>
      </c>
      <c r="J48" s="1890" t="s">
        <v>3091</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2005</v>
      </c>
      <c r="K49" s="1891" t="s">
        <v>1535</v>
      </c>
      <c r="L49" s="1895"/>
      <c r="O49" s="1896" t="s">
        <v>1042</v>
      </c>
      <c r="P49" s="1887" t="s">
        <v>1536</v>
      </c>
      <c r="Q49" s="1888">
        <f ca="1">C29</f>
        <v>4551</v>
      </c>
      <c r="R49" s="1888" t="s">
        <v>1529</v>
      </c>
    </row>
    <row r="50" spans="1:18" s="1844" customFormat="1" ht="13.5" thickBot="1">
      <c r="A50" s="1198"/>
      <c r="B50" s="1201"/>
      <c r="C50" s="1371"/>
      <c r="D50" s="1175"/>
      <c r="E50" s="1280" t="s">
        <v>1406</v>
      </c>
      <c r="F50" s="1281">
        <f ca="1">F7</f>
        <v>14131.06</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37</v>
      </c>
      <c r="K51" s="1902" t="s">
        <v>1541</v>
      </c>
      <c r="L51" s="1903">
        <f ca="1">ROUND(-PV(INDIRECT("'数据-取费表'!h"&amp;$G$1),L48,(C39-C13*C76),0),0)</f>
        <v>629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7879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3641</v>
      </c>
      <c r="D56" s="1916"/>
      <c r="E56" s="1917"/>
      <c r="F56" s="1909"/>
      <c r="I56" s="1918" t="s">
        <v>1554</v>
      </c>
      <c r="J56" s="1919" t="s">
        <v>3055</v>
      </c>
      <c r="K56" s="1889" t="s">
        <v>1555</v>
      </c>
      <c r="L56" s="1892" t="str">
        <f ca="1">IF(L48&lt;J51,"——",L48-J53)</f>
        <v>——</v>
      </c>
      <c r="O56" s="1886" t="s">
        <v>1040</v>
      </c>
      <c r="P56" s="1887" t="s">
        <v>1528</v>
      </c>
      <c r="Q56" s="1888">
        <f ca="1">C40+J29</f>
        <v>7879</v>
      </c>
      <c r="R56" s="1888" t="s">
        <v>1529</v>
      </c>
    </row>
    <row r="57" spans="1:18" s="1844" customFormat="1" ht="24.75" thickBot="1">
      <c r="A57" s="1920"/>
      <c r="B57" s="1172" t="s">
        <v>1478</v>
      </c>
      <c r="C57" s="282">
        <f ca="1">C29</f>
        <v>4551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38.229999999999997</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7879</v>
      </c>
      <c r="R62" s="1888" t="s">
        <v>1047</v>
      </c>
    </row>
    <row r="63" spans="1:18" s="1844" customFormat="1" ht="13.5" thickBot="1">
      <c r="A63" s="372"/>
      <c r="B63" s="1178"/>
      <c r="C63" s="29"/>
      <c r="D63" s="1188"/>
      <c r="E63" s="1172" t="s">
        <v>1499</v>
      </c>
      <c r="F63" s="348">
        <f t="shared" ca="1" si="0"/>
        <v>21453.65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45.5</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5.5</v>
      </c>
      <c r="D65" s="1186" t="s">
        <v>1454</v>
      </c>
      <c r="E65" s="1172" t="s">
        <v>1455</v>
      </c>
      <c r="F65" s="376">
        <f t="shared" ca="1" si="0"/>
        <v>1.5E-3</v>
      </c>
      <c r="I65" s="1931" t="s">
        <v>1579</v>
      </c>
      <c r="J65" s="1932">
        <v>40</v>
      </c>
      <c r="K65" s="1932">
        <v>30</v>
      </c>
      <c r="L65" s="1932">
        <v>50</v>
      </c>
      <c r="M65" s="1934">
        <v>0.02</v>
      </c>
      <c r="O65" s="1886" t="s">
        <v>1040</v>
      </c>
      <c r="P65" s="1887" t="s">
        <v>1580</v>
      </c>
      <c r="Q65" s="1888">
        <f ca="1">C40+J29</f>
        <v>7879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629</v>
      </c>
      <c r="R67" s="1888" t="s">
        <v>1582</v>
      </c>
    </row>
    <row r="68" spans="1:18" s="1844" customFormat="1" ht="16.5" thickBot="1">
      <c r="A68" s="1169" t="s">
        <v>1032</v>
      </c>
      <c r="B68" s="1170" t="s">
        <v>1485</v>
      </c>
      <c r="C68" s="346">
        <f ca="1">ROUND(C67*(1-((1+F70)/(1+F68))^F69)/(F68-F70),0)</f>
        <v>-1530</v>
      </c>
      <c r="D68" s="1187" t="s">
        <v>1469</v>
      </c>
      <c r="E68" s="1172" t="s">
        <v>1470</v>
      </c>
      <c r="F68" s="357">
        <f ca="1">F40</f>
        <v>0.05</v>
      </c>
      <c r="O68" s="1896" t="s">
        <v>1043</v>
      </c>
      <c r="P68" s="1936" t="s">
        <v>1583</v>
      </c>
      <c r="Q68" s="1888">
        <f ca="1">ROUND(Q69-Q70*Q71,0)</f>
        <v>34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343</v>
      </c>
      <c r="R69" s="1888" t="s">
        <v>1529</v>
      </c>
    </row>
    <row r="70" spans="1:18" s="1844" customFormat="1" ht="13.5" thickBot="1">
      <c r="A70" s="1176"/>
      <c r="B70" s="1177"/>
      <c r="C70" s="355"/>
      <c r="D70" s="1188"/>
      <c r="E70" s="1172" t="s">
        <v>1477</v>
      </c>
      <c r="F70" s="1278"/>
      <c r="O70" s="1896" t="s">
        <v>1049</v>
      </c>
      <c r="P70" s="1936" t="s">
        <v>1585</v>
      </c>
      <c r="Q70" s="1888">
        <f ca="1">C13</f>
        <v>3641</v>
      </c>
      <c r="R70" s="1888" t="s">
        <v>1529</v>
      </c>
    </row>
    <row r="71" spans="1:18" s="1844" customFormat="1" ht="13.5" thickBot="1">
      <c r="A71" s="1193" t="s">
        <v>1033</v>
      </c>
      <c r="B71" s="1194" t="s">
        <v>1487</v>
      </c>
      <c r="C71" s="382">
        <f ca="1">ROUND(C68*10000/F71,0)</f>
        <v>-1083</v>
      </c>
      <c r="D71" s="1195" t="s">
        <v>1488</v>
      </c>
      <c r="E71" s="1196" t="s">
        <v>1489</v>
      </c>
      <c r="F71" s="385">
        <f ca="1">F43</f>
        <v>14131.06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309</v>
      </c>
      <c r="D75" s="1844"/>
      <c r="E75" s="1844"/>
      <c r="F75" s="1844"/>
      <c r="K75" s="1870"/>
      <c r="L75" s="1844"/>
      <c r="O75" s="1886" t="s">
        <v>1046</v>
      </c>
      <c r="P75" s="1887" t="s">
        <v>1549</v>
      </c>
      <c r="Q75" s="1888">
        <f ca="1">Q65+Q66</f>
        <v>7879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9.8999999999999977E-2</v>
      </c>
    </row>
    <row r="80" spans="1:18">
      <c r="B80" s="386" t="s">
        <v>1511</v>
      </c>
      <c r="C80" s="318">
        <f ca="1">ROUND(C75/C39,3)</f>
        <v>0.90100000000000002</v>
      </c>
    </row>
    <row r="81" spans="2:3">
      <c r="B81" s="314" t="s">
        <v>1512</v>
      </c>
      <c r="C81" s="282"/>
    </row>
    <row r="82" spans="2:3">
      <c r="B82" s="317" t="s">
        <v>1513</v>
      </c>
      <c r="C82" s="319">
        <f ca="1">1-C83</f>
        <v>0.53800000000000003</v>
      </c>
    </row>
    <row r="83" spans="2:3">
      <c r="B83" s="317" t="s">
        <v>1514</v>
      </c>
      <c r="C83" s="318">
        <f ca="1">ROUND(C13/C40,3)</f>
        <v>0.46200000000000002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3081</v>
      </c>
      <c r="D1" s="1822" t="s">
        <v>70</v>
      </c>
      <c r="E1" s="1823" t="s">
        <v>1387</v>
      </c>
      <c r="F1" s="1286">
        <f ca="1">J53</f>
        <v>35.44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1378</v>
      </c>
      <c r="C2" s="1847" t="s">
        <v>1516</v>
      </c>
      <c r="D2" s="1847"/>
      <c r="E2" s="1848"/>
      <c r="F2" s="1849"/>
      <c r="G2" s="1850"/>
      <c r="H2" s="1842"/>
      <c r="I2" s="1842"/>
      <c r="J2" s="1842"/>
      <c r="K2" s="1843"/>
      <c r="L2" s="1842"/>
      <c r="M2" s="1842"/>
    </row>
    <row r="3" spans="1:37" ht="18" customHeight="1" thickBot="1">
      <c r="A3" s="1851" t="s">
        <v>1517</v>
      </c>
      <c r="B3" s="1852">
        <f ca="1">IF(ISERROR(B2*10000/F43),0,ROUND(B2*10000/F43,0))</f>
        <v>7574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78</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78</v>
      </c>
      <c r="D6" s="164" t="s">
        <v>3032</v>
      </c>
      <c r="E6" s="347" t="s">
        <v>1405</v>
      </c>
      <c r="F6" s="348">
        <f ca="1">INDIRECT("'数据-取费表'!u"&amp;$G$1)</f>
        <v>1.3</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2940" t="s">
        <v>1406</v>
      </c>
      <c r="F7" s="348">
        <f ca="1">IF(INDIRECT("'数据-取费表'!ah"&amp;$G$1)="",INDIRECT("'数据-取费表'!k"&amp;$G$1),INDIRECT("'数据-取费表'!ah"&amp;$G$1))</f>
        <v>1819.3</v>
      </c>
      <c r="G7" s="1853"/>
      <c r="H7" s="349"/>
      <c r="I7" s="3174"/>
      <c r="J7" s="351"/>
      <c r="K7" s="352"/>
      <c r="L7" s="347" t="s">
        <v>1406</v>
      </c>
      <c r="M7" s="348">
        <f ca="1">F7</f>
        <v>1819.3</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538</v>
      </c>
      <c r="D13" s="1334" t="s">
        <v>1415</v>
      </c>
      <c r="E13" s="1334" t="s">
        <v>1416</v>
      </c>
      <c r="F13" s="1335">
        <f ca="1">INDIRECT("'数据-取费表'!y"&amp;$G$1)</f>
        <v>0.82</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473</v>
      </c>
      <c r="D14" s="2943" t="s">
        <v>1418</v>
      </c>
      <c r="E14" s="2942"/>
      <c r="F14" s="364"/>
      <c r="G14" s="1853"/>
      <c r="H14" s="1204" t="s">
        <v>1035</v>
      </c>
      <c r="I14" s="347" t="s">
        <v>1419</v>
      </c>
      <c r="J14" s="24">
        <f ca="1">C29</f>
        <v>656</v>
      </c>
      <c r="K14" s="2939"/>
      <c r="L14" s="982"/>
      <c r="M14" s="983"/>
    </row>
    <row r="15" spans="1:37" s="1860" customFormat="1" ht="18" customHeight="1" thickBot="1">
      <c r="A15" s="1204" t="s">
        <v>1036</v>
      </c>
      <c r="B15" s="347" t="s">
        <v>1420</v>
      </c>
      <c r="C15" s="24">
        <f ca="1">ROUND(C14*F15,0)</f>
        <v>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45"/>
      <c r="M16" s="1297"/>
    </row>
    <row r="17" spans="1:37" s="1860" customFormat="1" ht="18" customHeight="1">
      <c r="A17" s="1204" t="s">
        <v>1390</v>
      </c>
      <c r="B17" s="347" t="s">
        <v>1426</v>
      </c>
      <c r="C17" s="24">
        <f ca="1">ROUND(F17*(F43+INDIRECT("'数据-取费表'!S"&amp;$G$1))/10000,0)</f>
        <v>36</v>
      </c>
      <c r="D17" s="347" t="s">
        <v>1427</v>
      </c>
      <c r="E17" s="347" t="s">
        <v>1428</v>
      </c>
      <c r="F17" s="26">
        <f>'数据-取费表'!B35</f>
        <v>200</v>
      </c>
      <c r="G17" s="1856"/>
      <c r="H17" s="1204" t="s">
        <v>1035</v>
      </c>
      <c r="I17" s="347" t="s">
        <v>1429</v>
      </c>
      <c r="J17" s="24">
        <f ca="1">ROUND(IF(项目基本情况!B11="自然人",J5*M17,J18+J19+J20),1)</f>
        <v>5.9</v>
      </c>
      <c r="K17" s="2943" t="s">
        <v>1430</v>
      </c>
      <c r="L17" s="2944"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v>
      </c>
      <c r="D18" s="347" t="s">
        <v>1421</v>
      </c>
      <c r="E18" s="347" t="s">
        <v>1422</v>
      </c>
      <c r="F18" s="367">
        <f>'数据-取费表'!B36</f>
        <v>1.4999999999999999E-2</v>
      </c>
      <c r="G18" s="1856"/>
      <c r="H18" s="1204" t="s">
        <v>1034</v>
      </c>
      <c r="I18" s="347" t="s">
        <v>1433</v>
      </c>
      <c r="J18" s="24">
        <f ca="1">ROUND(J5*M18/(1+'数据-取费表'!C42),2)</f>
        <v>0</v>
      </c>
      <c r="K18" s="2944"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530</v>
      </c>
      <c r="D19" s="140" t="s">
        <v>1436</v>
      </c>
      <c r="E19" s="2938"/>
      <c r="F19" s="26"/>
      <c r="G19" s="1853"/>
      <c r="H19" s="1204" t="s">
        <v>1036</v>
      </c>
      <c r="I19" s="347" t="s">
        <v>1437</v>
      </c>
      <c r="J19" s="24">
        <f ca="1">IF(K19="按租金收入计税",ROUND(J5*M19,2),ROUND(C29*M19*0.7,2))</f>
        <v>5.51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v>
      </c>
      <c r="D20" s="369" t="s">
        <v>1440</v>
      </c>
      <c r="E20" s="347" t="s">
        <v>1422</v>
      </c>
      <c r="F20" s="367">
        <f>'数据-取费表'!B37</f>
        <v>0.02</v>
      </c>
      <c r="G20" s="1856"/>
      <c r="H20" s="1204" t="s">
        <v>1389</v>
      </c>
      <c r="I20" s="164" t="s">
        <v>1441</v>
      </c>
      <c r="J20" s="25">
        <f ca="1">ROUND(M20*M21/10000,2)</f>
        <v>0.41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2762.05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38"/>
      <c r="F22" s="26"/>
      <c r="G22" s="1853"/>
      <c r="H22" s="1204" t="s">
        <v>1039</v>
      </c>
      <c r="I22" s="347" t="s">
        <v>1449</v>
      </c>
      <c r="J22" s="24">
        <f ca="1">ROUND(J14*M22,1)</f>
        <v>6.6</v>
      </c>
      <c r="K22" s="2944"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294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38"/>
      <c r="F25" s="26"/>
      <c r="G25" s="1853"/>
      <c r="H25" s="1332" t="s">
        <v>1031</v>
      </c>
      <c r="I25" s="1347" t="s">
        <v>1463</v>
      </c>
      <c r="J25" s="355">
        <f ca="1">J5-J16</f>
        <v>-13</v>
      </c>
      <c r="K25" s="1348" t="s">
        <v>1464</v>
      </c>
      <c r="L25" s="1349"/>
      <c r="M25" s="1350"/>
    </row>
    <row r="26" spans="1:37">
      <c r="A26" s="1204" t="s">
        <v>1034</v>
      </c>
      <c r="B26" s="347" t="s">
        <v>1465</v>
      </c>
      <c r="C26" s="24">
        <f ca="1">ROUND((C19+C20)*F26,0)</f>
        <v>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656</v>
      </c>
      <c r="D29" s="1345"/>
      <c r="E29" s="1343"/>
      <c r="F29" s="1346"/>
      <c r="G29" s="1856"/>
      <c r="H29" s="380" t="s">
        <v>1033</v>
      </c>
      <c r="I29" s="381" t="s">
        <v>1479</v>
      </c>
      <c r="J29" s="382">
        <f ca="1">ROUND(J26/(1+F40)^F41,0)</f>
        <v>0</v>
      </c>
      <c r="K29" s="383" t="s">
        <v>1480</v>
      </c>
      <c r="L29" s="384"/>
      <c r="M29" s="385">
        <f ca="1">INDIRECT("'数据-取费表'!k"&amp;$G$1)</f>
        <v>1819.3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18</v>
      </c>
      <c r="D30" s="1340" t="s">
        <v>1425</v>
      </c>
      <c r="E30" s="2945"/>
      <c r="F30" s="1297"/>
      <c r="G30" s="1853"/>
      <c r="H30" s="745"/>
      <c r="I30" s="746"/>
      <c r="J30" s="747"/>
      <c r="K30" s="748"/>
      <c r="L30" s="749"/>
      <c r="M30" s="750"/>
    </row>
    <row r="31" spans="1:37" ht="18" customHeight="1">
      <c r="A31" s="1204" t="s">
        <v>1035</v>
      </c>
      <c r="B31" s="347" t="s">
        <v>1429</v>
      </c>
      <c r="C31" s="24">
        <f ca="1">ROUND(IF(项目基本情况!B11="自然人",C5*F31,C32+C33+C34),1)</f>
        <v>10</v>
      </c>
      <c r="D31" s="2943" t="s">
        <v>1430</v>
      </c>
      <c r="E31" s="2944"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4.09</v>
      </c>
      <c r="D32" s="2944"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5.51</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0.41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2762.05</v>
      </c>
      <c r="G35" s="1853"/>
      <c r="H35" s="745"/>
      <c r="I35" s="1862"/>
      <c r="J35" s="1863"/>
      <c r="K35" s="1864"/>
      <c r="L35" s="1861"/>
      <c r="M35" s="1861"/>
    </row>
    <row r="36" spans="1:18" ht="18" customHeight="1">
      <c r="A36" s="1355" t="s">
        <v>1039</v>
      </c>
      <c r="B36" s="347" t="s">
        <v>1449</v>
      </c>
      <c r="C36" s="24">
        <f ca="1">ROUND(C29*F36,1)</f>
        <v>6.6</v>
      </c>
      <c r="D36" s="2944"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0.8</v>
      </c>
      <c r="D37" s="2944"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60</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1378</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7574</v>
      </c>
      <c r="D43" s="383" t="s">
        <v>1488</v>
      </c>
      <c r="E43" s="384" t="s">
        <v>1489</v>
      </c>
      <c r="F43" s="385">
        <f ca="1">INDIRECT("'数据-取费表'!k"&amp;$G$1)</f>
        <v>1819.3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-1592</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1378</v>
      </c>
      <c r="R47" s="1888" t="s">
        <v>1529</v>
      </c>
    </row>
    <row r="48" spans="1:18" s="1844" customFormat="1" ht="28.5" thickBot="1">
      <c r="A48" s="1363" t="s">
        <v>1135</v>
      </c>
      <c r="B48" s="345" t="s">
        <v>1401</v>
      </c>
      <c r="C48" s="2937">
        <f ca="1">C49+C53+C55</f>
        <v>0</v>
      </c>
      <c r="D48" s="1365"/>
      <c r="E48" s="1366"/>
      <c r="F48" s="1184"/>
      <c r="G48" s="792"/>
      <c r="H48" s="793"/>
      <c r="I48" s="1889" t="s">
        <v>1530</v>
      </c>
      <c r="J48" s="1890" t="s">
        <v>3092</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2005</v>
      </c>
      <c r="K49" s="1891" t="s">
        <v>1535</v>
      </c>
      <c r="L49" s="1895"/>
      <c r="O49" s="1896" t="s">
        <v>1042</v>
      </c>
      <c r="P49" s="1887" t="s">
        <v>1536</v>
      </c>
      <c r="Q49" s="1888">
        <f ca="1">C29</f>
        <v>656</v>
      </c>
      <c r="R49" s="1888" t="s">
        <v>1529</v>
      </c>
    </row>
    <row r="50" spans="1:18" s="1844" customFormat="1" ht="13.5" thickBot="1">
      <c r="A50" s="1198"/>
      <c r="B50" s="1201"/>
      <c r="C50" s="1371"/>
      <c r="D50" s="1175"/>
      <c r="E50" s="1280" t="s">
        <v>1406</v>
      </c>
      <c r="F50" s="1281">
        <f ca="1">F7</f>
        <v>1819.3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47</v>
      </c>
      <c r="K51" s="1902" t="s">
        <v>1541</v>
      </c>
      <c r="L51" s="1903">
        <f ca="1">ROUND(-PV(INDIRECT("'数据-取费表'!h"&amp;$G$1),L48,(C39-C13*C76),0),0)</f>
        <v>268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1378</v>
      </c>
      <c r="R53" s="1888" t="s">
        <v>1047</v>
      </c>
    </row>
    <row r="54" spans="1:18" s="1844" customFormat="1" ht="13.5" thickBot="1">
      <c r="A54" s="1408"/>
      <c r="B54" s="1827" t="s">
        <v>1388</v>
      </c>
      <c r="C54" s="1181"/>
      <c r="D54" s="1826"/>
      <c r="E54" s="294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538</v>
      </c>
      <c r="D56" s="1916"/>
      <c r="E56" s="1917"/>
      <c r="F56" s="1909"/>
      <c r="I56" s="1918" t="s">
        <v>1554</v>
      </c>
      <c r="J56" s="1919" t="s">
        <v>3055</v>
      </c>
      <c r="K56" s="1889" t="s">
        <v>1555</v>
      </c>
      <c r="L56" s="1892" t="str">
        <f ca="1">IF(L48&lt;J51,"——",L48-J53)</f>
        <v>——</v>
      </c>
      <c r="O56" s="1886" t="s">
        <v>1040</v>
      </c>
      <c r="P56" s="1887" t="s">
        <v>1528</v>
      </c>
      <c r="Q56" s="1888">
        <f ca="1">C40+J29</f>
        <v>1378</v>
      </c>
      <c r="R56" s="1888" t="s">
        <v>1529</v>
      </c>
    </row>
    <row r="57" spans="1:18" s="1844" customFormat="1" ht="24.75" thickBot="1">
      <c r="A57" s="1920"/>
      <c r="B57" s="1172" t="s">
        <v>1478</v>
      </c>
      <c r="C57" s="282">
        <f ca="1">C29</f>
        <v>656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5.51</v>
      </c>
      <c r="D61" s="1830" t="s">
        <v>1438</v>
      </c>
      <c r="E61" s="1172" t="s">
        <v>1422</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0.41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1378</v>
      </c>
      <c r="R62" s="1888" t="s">
        <v>1047</v>
      </c>
    </row>
    <row r="63" spans="1:18" s="1844" customFormat="1" ht="13.5" thickBot="1">
      <c r="A63" s="372"/>
      <c r="B63" s="1178"/>
      <c r="C63" s="29"/>
      <c r="D63" s="1188"/>
      <c r="E63" s="1172" t="s">
        <v>1447</v>
      </c>
      <c r="F63" s="348">
        <f t="shared" ca="1" si="0"/>
        <v>2762.05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6.6</v>
      </c>
      <c r="D64" s="1186" t="s">
        <v>1482</v>
      </c>
      <c r="E64" s="1172" t="s">
        <v>1422</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1422</v>
      </c>
      <c r="F65" s="376">
        <f t="shared" ca="1" si="0"/>
        <v>1.5E-3</v>
      </c>
      <c r="I65" s="1931" t="s">
        <v>1579</v>
      </c>
      <c r="J65" s="1932">
        <v>40</v>
      </c>
      <c r="K65" s="1932">
        <v>30</v>
      </c>
      <c r="L65" s="1932">
        <v>50</v>
      </c>
      <c r="M65" s="1934">
        <v>0.02</v>
      </c>
      <c r="O65" s="1886" t="s">
        <v>1040</v>
      </c>
      <c r="P65" s="1887" t="s">
        <v>1528</v>
      </c>
      <c r="Q65" s="1888">
        <f ca="1">C40+J29</f>
        <v>1378</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-13</v>
      </c>
      <c r="D67" s="1185" t="s">
        <v>1464</v>
      </c>
      <c r="E67" s="1190"/>
      <c r="F67" s="1191"/>
      <c r="O67" s="1896" t="s">
        <v>1042</v>
      </c>
      <c r="P67" s="1887" t="s">
        <v>1562</v>
      </c>
      <c r="Q67" s="1935">
        <f ca="1">L51</f>
        <v>268</v>
      </c>
      <c r="R67" s="1888" t="s">
        <v>1582</v>
      </c>
    </row>
    <row r="68" spans="1:18" s="1844" customFormat="1" ht="16.5" thickBot="1">
      <c r="A68" s="1169" t="s">
        <v>1032</v>
      </c>
      <c r="B68" s="1170" t="s">
        <v>1485</v>
      </c>
      <c r="C68" s="346">
        <f ca="1">ROUND(C67*(1-((1+F70)/(1+F68))^F69)/(F68-F70),0)</f>
        <v>-214</v>
      </c>
      <c r="D68" s="1187" t="s">
        <v>1469</v>
      </c>
      <c r="E68" s="1172" t="s">
        <v>1470</v>
      </c>
      <c r="F68" s="357">
        <f ca="1">F40</f>
        <v>0.05</v>
      </c>
      <c r="O68" s="1896" t="s">
        <v>1043</v>
      </c>
      <c r="P68" s="1936" t="s">
        <v>1583</v>
      </c>
      <c r="Q68" s="1888">
        <f ca="1">ROUND(Q69-Q70*Q71,0)</f>
        <v>14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60</v>
      </c>
      <c r="R69" s="1888" t="s">
        <v>1529</v>
      </c>
    </row>
    <row r="70" spans="1:18" s="1844" customFormat="1" ht="13.5" thickBot="1">
      <c r="A70" s="1176"/>
      <c r="B70" s="1177"/>
      <c r="C70" s="355"/>
      <c r="D70" s="1188"/>
      <c r="E70" s="1172" t="s">
        <v>1477</v>
      </c>
      <c r="F70" s="1278"/>
      <c r="O70" s="1896" t="s">
        <v>1049</v>
      </c>
      <c r="P70" s="1936" t="s">
        <v>1585</v>
      </c>
      <c r="Q70" s="1888">
        <f ca="1">C13</f>
        <v>538</v>
      </c>
      <c r="R70" s="1888" t="s">
        <v>1529</v>
      </c>
    </row>
    <row r="71" spans="1:18" s="1844" customFormat="1" ht="13.5" thickBot="1">
      <c r="A71" s="1193" t="s">
        <v>1033</v>
      </c>
      <c r="B71" s="1194" t="s">
        <v>1487</v>
      </c>
      <c r="C71" s="382">
        <f ca="1">ROUND(C68*10000/F71,0)</f>
        <v>-1176</v>
      </c>
      <c r="D71" s="1195" t="s">
        <v>1488</v>
      </c>
      <c r="E71" s="1196" t="s">
        <v>1489</v>
      </c>
      <c r="F71" s="385">
        <f ca="1">F43</f>
        <v>1819.3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46</v>
      </c>
      <c r="D75" s="1844"/>
      <c r="E75" s="1844"/>
      <c r="F75" s="1844"/>
      <c r="K75" s="1870"/>
      <c r="L75" s="1844"/>
      <c r="O75" s="1886" t="s">
        <v>1046</v>
      </c>
      <c r="P75" s="1887" t="s">
        <v>1549</v>
      </c>
      <c r="Q75" s="1888">
        <f ca="1">Q65+Q66</f>
        <v>1378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0.23299999999999998</v>
      </c>
    </row>
    <row r="80" spans="1:18">
      <c r="B80" s="386" t="s">
        <v>1511</v>
      </c>
      <c r="C80" s="318">
        <f ca="1">ROUND(C75/C39,3)</f>
        <v>0.76700000000000002</v>
      </c>
    </row>
    <row r="81" spans="2:3">
      <c r="B81" s="314" t="s">
        <v>1512</v>
      </c>
      <c r="C81" s="282"/>
    </row>
    <row r="82" spans="2:3">
      <c r="B82" s="317" t="s">
        <v>1513</v>
      </c>
      <c r="C82" s="319">
        <f ca="1">1-C83</f>
        <v>0.61</v>
      </c>
    </row>
    <row r="83" spans="2:3">
      <c r="B83" s="317" t="s">
        <v>1514</v>
      </c>
      <c r="C83" s="318">
        <f ca="1">ROUND(C13/C40,3)</f>
        <v>0.39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73" t="s">
        <v>1403</v>
      </c>
      <c r="C6" s="1299">
        <f ca="1">ROUND(F6*F8*F7*(1-F9),0)</f>
        <v>0</v>
      </c>
      <c r="D6" s="164" t="s">
        <v>3029</v>
      </c>
      <c r="E6" s="347" t="s">
        <v>1405</v>
      </c>
      <c r="F6" s="348">
        <f ca="1">INDIRECT("'数据-取费表'!u"&amp;$G$1)</f>
        <v>0</v>
      </c>
      <c r="G6" s="1853"/>
      <c r="H6" s="1294" t="s">
        <v>1035</v>
      </c>
      <c r="I6" s="3173" t="s">
        <v>1403</v>
      </c>
      <c r="J6" s="346">
        <f ca="1">ROUND(M6*M8*M7*(1-M9),0)</f>
        <v>0</v>
      </c>
      <c r="K6" s="1836" t="s">
        <v>3030</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3"/>
      <c r="H7" s="349"/>
      <c r="I7" s="3174"/>
      <c r="J7" s="351"/>
      <c r="K7" s="352"/>
      <c r="L7" s="347" t="s">
        <v>1406</v>
      </c>
      <c r="M7" s="348">
        <f ca="1">F7</f>
        <v>0</v>
      </c>
    </row>
    <row r="8" spans="1:37" ht="18" customHeight="1">
      <c r="A8" s="349"/>
      <c r="B8" s="3174"/>
      <c r="C8" s="351"/>
      <c r="D8" s="352"/>
      <c r="E8" s="347" t="s">
        <v>1407</v>
      </c>
      <c r="F8" s="348">
        <f ca="1">INDIRECT("'数据-取费表'!ai"&amp;$G$1)</f>
        <v>0</v>
      </c>
      <c r="G8" s="1853"/>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IF(M47="住宅",J51,IF(D1="——",MIN(J51,L48),IF(D1="在建（套用方法）",MIN(J51,L48-'数据-取费表'!B24),IF(D1="土地（套用方法）",MIN(J51,L48-'数据-取费表'!B20)))))</f>
        <v>0</v>
      </c>
      <c r="K53" s="3171" t="s">
        <v>1548</v>
      </c>
      <c r="L53" s="317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1076</v>
      </c>
      <c r="B1" s="3193"/>
      <c r="C1" s="3194"/>
      <c r="D1" s="3195">
        <f>SUM(I10,I15,I20,I21,I23)</f>
        <v>0</v>
      </c>
      <c r="E1" s="3195"/>
      <c r="F1" s="3195"/>
      <c r="G1" s="3195"/>
      <c r="H1" s="3195"/>
      <c r="I1" s="3196"/>
    </row>
    <row r="2" spans="1:9">
      <c r="A2" s="3182" t="s">
        <v>1077</v>
      </c>
      <c r="B2" s="3183" t="s">
        <v>1078</v>
      </c>
      <c r="C2" s="3183"/>
      <c r="D2" s="1304" t="s">
        <v>1079</v>
      </c>
      <c r="E2" s="1304" t="s">
        <v>1080</v>
      </c>
      <c r="F2" s="1304" t="s">
        <v>1081</v>
      </c>
      <c r="G2" s="1304" t="s">
        <v>1082</v>
      </c>
      <c r="H2" s="1304" t="s">
        <v>1083</v>
      </c>
      <c r="I2" s="1305" t="s">
        <v>1084</v>
      </c>
    </row>
    <row r="3" spans="1:9">
      <c r="A3" s="3182"/>
      <c r="B3" s="3183" t="s">
        <v>1085</v>
      </c>
      <c r="C3" s="3183"/>
      <c r="D3" s="1306"/>
      <c r="E3" s="1304"/>
      <c r="F3" s="1307"/>
      <c r="G3" s="1307"/>
      <c r="H3" s="1308"/>
      <c r="I3" s="1309">
        <f>ROUND(D3*E3*F3*G3*H3/10000,0)</f>
        <v>0</v>
      </c>
    </row>
    <row r="4" spans="1:9">
      <c r="A4" s="3182"/>
      <c r="B4" s="3183" t="s">
        <v>1086</v>
      </c>
      <c r="C4" s="3183"/>
      <c r="D4" s="1306"/>
      <c r="E4" s="1304"/>
      <c r="F4" s="1307"/>
      <c r="G4" s="1307"/>
      <c r="H4" s="1308"/>
      <c r="I4" s="1309">
        <f t="shared" ref="I4:I9" si="0">ROUND(D4*E4*F4*G4*H4/10000,0)</f>
        <v>0</v>
      </c>
    </row>
    <row r="5" spans="1:9">
      <c r="A5" s="3182"/>
      <c r="B5" s="3183" t="s">
        <v>1087</v>
      </c>
      <c r="C5" s="3183"/>
      <c r="D5" s="1306"/>
      <c r="E5" s="1304"/>
      <c r="F5" s="1307"/>
      <c r="G5" s="1307"/>
      <c r="H5" s="1308"/>
      <c r="I5" s="1309">
        <f t="shared" si="0"/>
        <v>0</v>
      </c>
    </row>
    <row r="6" spans="1:9">
      <c r="A6" s="3182"/>
      <c r="B6" s="3183" t="s">
        <v>1088</v>
      </c>
      <c r="C6" s="3183"/>
      <c r="D6" s="1306"/>
      <c r="E6" s="1304"/>
      <c r="F6" s="1307"/>
      <c r="G6" s="1307"/>
      <c r="H6" s="1308"/>
      <c r="I6" s="1309">
        <f t="shared" si="0"/>
        <v>0</v>
      </c>
    </row>
    <row r="7" spans="1:9">
      <c r="A7" s="3182"/>
      <c r="B7" s="3183" t="s">
        <v>1089</v>
      </c>
      <c r="C7" s="3183"/>
      <c r="D7" s="1306"/>
      <c r="E7" s="1304"/>
      <c r="F7" s="1307"/>
      <c r="G7" s="1307"/>
      <c r="H7" s="1308"/>
      <c r="I7" s="1309">
        <f t="shared" si="0"/>
        <v>0</v>
      </c>
    </row>
    <row r="8" spans="1:9">
      <c r="A8" s="3182"/>
      <c r="B8" s="3183" t="s">
        <v>1090</v>
      </c>
      <c r="C8" s="3183"/>
      <c r="D8" s="1306"/>
      <c r="E8" s="1304"/>
      <c r="F8" s="1307"/>
      <c r="G8" s="1307"/>
      <c r="H8" s="1308"/>
      <c r="I8" s="1309">
        <f t="shared" si="0"/>
        <v>0</v>
      </c>
    </row>
    <row r="9" spans="1:9">
      <c r="A9" s="3182"/>
      <c r="B9" s="3183" t="s">
        <v>1091</v>
      </c>
      <c r="C9" s="3183"/>
      <c r="D9" s="1306"/>
      <c r="E9" s="1304"/>
      <c r="F9" s="1307"/>
      <c r="G9" s="1307"/>
      <c r="H9" s="1308"/>
      <c r="I9" s="1309">
        <f t="shared" si="0"/>
        <v>0</v>
      </c>
    </row>
    <row r="10" spans="1:9">
      <c r="A10" s="3182"/>
      <c r="B10" s="3184" t="s">
        <v>1092</v>
      </c>
      <c r="C10" s="3184"/>
      <c r="D10" s="1310"/>
      <c r="E10" s="1310" t="e">
        <f>ROUND(D1*10000/D10/H9,0)</f>
        <v>#DIV/0!</v>
      </c>
      <c r="F10" s="1311"/>
      <c r="G10" s="1311"/>
      <c r="H10" s="1312"/>
      <c r="I10" s="1313">
        <f>SUM(I3:I9)</f>
        <v>0</v>
      </c>
    </row>
    <row r="11" spans="1:9" ht="14.25">
      <c r="A11" s="3182" t="s">
        <v>1093</v>
      </c>
      <c r="B11" s="3183" t="s">
        <v>1094</v>
      </c>
      <c r="C11" s="3183"/>
      <c r="D11" s="1306" t="s">
        <v>1095</v>
      </c>
      <c r="E11" s="1306" t="s">
        <v>1096</v>
      </c>
      <c r="F11" s="1307" t="s">
        <v>1097</v>
      </c>
      <c r="G11" s="1307" t="s">
        <v>1083</v>
      </c>
      <c r="H11" s="1314" t="s">
        <v>1098</v>
      </c>
      <c r="I11" s="1305" t="s">
        <v>1084</v>
      </c>
    </row>
    <row r="12" spans="1:9">
      <c r="A12" s="3182"/>
      <c r="B12" s="3183" t="s">
        <v>1099</v>
      </c>
      <c r="C12" s="3183"/>
      <c r="D12" s="1306"/>
      <c r="E12" s="1306"/>
      <c r="F12" s="1307"/>
      <c r="G12" s="1308"/>
      <c r="H12" s="1315"/>
      <c r="I12" s="1305">
        <f>ROUND(D12*E12*F12*G12/10000,0)</f>
        <v>0</v>
      </c>
    </row>
    <row r="13" spans="1:9">
      <c r="A13" s="3182"/>
      <c r="B13" s="3183" t="s">
        <v>1100</v>
      </c>
      <c r="C13" s="3183"/>
      <c r="D13" s="1306"/>
      <c r="E13" s="1306"/>
      <c r="F13" s="1307"/>
      <c r="G13" s="1308"/>
      <c r="H13" s="1315"/>
      <c r="I13" s="1305">
        <f>ROUND(D13*E13*F13*G13/10000,0)</f>
        <v>0</v>
      </c>
    </row>
    <row r="14" spans="1:9">
      <c r="A14" s="3182"/>
      <c r="B14" s="3183" t="s">
        <v>1101</v>
      </c>
      <c r="C14" s="3183"/>
      <c r="D14" s="1306"/>
      <c r="E14" s="1306"/>
      <c r="F14" s="1307"/>
      <c r="G14" s="1308"/>
      <c r="H14" s="1315"/>
      <c r="I14" s="1305">
        <f>ROUND(D14*E14*F14*G14/10000,0)</f>
        <v>0</v>
      </c>
    </row>
    <row r="15" spans="1:9">
      <c r="A15" s="3182"/>
      <c r="B15" s="3184" t="s">
        <v>1092</v>
      </c>
      <c r="C15" s="3184"/>
      <c r="D15" s="1310"/>
      <c r="E15" s="1310">
        <f>SUM(E12:E14)</f>
        <v>0</v>
      </c>
      <c r="F15" s="1311"/>
      <c r="G15" s="1308"/>
      <c r="H15" s="1315"/>
      <c r="I15" s="1316">
        <f>SUM(I12:I14)</f>
        <v>0</v>
      </c>
    </row>
    <row r="16" spans="1:9" ht="24">
      <c r="A16" s="3182" t="s">
        <v>1102</v>
      </c>
      <c r="B16" s="3183" t="s">
        <v>1103</v>
      </c>
      <c r="C16" s="3183"/>
      <c r="D16" s="1306" t="s">
        <v>1079</v>
      </c>
      <c r="E16" s="1317" t="s">
        <v>1104</v>
      </c>
      <c r="F16" s="1307" t="s">
        <v>1105</v>
      </c>
      <c r="G16" s="1308" t="s">
        <v>1083</v>
      </c>
      <c r="H16" s="1314" t="s">
        <v>1098</v>
      </c>
      <c r="I16" s="1305" t="s">
        <v>1084</v>
      </c>
    </row>
    <row r="17" spans="1:9" ht="14.25">
      <c r="A17" s="3182"/>
      <c r="B17" s="3183" t="s">
        <v>1106</v>
      </c>
      <c r="C17" s="3183"/>
      <c r="D17" s="1306"/>
      <c r="E17" s="1306"/>
      <c r="F17" s="1307"/>
      <c r="G17" s="1308"/>
      <c r="H17" s="1318"/>
      <c r="I17" s="1319">
        <f>ROUND(D17*E17*F17*G17/10000,0)</f>
        <v>0</v>
      </c>
    </row>
    <row r="18" spans="1:9" ht="14.25">
      <c r="A18" s="3182"/>
      <c r="B18" s="3183" t="s">
        <v>1107</v>
      </c>
      <c r="C18" s="3183"/>
      <c r="D18" s="1306"/>
      <c r="E18" s="1306"/>
      <c r="F18" s="1307"/>
      <c r="G18" s="1308"/>
      <c r="H18" s="1318"/>
      <c r="I18" s="1319">
        <f>ROUND(D18*E18*F18*G18/10000,0)</f>
        <v>0</v>
      </c>
    </row>
    <row r="19" spans="1:9" ht="14.25">
      <c r="A19" s="3182"/>
      <c r="B19" s="3183" t="s">
        <v>1108</v>
      </c>
      <c r="C19" s="3183"/>
      <c r="D19" s="1306"/>
      <c r="E19" s="1306"/>
      <c r="F19" s="1307"/>
      <c r="G19" s="1308"/>
      <c r="H19" s="1318"/>
      <c r="I19" s="1319">
        <f>ROUND(D19*E19*F19*G19/10000,0)</f>
        <v>0</v>
      </c>
    </row>
    <row r="20" spans="1:9">
      <c r="A20" s="3182"/>
      <c r="B20" s="3184" t="s">
        <v>1092</v>
      </c>
      <c r="C20" s="3184"/>
      <c r="D20" s="1310">
        <f>SUM(D17:D19)</f>
        <v>0</v>
      </c>
      <c r="E20" s="1310"/>
      <c r="F20" s="1311"/>
      <c r="G20" s="1308"/>
      <c r="H20" s="1315"/>
      <c r="I20" s="1316">
        <f>SUM(I17:I19)</f>
        <v>0</v>
      </c>
    </row>
    <row r="21" spans="1:9">
      <c r="A21" s="3182" t="s">
        <v>1109</v>
      </c>
      <c r="B21" s="3185"/>
      <c r="C21" s="3185"/>
      <c r="D21" s="3185"/>
      <c r="E21" s="3185"/>
      <c r="F21" s="3185"/>
      <c r="G21" s="3185"/>
      <c r="H21" s="1767">
        <v>0.1</v>
      </c>
      <c r="I21" s="1313">
        <f>ROUND(I10*H21,0)</f>
        <v>0</v>
      </c>
    </row>
    <row r="22" spans="1:9" ht="14.25">
      <c r="A22" s="3186" t="s">
        <v>1110</v>
      </c>
      <c r="B22" s="3187"/>
      <c r="C22" s="3188"/>
      <c r="D22" s="1320" t="s">
        <v>1111</v>
      </c>
      <c r="E22" s="1320" t="s">
        <v>1112</v>
      </c>
      <c r="F22" s="1321" t="s">
        <v>1113</v>
      </c>
      <c r="G22" s="1321" t="s">
        <v>1114</v>
      </c>
      <c r="H22" s="1314" t="s">
        <v>1115</v>
      </c>
      <c r="I22" s="1305" t="s">
        <v>1116</v>
      </c>
    </row>
    <row r="23" spans="1:9" ht="14.25" thickBot="1">
      <c r="A23" s="3189"/>
      <c r="B23" s="3190"/>
      <c r="C23" s="3191"/>
      <c r="D23" s="1322"/>
      <c r="E23" s="1322"/>
      <c r="F23" s="1322"/>
      <c r="G23" s="1323"/>
      <c r="H23" s="1324"/>
      <c r="I23" s="1325">
        <f>ROUND(E23*D23*F23*(1-G23)/10000,0)</f>
        <v>0</v>
      </c>
    </row>
    <row r="26" spans="1:9">
      <c r="A26" s="1326" t="s">
        <v>1117</v>
      </c>
      <c r="B26" s="1326"/>
      <c r="C26" s="1326"/>
      <c r="D26" s="1326"/>
      <c r="E26" s="3179">
        <f>C27-C30-C31-C32</f>
        <v>0</v>
      </c>
      <c r="F26" s="3179"/>
      <c r="G26" s="3179"/>
      <c r="H26" s="1739" t="s">
        <v>1340</v>
      </c>
    </row>
    <row r="27" spans="1:9">
      <c r="A27" s="1327">
        <v>1</v>
      </c>
      <c r="B27" s="1328" t="s">
        <v>1118</v>
      </c>
      <c r="C27" s="1328">
        <f>C28+C29</f>
        <v>0</v>
      </c>
      <c r="D27" s="1328"/>
      <c r="E27" s="3180"/>
      <c r="F27" s="3180"/>
      <c r="G27" s="3180"/>
    </row>
    <row r="28" spans="1:9">
      <c r="A28" s="1329" t="s">
        <v>1119</v>
      </c>
      <c r="B28" s="1328" t="s">
        <v>1120</v>
      </c>
      <c r="C28" s="1328"/>
      <c r="D28" s="1328"/>
      <c r="E28" s="3180"/>
      <c r="F28" s="3180"/>
      <c r="G28" s="318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1"/>
      <c r="F32" s="3181"/>
      <c r="G32" s="3181"/>
    </row>
    <row r="33" spans="1:7" hidden="1">
      <c r="A33" s="3176" t="s">
        <v>1129</v>
      </c>
      <c r="B33" s="3177"/>
      <c r="C33" s="3177"/>
      <c r="D33" s="3178"/>
      <c r="E33" s="3179"/>
      <c r="F33" s="3179"/>
      <c r="G33" s="3179"/>
    </row>
    <row r="34" spans="1:7" hidden="1">
      <c r="A34" s="1331">
        <v>1</v>
      </c>
      <c r="B34" s="1328" t="s">
        <v>1130</v>
      </c>
      <c r="C34" s="1328"/>
      <c r="D34" s="1328"/>
      <c r="E34" s="3180"/>
      <c r="F34" s="3180"/>
      <c r="G34" s="3180"/>
    </row>
    <row r="35" spans="1:7" hidden="1">
      <c r="A35" s="1331">
        <v>2</v>
      </c>
      <c r="B35" s="1328" t="s">
        <v>1131</v>
      </c>
      <c r="C35" s="1328"/>
      <c r="D35" s="1328"/>
      <c r="E35" s="3180"/>
      <c r="F35" s="3180"/>
      <c r="G35" s="3180"/>
    </row>
    <row r="36" spans="1:7" hidden="1">
      <c r="A36" s="1331">
        <v>3</v>
      </c>
      <c r="B36" s="1328" t="s">
        <v>1132</v>
      </c>
      <c r="C36" s="1328"/>
      <c r="D36" s="1328"/>
      <c r="E36" s="3180"/>
      <c r="F36" s="3180"/>
      <c r="G36" s="3180"/>
    </row>
    <row r="37" spans="1:7" hidden="1">
      <c r="A37" s="1331">
        <v>4</v>
      </c>
      <c r="B37" s="1328" t="s">
        <v>1133</v>
      </c>
      <c r="C37" s="1328"/>
      <c r="D37" s="1328"/>
      <c r="E37" s="3180"/>
      <c r="F37" s="3180"/>
      <c r="G37" s="3180"/>
    </row>
    <row r="38" spans="1:7" hidden="1">
      <c r="A38" s="3176" t="s">
        <v>1134</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2530</v>
      </c>
      <c r="C1" s="1636" t="s">
        <v>2531</v>
      </c>
      <c r="D1" s="1623"/>
      <c r="E1" s="2579"/>
      <c r="F1" s="2580" t="s">
        <v>2532</v>
      </c>
      <c r="G1" s="1633" t="s">
        <v>2533</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8" t="e">
        <f ca="1">SUMIF(INDIRECT("'"&amp;F2&amp;"'"&amp;"!A:A"),"承租人权益价值",INDIRECT("'"&amp;F2&amp;"'"&amp;"!c:c"))</f>
        <v>#REF!</v>
      </c>
      <c r="E2" s="2583" t="s">
        <v>2534</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2535</v>
      </c>
      <c r="D3" s="399">
        <f>IF(D1="",'数据-汇总表'!E3,SUMIF('数据-汇总表'!$C19:$C33,D1,'数据-汇总表'!$E19:$E33))</f>
        <v>15950.36</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2536</v>
      </c>
      <c r="B4" s="402"/>
      <c r="C4" s="3215" t="s">
        <v>2537</v>
      </c>
      <c r="D4" s="3216"/>
      <c r="E4" s="3217" t="s">
        <v>2538</v>
      </c>
      <c r="F4" s="3218"/>
      <c r="G4" s="3215" t="s">
        <v>2539</v>
      </c>
      <c r="H4" s="3216"/>
      <c r="I4" s="3215" t="s">
        <v>2540</v>
      </c>
      <c r="J4" s="3216"/>
      <c r="K4" s="2592" t="s">
        <v>2541</v>
      </c>
      <c r="L4" s="1133"/>
      <c r="M4" s="1134"/>
      <c r="N4" s="1134"/>
      <c r="O4" s="1134"/>
      <c r="P4" s="3219" t="s">
        <v>2542</v>
      </c>
      <c r="Q4" s="3220"/>
      <c r="R4" s="3225" t="s">
        <v>2538</v>
      </c>
      <c r="S4" s="3226"/>
      <c r="T4" s="3225" t="s">
        <v>2539</v>
      </c>
      <c r="U4" s="3226"/>
      <c r="V4" s="3231" t="s">
        <v>2540</v>
      </c>
      <c r="W4" s="3231"/>
      <c r="X4" s="1815"/>
      <c r="Y4" s="3225" t="s">
        <v>2542</v>
      </c>
      <c r="Z4" s="3226"/>
      <c r="AA4" s="3212" t="s">
        <v>2538</v>
      </c>
      <c r="AB4" s="3212" t="s">
        <v>2539</v>
      </c>
      <c r="AC4" s="3212" t="s">
        <v>2540</v>
      </c>
    </row>
    <row r="5" spans="1:29" ht="15">
      <c r="A5" s="404"/>
      <c r="B5" s="405"/>
      <c r="C5" s="3234" t="s">
        <v>2543</v>
      </c>
      <c r="D5" s="3235"/>
      <c r="E5" s="3241" t="s">
        <v>2544</v>
      </c>
      <c r="F5" s="3242"/>
      <c r="G5" s="3234" t="s">
        <v>2545</v>
      </c>
      <c r="H5" s="3235"/>
      <c r="I5" s="3234" t="s">
        <v>2546</v>
      </c>
      <c r="J5" s="3235"/>
      <c r="K5" s="2593"/>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2593"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2594"/>
      <c r="L7" s="1135"/>
      <c r="M7" s="1136"/>
      <c r="N7" s="1136"/>
      <c r="O7" s="1136"/>
      <c r="P7" s="3236" t="s">
        <v>2550</v>
      </c>
      <c r="Q7" s="3238"/>
      <c r="R7" s="770" t="s">
        <v>23</v>
      </c>
      <c r="S7" s="771">
        <f t="shared" ref="S7:S15" si="0">F7</f>
        <v>0</v>
      </c>
      <c r="T7" s="770" t="s">
        <v>23</v>
      </c>
      <c r="U7" s="771">
        <f t="shared" ref="U7:U15" si="1">H7</f>
        <v>0</v>
      </c>
      <c r="V7" s="770" t="s">
        <v>23</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2595"/>
      <c r="F8" s="413">
        <f>SUMIF(61:61,E8,62:62)-SUMIF(61:61,C8,62:62)+100</f>
        <v>0</v>
      </c>
      <c r="G8" s="414"/>
      <c r="H8" s="411">
        <f>SUMIF(61:61,G8,62:62)-SUMIF(61:61,C8,62:62)+100</f>
        <v>0</v>
      </c>
      <c r="I8" s="2595"/>
      <c r="J8" s="411">
        <f>SUMIF(61:61,I8,62:62)-SUMIF(61:61,C8,62:62)+100</f>
        <v>0</v>
      </c>
      <c r="K8" s="2594"/>
      <c r="L8" s="1135"/>
      <c r="M8" s="1136"/>
      <c r="N8" s="1136"/>
      <c r="O8" s="1136"/>
      <c r="P8" s="3236" t="s">
        <v>2553</v>
      </c>
      <c r="Q8" s="3237"/>
      <c r="R8" s="770" t="s">
        <v>23</v>
      </c>
      <c r="S8" s="771">
        <f t="shared" si="0"/>
        <v>0</v>
      </c>
      <c r="T8" s="770" t="s">
        <v>23</v>
      </c>
      <c r="U8" s="771">
        <f t="shared" si="1"/>
        <v>0</v>
      </c>
      <c r="V8" s="770" t="s">
        <v>23</v>
      </c>
      <c r="W8" s="771">
        <f t="shared" si="2"/>
        <v>0</v>
      </c>
      <c r="X8" s="772"/>
      <c r="Y8" s="3236" t="s">
        <v>2553</v>
      </c>
      <c r="Z8" s="323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4"/>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2561</v>
      </c>
      <c r="Q15" s="1812" t="str">
        <f t="shared" si="6"/>
        <v>居住社区成熟度</v>
      </c>
      <c r="R15" s="774" t="s">
        <v>21</v>
      </c>
      <c r="S15" s="775">
        <f t="shared" si="0"/>
        <v>100</v>
      </c>
      <c r="T15" s="774" t="s">
        <v>21</v>
      </c>
      <c r="U15" s="775">
        <f t="shared" si="1"/>
        <v>100</v>
      </c>
      <c r="V15" s="774" t="s">
        <v>21</v>
      </c>
      <c r="W15" s="775">
        <f t="shared" si="2"/>
        <v>100</v>
      </c>
      <c r="X15" s="1815"/>
      <c r="Y15" s="3202" t="s">
        <v>2561</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2" t="str">
        <f>B17</f>
        <v>交通便捷度</v>
      </c>
      <c r="R17" s="774" t="s">
        <v>21</v>
      </c>
      <c r="S17" s="775">
        <f>F17</f>
        <v>100</v>
      </c>
      <c r="T17" s="774" t="s">
        <v>21</v>
      </c>
      <c r="U17" s="775">
        <f>H17</f>
        <v>100</v>
      </c>
      <c r="V17" s="774" t="s">
        <v>21</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2096</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2" t="str">
        <f>B19</f>
        <v>公共配套设施</v>
      </c>
      <c r="R19" s="774" t="s">
        <v>21</v>
      </c>
      <c r="S19" s="775">
        <f>F19</f>
        <v>100</v>
      </c>
      <c r="T19" s="774" t="s">
        <v>21</v>
      </c>
      <c r="U19" s="775">
        <f>H19</f>
        <v>100</v>
      </c>
      <c r="V19" s="774" t="s">
        <v>21</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7" t="s">
        <v>2099</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8"/>
      <c r="G22" s="2607"/>
      <c r="H22" s="448"/>
      <c r="I22" s="447"/>
      <c r="J22" s="448"/>
      <c r="K22" s="2608"/>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2" t="str">
        <f>B23</f>
        <v>自然及人文环境</v>
      </c>
      <c r="R23" s="774" t="s">
        <v>21</v>
      </c>
      <c r="S23" s="775">
        <f>F23</f>
        <v>100</v>
      </c>
      <c r="T23" s="774" t="s">
        <v>21</v>
      </c>
      <c r="U23" s="775">
        <f>H23</f>
        <v>100</v>
      </c>
      <c r="V23" s="774" t="s">
        <v>21</v>
      </c>
      <c r="W23" s="775">
        <f>J23</f>
        <v>100</v>
      </c>
      <c r="X23" s="1815"/>
      <c r="Y23" s="3203"/>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1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3"/>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10"/>
      <c r="Q26" s="1812" t="str">
        <f t="shared" si="11"/>
        <v>朝向</v>
      </c>
      <c r="R26" s="774" t="s">
        <v>21</v>
      </c>
      <c r="S26" s="775">
        <f t="shared" si="12"/>
        <v>100</v>
      </c>
      <c r="T26" s="774" t="s">
        <v>21</v>
      </c>
      <c r="U26" s="775">
        <f t="shared" si="13"/>
        <v>100</v>
      </c>
      <c r="V26" s="774" t="s">
        <v>21</v>
      </c>
      <c r="W26" s="775">
        <f t="shared" si="14"/>
        <v>100</v>
      </c>
      <c r="X26" s="1815"/>
      <c r="Y26" s="320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10"/>
      <c r="Q27" s="1797">
        <f t="shared" si="11"/>
        <v>111</v>
      </c>
      <c r="R27" s="770" t="s">
        <v>21</v>
      </c>
      <c r="S27" s="771">
        <f t="shared" si="12"/>
        <v>100</v>
      </c>
      <c r="T27" s="770" t="s">
        <v>21</v>
      </c>
      <c r="U27" s="771">
        <f t="shared" si="13"/>
        <v>100</v>
      </c>
      <c r="V27" s="770" t="s">
        <v>21</v>
      </c>
      <c r="W27" s="771">
        <f t="shared" si="14"/>
        <v>100</v>
      </c>
      <c r="X27" s="772"/>
      <c r="Y27" s="320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10"/>
      <c r="Q28" s="1812">
        <f t="shared" si="11"/>
        <v>111</v>
      </c>
      <c r="R28" s="774" t="s">
        <v>21</v>
      </c>
      <c r="S28" s="775">
        <f t="shared" si="12"/>
        <v>100</v>
      </c>
      <c r="T28" s="774" t="s">
        <v>21</v>
      </c>
      <c r="U28" s="775">
        <f t="shared" si="13"/>
        <v>100</v>
      </c>
      <c r="V28" s="774" t="s">
        <v>21</v>
      </c>
      <c r="W28" s="775">
        <f t="shared" si="14"/>
        <v>100</v>
      </c>
      <c r="X28" s="1815"/>
      <c r="Y28" s="320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10"/>
      <c r="Q29" s="1812">
        <f t="shared" si="11"/>
        <v>111</v>
      </c>
      <c r="R29" s="774" t="s">
        <v>21</v>
      </c>
      <c r="S29" s="775">
        <f t="shared" si="12"/>
        <v>100</v>
      </c>
      <c r="T29" s="774" t="s">
        <v>21</v>
      </c>
      <c r="U29" s="775">
        <f t="shared" si="13"/>
        <v>100</v>
      </c>
      <c r="V29" s="774" t="s">
        <v>21</v>
      </c>
      <c r="W29" s="775">
        <f t="shared" si="14"/>
        <v>100</v>
      </c>
      <c r="X29" s="1815"/>
      <c r="Y29" s="320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10"/>
      <c r="Q30" s="1812">
        <f t="shared" si="11"/>
        <v>111</v>
      </c>
      <c r="R30" s="774" t="s">
        <v>21</v>
      </c>
      <c r="S30" s="775">
        <f t="shared" si="12"/>
        <v>100</v>
      </c>
      <c r="T30" s="774" t="s">
        <v>21</v>
      </c>
      <c r="U30" s="775">
        <f t="shared" si="13"/>
        <v>100</v>
      </c>
      <c r="V30" s="774" t="s">
        <v>21</v>
      </c>
      <c r="W30" s="775">
        <f t="shared" si="14"/>
        <v>100</v>
      </c>
      <c r="X30" s="1815"/>
      <c r="Y30" s="320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10"/>
      <c r="Q31" s="1812">
        <f t="shared" si="11"/>
        <v>111</v>
      </c>
      <c r="R31" s="774" t="s">
        <v>21</v>
      </c>
      <c r="S31" s="775">
        <f t="shared" si="12"/>
        <v>100</v>
      </c>
      <c r="T31" s="774" t="s">
        <v>21</v>
      </c>
      <c r="U31" s="775">
        <f t="shared" si="13"/>
        <v>100</v>
      </c>
      <c r="V31" s="774" t="s">
        <v>21</v>
      </c>
      <c r="W31" s="775">
        <f t="shared" si="14"/>
        <v>100</v>
      </c>
      <c r="X31" s="1815"/>
      <c r="Y31" s="3203"/>
      <c r="Z31" s="1816">
        <f t="shared" si="18"/>
        <v>111</v>
      </c>
      <c r="AA31" s="1813">
        <f t="shared" si="15"/>
        <v>1</v>
      </c>
      <c r="AB31" s="1813">
        <f t="shared" si="16"/>
        <v>1</v>
      </c>
      <c r="AC31" s="1813">
        <f t="shared" si="17"/>
        <v>1</v>
      </c>
    </row>
    <row r="32" spans="1:29" ht="15">
      <c r="A32" s="440" t="s">
        <v>2564</v>
      </c>
      <c r="B32" s="71" t="s">
        <v>2565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204" t="s">
        <v>2566</v>
      </c>
      <c r="Q32" s="1812" t="str">
        <f t="shared" si="11"/>
        <v>建筑类型</v>
      </c>
      <c r="R32" s="774" t="s">
        <v>21</v>
      </c>
      <c r="S32" s="775">
        <f t="shared" si="12"/>
        <v>100</v>
      </c>
      <c r="T32" s="774" t="s">
        <v>21</v>
      </c>
      <c r="U32" s="775">
        <f t="shared" si="13"/>
        <v>100</v>
      </c>
      <c r="V32" s="774" t="s">
        <v>21</v>
      </c>
      <c r="W32" s="775">
        <f t="shared" si="14"/>
        <v>100</v>
      </c>
      <c r="X32" s="1815"/>
      <c r="Y32" s="3207"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3" t="e">
        <f t="shared" si="15"/>
        <v>#N/A</v>
      </c>
      <c r="AB33" s="1813" t="e">
        <f t="shared" si="16"/>
        <v>#N/A</v>
      </c>
      <c r="AC33" s="1813" t="e">
        <f t="shared" si="17"/>
        <v>#N/A</v>
      </c>
    </row>
    <row r="34" spans="1:29" ht="15">
      <c r="A34" s="472"/>
      <c r="B34" s="422" t="s">
        <v>2568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205"/>
      <c r="Q34" s="1812" t="str">
        <f t="shared" si="11"/>
        <v>建筑结构</v>
      </c>
      <c r="R34" s="774" t="s">
        <v>21</v>
      </c>
      <c r="S34" s="775">
        <f t="shared" si="12"/>
        <v>100</v>
      </c>
      <c r="T34" s="774" t="s">
        <v>21</v>
      </c>
      <c r="U34" s="775">
        <f t="shared" si="13"/>
        <v>100</v>
      </c>
      <c r="V34" s="774" t="s">
        <v>21</v>
      </c>
      <c r="W34" s="775">
        <f t="shared" si="14"/>
        <v>100</v>
      </c>
      <c r="X34" s="1815"/>
      <c r="Y34" s="3207"/>
      <c r="Z34" s="1816" t="str">
        <f t="shared" si="18"/>
        <v>建筑结构</v>
      </c>
      <c r="AA34" s="1813">
        <f t="shared" si="15"/>
        <v>1</v>
      </c>
      <c r="AB34" s="1813">
        <f t="shared" si="16"/>
        <v>1</v>
      </c>
      <c r="AC34" s="1813">
        <f t="shared" si="17"/>
        <v>1</v>
      </c>
    </row>
    <row r="35" spans="1:29" ht="15">
      <c r="A35" s="472"/>
      <c r="B35" s="422" t="s">
        <v>2569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205"/>
      <c r="Q35" s="1812" t="str">
        <f t="shared" si="11"/>
        <v>建筑品质</v>
      </c>
      <c r="R35" s="774" t="s">
        <v>21</v>
      </c>
      <c r="S35" s="775">
        <f t="shared" si="12"/>
        <v>100</v>
      </c>
      <c r="T35" s="774" t="s">
        <v>21</v>
      </c>
      <c r="U35" s="775">
        <f t="shared" si="13"/>
        <v>100</v>
      </c>
      <c r="V35" s="774" t="s">
        <v>21</v>
      </c>
      <c r="W35" s="775">
        <f t="shared" si="14"/>
        <v>100</v>
      </c>
      <c r="X35" s="1815"/>
      <c r="Y35" s="3207"/>
      <c r="Z35" s="1816" t="str">
        <f t="shared" si="18"/>
        <v>建筑品质</v>
      </c>
      <c r="AA35" s="1813">
        <f t="shared" si="15"/>
        <v>1</v>
      </c>
      <c r="AB35" s="1813">
        <f t="shared" si="16"/>
        <v>1</v>
      </c>
      <c r="AC35" s="1813">
        <f t="shared" si="17"/>
        <v>1</v>
      </c>
    </row>
    <row r="36" spans="1:29" ht="15">
      <c r="A36" s="472"/>
      <c r="B36" s="422" t="s">
        <v>2570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3"/>
      <c r="M36" s="1134"/>
      <c r="N36" s="1134"/>
      <c r="O36" s="1134"/>
      <c r="P36" s="3205"/>
      <c r="Q36" s="1812" t="str">
        <f t="shared" si="11"/>
        <v>公共部分装修</v>
      </c>
      <c r="R36" s="774" t="s">
        <v>21</v>
      </c>
      <c r="S36" s="775">
        <f t="shared" si="12"/>
        <v>100</v>
      </c>
      <c r="T36" s="774" t="s">
        <v>21</v>
      </c>
      <c r="U36" s="775">
        <f t="shared" si="13"/>
        <v>100</v>
      </c>
      <c r="V36" s="774" t="s">
        <v>21</v>
      </c>
      <c r="W36" s="775">
        <f t="shared" si="14"/>
        <v>100</v>
      </c>
      <c r="X36" s="1815"/>
      <c r="Y36" s="3207"/>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7"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3"/>
      <c r="M38" s="1134"/>
      <c r="N38" s="1134"/>
      <c r="O38" s="1134"/>
      <c r="P38" s="3205" t="s">
        <v>2566</v>
      </c>
      <c r="Q38" s="1812" t="str">
        <f t="shared" si="11"/>
        <v>物业管理</v>
      </c>
      <c r="R38" s="774" t="s">
        <v>21</v>
      </c>
      <c r="S38" s="775">
        <f t="shared" si="12"/>
        <v>100</v>
      </c>
      <c r="T38" s="774" t="s">
        <v>21</v>
      </c>
      <c r="U38" s="775">
        <f t="shared" si="13"/>
        <v>100</v>
      </c>
      <c r="V38" s="774" t="s">
        <v>21</v>
      </c>
      <c r="W38" s="775">
        <f t="shared" si="14"/>
        <v>100</v>
      </c>
      <c r="X38" s="1815"/>
      <c r="Y38" s="3207" t="s">
        <v>2566</v>
      </c>
      <c r="Z38" s="1816" t="str">
        <f t="shared" si="18"/>
        <v>物业管理</v>
      </c>
      <c r="AA38" s="1813">
        <f t="shared" si="15"/>
        <v>1</v>
      </c>
      <c r="AB38" s="1813">
        <f t="shared" si="16"/>
        <v>1</v>
      </c>
      <c r="AC38" s="1813">
        <f t="shared" si="17"/>
        <v>1</v>
      </c>
    </row>
    <row r="39" spans="1:29" ht="15">
      <c r="A39" s="472"/>
      <c r="B39" s="422" t="s">
        <v>2573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205"/>
      <c r="Q39" s="1812" t="str">
        <f t="shared" si="11"/>
        <v>市政基础设施</v>
      </c>
      <c r="R39" s="774" t="s">
        <v>21</v>
      </c>
      <c r="S39" s="775">
        <f t="shared" si="12"/>
        <v>100</v>
      </c>
      <c r="T39" s="774" t="s">
        <v>21</v>
      </c>
      <c r="U39" s="775">
        <f t="shared" si="13"/>
        <v>100</v>
      </c>
      <c r="V39" s="774" t="s">
        <v>21</v>
      </c>
      <c r="W39" s="775">
        <f t="shared" si="14"/>
        <v>100</v>
      </c>
      <c r="X39" s="1815"/>
      <c r="Y39" s="3207"/>
      <c r="Z39" s="1816" t="str">
        <f t="shared" si="18"/>
        <v>市政基础设施</v>
      </c>
      <c r="AA39" s="1813">
        <f t="shared" si="15"/>
        <v>1</v>
      </c>
      <c r="AB39" s="1813">
        <f t="shared" si="16"/>
        <v>1</v>
      </c>
      <c r="AC39" s="1813">
        <f t="shared" si="17"/>
        <v>1</v>
      </c>
    </row>
    <row r="40" spans="1:29" ht="15">
      <c r="A40" s="472"/>
      <c r="B40" s="422" t="s">
        <v>2574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205"/>
      <c r="Q40" s="1812" t="str">
        <f t="shared" si="11"/>
        <v>房型</v>
      </c>
      <c r="R40" s="774" t="s">
        <v>21</v>
      </c>
      <c r="S40" s="775">
        <f t="shared" si="12"/>
        <v>100</v>
      </c>
      <c r="T40" s="774" t="s">
        <v>21</v>
      </c>
      <c r="U40" s="775">
        <f t="shared" si="13"/>
        <v>100</v>
      </c>
      <c r="V40" s="774" t="s">
        <v>21</v>
      </c>
      <c r="W40" s="775">
        <f t="shared" si="14"/>
        <v>100</v>
      </c>
      <c r="X40" s="1815"/>
      <c r="Y40" s="3207"/>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3">
        <f t="shared" si="15"/>
        <v>1</v>
      </c>
      <c r="AB41" s="1813">
        <f t="shared" si="16"/>
        <v>1</v>
      </c>
      <c r="AC41" s="1813">
        <f t="shared" si="17"/>
        <v>1</v>
      </c>
    </row>
    <row r="42" spans="1:29" ht="15">
      <c r="A42" s="472"/>
      <c r="B42" s="422" t="s">
        <v>2576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3"/>
      <c r="M42" s="1134"/>
      <c r="N42" s="1134"/>
      <c r="O42" s="1134"/>
      <c r="P42" s="3205"/>
      <c r="Q42" s="1812" t="str">
        <f t="shared" si="11"/>
        <v>内部装修</v>
      </c>
      <c r="R42" s="774" t="s">
        <v>21</v>
      </c>
      <c r="S42" s="775">
        <f t="shared" si="12"/>
        <v>100</v>
      </c>
      <c r="T42" s="774" t="s">
        <v>21</v>
      </c>
      <c r="U42" s="775">
        <f t="shared" si="13"/>
        <v>100</v>
      </c>
      <c r="V42" s="774" t="s">
        <v>21</v>
      </c>
      <c r="W42" s="775">
        <f t="shared" si="14"/>
        <v>100</v>
      </c>
      <c r="X42" s="1815"/>
      <c r="Y42" s="3207"/>
      <c r="Z42" s="1816" t="str">
        <f t="shared" si="18"/>
        <v>内部装修</v>
      </c>
      <c r="AA42" s="1813">
        <f t="shared" si="15"/>
        <v>1</v>
      </c>
      <c r="AB42" s="1813">
        <f t="shared" si="16"/>
        <v>1</v>
      </c>
      <c r="AC42" s="1813">
        <f t="shared" si="17"/>
        <v>1</v>
      </c>
    </row>
    <row r="43" spans="1:29" ht="15">
      <c r="A43" s="472"/>
      <c r="B43" s="422" t="s">
        <v>2577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205"/>
      <c r="Q43" s="1812" t="str">
        <f t="shared" si="11"/>
        <v>内部装修维护情况</v>
      </c>
      <c r="R43" s="774" t="s">
        <v>21</v>
      </c>
      <c r="S43" s="775">
        <f t="shared" si="12"/>
        <v>100</v>
      </c>
      <c r="T43" s="774" t="s">
        <v>21</v>
      </c>
      <c r="U43" s="775">
        <f t="shared" si="13"/>
        <v>100</v>
      </c>
      <c r="V43" s="774" t="s">
        <v>21</v>
      </c>
      <c r="W43" s="775">
        <f t="shared" si="14"/>
        <v>100</v>
      </c>
      <c r="X43" s="1815"/>
      <c r="Y43" s="3207"/>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05"/>
      <c r="Q44" s="1797">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05"/>
      <c r="Q45" s="1812">
        <f t="shared" si="11"/>
        <v>111</v>
      </c>
      <c r="R45" s="774" t="s">
        <v>21</v>
      </c>
      <c r="S45" s="775">
        <f t="shared" si="12"/>
        <v>100</v>
      </c>
      <c r="T45" s="774" t="s">
        <v>21</v>
      </c>
      <c r="U45" s="775">
        <f t="shared" si="13"/>
        <v>100</v>
      </c>
      <c r="V45" s="774" t="s">
        <v>21</v>
      </c>
      <c r="W45" s="775">
        <f t="shared" si="14"/>
        <v>100</v>
      </c>
      <c r="X45" s="1815"/>
      <c r="Y45" s="3207"/>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06"/>
      <c r="Q46" s="1812">
        <f t="shared" si="11"/>
        <v>111</v>
      </c>
      <c r="R46" s="774" t="s">
        <v>20</v>
      </c>
      <c r="S46" s="775">
        <f t="shared" si="12"/>
        <v>100</v>
      </c>
      <c r="T46" s="774" t="s">
        <v>20</v>
      </c>
      <c r="U46" s="775">
        <f t="shared" si="13"/>
        <v>100</v>
      </c>
      <c r="V46" s="774" t="s">
        <v>20</v>
      </c>
      <c r="W46" s="775">
        <f t="shared" si="14"/>
        <v>100</v>
      </c>
      <c r="X46" s="1815"/>
      <c r="Y46" s="3208"/>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17"/>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18"/>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19"/>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2"/>
      <c r="Q57" s="504"/>
    </row>
    <row r="58" spans="1:29" s="508" customFormat="1" ht="15">
      <c r="A58" s="505" t="s">
        <v>2585</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2587</v>
      </c>
      <c r="B61" s="510"/>
      <c r="C61" s="522" t="s">
        <v>2588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2611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2612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2564</v>
      </c>
      <c r="B100" s="528" t="s">
        <v>2613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2616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2617</v>
      </c>
      <c r="C109" s="554"/>
      <c r="D109" s="554"/>
      <c r="E109" s="554"/>
      <c r="F109" s="583"/>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2618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2619</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2620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6" t="s">
        <v>2626</v>
      </c>
      <c r="D138" s="146" t="s">
        <v>2627</v>
      </c>
      <c r="E138" s="2641" t="s">
        <v>2628</v>
      </c>
      <c r="F138" s="2642" t="s">
        <v>2629</v>
      </c>
      <c r="G138" s="146" t="s">
        <v>2627</v>
      </c>
      <c r="H138" s="147" t="s">
        <v>2628</v>
      </c>
      <c r="I138" s="2643"/>
      <c r="J138" s="146" t="s">
        <v>2630</v>
      </c>
      <c r="K138" s="147" t="s">
        <v>2631</v>
      </c>
    </row>
    <row r="139" spans="1:17" ht="15">
      <c r="B139" s="1087">
        <v>6</v>
      </c>
      <c r="C139" s="1088">
        <v>96</v>
      </c>
      <c r="D139" s="2644" t="s">
        <v>2632</v>
      </c>
      <c r="E139" s="1089">
        <v>100</v>
      </c>
      <c r="F139" s="1090">
        <v>102.5</v>
      </c>
      <c r="G139" s="2644" t="s">
        <v>2632</v>
      </c>
      <c r="H139" s="1091">
        <v>105</v>
      </c>
      <c r="I139" s="2645" t="s">
        <v>2633</v>
      </c>
      <c r="J139" s="1088">
        <v>20</v>
      </c>
      <c r="K139" s="1092">
        <f>C145/(J139-2)</f>
        <v>4.0555555555555553E-3</v>
      </c>
    </row>
    <row r="140" spans="1:17" ht="15">
      <c r="B140" s="1093">
        <v>5</v>
      </c>
      <c r="C140" s="1094">
        <v>100</v>
      </c>
      <c r="D140" s="1094"/>
      <c r="E140" s="1095"/>
      <c r="F140" s="1096">
        <v>102</v>
      </c>
      <c r="G140" s="1094"/>
      <c r="H140" s="1097"/>
      <c r="I140" s="2646" t="s">
        <v>2634</v>
      </c>
      <c r="J140" s="315">
        <f>ROUNDUP((J139-1)/2,0)</f>
        <v>10</v>
      </c>
      <c r="K140" s="1098">
        <v>100</v>
      </c>
    </row>
    <row r="141" spans="1:17" ht="15">
      <c r="B141" s="1093">
        <v>4</v>
      </c>
      <c r="C141" s="1094">
        <v>102</v>
      </c>
      <c r="D141" s="1094"/>
      <c r="E141" s="1095"/>
      <c r="F141" s="1096">
        <v>101.5</v>
      </c>
      <c r="G141" s="1094"/>
      <c r="H141" s="1097"/>
      <c r="I141" s="2646" t="s">
        <v>2635</v>
      </c>
      <c r="J141" s="315">
        <v>1</v>
      </c>
      <c r="K141" s="1099">
        <f>ROUND(100+(J141-J140)*K139*100,1)</f>
        <v>96.4</v>
      </c>
    </row>
    <row r="142" spans="1:17" ht="15">
      <c r="B142" s="1093">
        <v>3</v>
      </c>
      <c r="C142" s="1094">
        <v>103</v>
      </c>
      <c r="D142" s="1094"/>
      <c r="E142" s="1095"/>
      <c r="F142" s="1096">
        <v>101</v>
      </c>
      <c r="G142" s="1094"/>
      <c r="H142" s="1097"/>
      <c r="I142" s="2646" t="s">
        <v>2636</v>
      </c>
      <c r="J142" s="315">
        <f>J139</f>
        <v>20</v>
      </c>
      <c r="K142" s="1100">
        <v>95</v>
      </c>
    </row>
    <row r="143" spans="1:17" ht="15">
      <c r="B143" s="1093">
        <v>2</v>
      </c>
      <c r="C143" s="1094">
        <v>100</v>
      </c>
      <c r="D143" s="1094"/>
      <c r="E143" s="1095"/>
      <c r="F143" s="1096">
        <v>100.5</v>
      </c>
      <c r="G143" s="1094"/>
      <c r="H143" s="1097"/>
      <c r="I143" s="2646" t="s">
        <v>2637</v>
      </c>
      <c r="J143" s="1094">
        <v>15</v>
      </c>
      <c r="K143" s="1099">
        <f>ROUND(100+(J143-J140)*K139*100,1)</f>
        <v>102</v>
      </c>
    </row>
    <row r="144" spans="1:17" ht="15">
      <c r="B144" s="1093">
        <v>1</v>
      </c>
      <c r="C144" s="1094">
        <v>98</v>
      </c>
      <c r="D144" s="2647" t="s">
        <v>2638</v>
      </c>
      <c r="E144" s="1095">
        <v>102</v>
      </c>
      <c r="F144" s="1101">
        <v>100</v>
      </c>
      <c r="G144" s="2647" t="s">
        <v>2638</v>
      </c>
      <c r="H144" s="1097">
        <v>105</v>
      </c>
      <c r="I144" s="2646" t="s">
        <v>2637</v>
      </c>
      <c r="J144" s="1094">
        <v>18</v>
      </c>
      <c r="K144" s="1099">
        <f>ROUND(100+(J144-J140)*K139*100,1)</f>
        <v>103.2</v>
      </c>
    </row>
    <row r="145" spans="2:11" ht="15.75" thickBot="1">
      <c r="B145" s="2648" t="s">
        <v>2639</v>
      </c>
      <c r="C145" s="1102">
        <f>ROUND(MAX(C139:C144)/MIN(C139:C144)-1,3)</f>
        <v>7.2999999999999995E-2</v>
      </c>
      <c r="D145" s="1103"/>
      <c r="E145" s="1103"/>
      <c r="F145" s="2649" t="s">
        <v>2640</v>
      </c>
      <c r="G145" s="2650"/>
      <c r="H145" s="2651"/>
      <c r="I145" s="2652" t="s">
        <v>2637</v>
      </c>
      <c r="J145" s="1104">
        <v>8</v>
      </c>
      <c r="K145" s="1105">
        <f>ROUND(100+(J145-J140)*K139*100,1)</f>
        <v>99.2</v>
      </c>
    </row>
    <row r="147" spans="2:11">
      <c r="B147" s="2633" t="s">
        <v>2641</v>
      </c>
    </row>
    <row r="148" spans="2:11">
      <c r="B148" s="263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2643</v>
      </c>
      <c r="C1" s="1636" t="s">
        <v>2531</v>
      </c>
      <c r="D1" s="1623"/>
      <c r="E1" s="2653"/>
      <c r="F1" s="2580"/>
      <c r="G1" s="1633" t="s">
        <v>2644</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2328</v>
      </c>
      <c r="B2" s="1420" t="e">
        <f ca="1">IF(C2="——",ROUND(C49*D3/10000,0),ROUND(C49*D3/10000,0)-D2)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2330</v>
      </c>
      <c r="B3" s="609" t="e">
        <f ca="1">IF(C2="——",C49,ROUND(B2*10000/D3,0))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31"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31"/>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31"/>
      <c r="AC6" s="3214"/>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2561</v>
      </c>
      <c r="Q15" s="1812" t="str">
        <f t="shared" si="6"/>
        <v>商业繁华度</v>
      </c>
      <c r="R15" s="774" t="s">
        <v>17</v>
      </c>
      <c r="S15" s="775">
        <f t="shared" si="0"/>
        <v>100</v>
      </c>
      <c r="T15" s="774" t="s">
        <v>17</v>
      </c>
      <c r="U15" s="775">
        <f t="shared" si="1"/>
        <v>100</v>
      </c>
      <c r="V15" s="774" t="s">
        <v>17</v>
      </c>
      <c r="W15" s="775">
        <f t="shared" si="2"/>
        <v>100</v>
      </c>
      <c r="X15" s="1815"/>
      <c r="Y15" s="3202"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7"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2" t="str">
        <f>B23</f>
        <v>自然及人文环境</v>
      </c>
      <c r="R23" s="774" t="s">
        <v>17</v>
      </c>
      <c r="S23" s="775">
        <f>F23</f>
        <v>100</v>
      </c>
      <c r="T23" s="774" t="s">
        <v>17</v>
      </c>
      <c r="U23" s="775">
        <f>H23</f>
        <v>100</v>
      </c>
      <c r="V23" s="774" t="s">
        <v>17</v>
      </c>
      <c r="W23" s="775">
        <f>J23</f>
        <v>100</v>
      </c>
      <c r="X23" s="1815"/>
      <c r="Y23" s="3203"/>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2" t="str">
        <f t="shared" ref="Q25:Q46" si="11">B25</f>
        <v>临街状况</v>
      </c>
      <c r="R25" s="774" t="s">
        <v>17</v>
      </c>
      <c r="S25" s="775">
        <f>F25</f>
        <v>100</v>
      </c>
      <c r="T25" s="774" t="s">
        <v>17</v>
      </c>
      <c r="U25" s="775">
        <f>H25</f>
        <v>100</v>
      </c>
      <c r="V25" s="774" t="s">
        <v>17</v>
      </c>
      <c r="W25" s="775">
        <f>J25</f>
        <v>100</v>
      </c>
      <c r="X25" s="1815"/>
      <c r="Y25" s="3203"/>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2" t="str">
        <f t="shared" si="11"/>
        <v>平面位置/可视性</v>
      </c>
      <c r="R26" s="774" t="s">
        <v>17</v>
      </c>
      <c r="S26" s="775">
        <f>F26</f>
        <v>100</v>
      </c>
      <c r="T26" s="774" t="s">
        <v>17</v>
      </c>
      <c r="U26" s="775">
        <f>H26</f>
        <v>100</v>
      </c>
      <c r="V26" s="774" t="s">
        <v>17</v>
      </c>
      <c r="W26" s="775">
        <f>J26</f>
        <v>100</v>
      </c>
      <c r="X26" s="1815"/>
      <c r="Y26" s="3203"/>
      <c r="Z26" s="1816" t="str">
        <f>Q26</f>
        <v>平面位置/可视性</v>
      </c>
      <c r="AA26" s="1813">
        <f t="shared" si="3"/>
        <v>1</v>
      </c>
      <c r="AB26" s="1813">
        <f t="shared" si="4"/>
        <v>1</v>
      </c>
      <c r="AC26" s="1813">
        <f t="shared" si="5"/>
        <v>1</v>
      </c>
    </row>
    <row r="27" spans="1:29" s="117" customFormat="1" ht="15">
      <c r="A27" s="431"/>
      <c r="B27" s="451" t="s">
        <v>2659</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10"/>
      <c r="Q27" s="1797" t="str">
        <f t="shared" si="11"/>
        <v>人流量</v>
      </c>
      <c r="R27" s="770" t="s">
        <v>17</v>
      </c>
      <c r="S27" s="771">
        <f>F27</f>
        <v>100</v>
      </c>
      <c r="T27" s="770" t="s">
        <v>17</v>
      </c>
      <c r="U27" s="771">
        <f>H27</f>
        <v>100</v>
      </c>
      <c r="V27" s="770" t="s">
        <v>17</v>
      </c>
      <c r="W27" s="771">
        <f>J27</f>
        <v>100</v>
      </c>
      <c r="X27" s="772"/>
      <c r="Y27" s="3203"/>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2">
        <f t="shared" si="11"/>
        <v>111</v>
      </c>
      <c r="R29" s="774" t="s">
        <v>17</v>
      </c>
      <c r="S29" s="775">
        <f t="shared" si="12"/>
        <v>100</v>
      </c>
      <c r="T29" s="774" t="s">
        <v>17</v>
      </c>
      <c r="U29" s="775">
        <f t="shared" si="13"/>
        <v>100</v>
      </c>
      <c r="V29" s="774" t="s">
        <v>17</v>
      </c>
      <c r="W29" s="775">
        <f t="shared" si="14"/>
        <v>100</v>
      </c>
      <c r="X29" s="1815"/>
      <c r="Y29" s="320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1813">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04" t="s">
        <v>2566</v>
      </c>
      <c r="Q32" s="1812" t="str">
        <f t="shared" si="11"/>
        <v>商业类型</v>
      </c>
      <c r="R32" s="774" t="s">
        <v>17</v>
      </c>
      <c r="S32" s="775">
        <f t="shared" si="12"/>
        <v>100</v>
      </c>
      <c r="T32" s="774" t="s">
        <v>17</v>
      </c>
      <c r="U32" s="775">
        <f t="shared" si="13"/>
        <v>100</v>
      </c>
      <c r="V32" s="774" t="s">
        <v>17</v>
      </c>
      <c r="W32" s="775">
        <f t="shared" si="14"/>
        <v>100</v>
      </c>
      <c r="X32" s="1815"/>
      <c r="Y32" s="3207"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3" t="e">
        <f t="shared" si="3"/>
        <v>#N/A</v>
      </c>
      <c r="AB33" s="1813" t="e">
        <f t="shared" si="4"/>
        <v>#N/A</v>
      </c>
      <c r="AC33" s="1813" t="e">
        <f t="shared" si="5"/>
        <v>#N/A</v>
      </c>
    </row>
    <row r="34" spans="1:29" ht="15">
      <c r="A34" s="472"/>
      <c r="B34" s="422" t="s">
        <v>2568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05"/>
      <c r="Q34" s="1812" t="str">
        <f t="shared" si="11"/>
        <v>建筑结构</v>
      </c>
      <c r="R34" s="774" t="s">
        <v>17</v>
      </c>
      <c r="S34" s="775">
        <f t="shared" si="12"/>
        <v>100</v>
      </c>
      <c r="T34" s="774" t="s">
        <v>17</v>
      </c>
      <c r="U34" s="775">
        <f t="shared" si="13"/>
        <v>100</v>
      </c>
      <c r="V34" s="774" t="s">
        <v>17</v>
      </c>
      <c r="W34" s="775">
        <f t="shared" si="14"/>
        <v>100</v>
      </c>
      <c r="X34" s="1815"/>
      <c r="Y34" s="3207"/>
      <c r="Z34" s="1816" t="str">
        <f t="shared" si="15"/>
        <v>建筑结构</v>
      </c>
      <c r="AA34" s="1813">
        <f t="shared" si="3"/>
        <v>1</v>
      </c>
      <c r="AB34" s="1813">
        <f t="shared" si="4"/>
        <v>1</v>
      </c>
      <c r="AC34" s="1813">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05"/>
      <c r="Q35" s="1812" t="str">
        <f t="shared" si="11"/>
        <v>公共部分装修</v>
      </c>
      <c r="R35" s="774" t="s">
        <v>17</v>
      </c>
      <c r="S35" s="775">
        <f t="shared" si="12"/>
        <v>100</v>
      </c>
      <c r="T35" s="774" t="s">
        <v>17</v>
      </c>
      <c r="U35" s="775">
        <f t="shared" si="13"/>
        <v>100</v>
      </c>
      <c r="V35" s="774" t="s">
        <v>17</v>
      </c>
      <c r="W35" s="775">
        <f t="shared" si="14"/>
        <v>100</v>
      </c>
      <c r="X35" s="1815"/>
      <c r="Y35" s="3207"/>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2" t="str">
        <f t="shared" si="11"/>
        <v>成新度</v>
      </c>
      <c r="R36" s="774" t="s">
        <v>17</v>
      </c>
      <c r="S36" s="775" t="e">
        <f t="shared" si="12"/>
        <v>#N/A</v>
      </c>
      <c r="T36" s="774" t="s">
        <v>17</v>
      </c>
      <c r="U36" s="775" t="e">
        <f t="shared" si="13"/>
        <v>#N/A</v>
      </c>
      <c r="V36" s="774" t="s">
        <v>17</v>
      </c>
      <c r="W36" s="775" t="e">
        <f t="shared" si="14"/>
        <v>#N/A</v>
      </c>
      <c r="X36" s="1815"/>
      <c r="Y36" s="3207"/>
      <c r="Z36" s="1816" t="str">
        <f t="shared" si="15"/>
        <v>成新度</v>
      </c>
      <c r="AA36" s="1813" t="e">
        <f t="shared" si="3"/>
        <v>#N/A</v>
      </c>
      <c r="AB36" s="1813" t="e">
        <f t="shared" si="4"/>
        <v>#N/A</v>
      </c>
      <c r="AC36" s="1813"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05"/>
      <c r="Q37" s="1797"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05" t="s">
        <v>2566</v>
      </c>
      <c r="Q38" s="1812" t="str">
        <f t="shared" si="11"/>
        <v>业态</v>
      </c>
      <c r="R38" s="774" t="s">
        <v>17</v>
      </c>
      <c r="S38" s="775">
        <f t="shared" si="12"/>
        <v>100</v>
      </c>
      <c r="T38" s="774" t="s">
        <v>17</v>
      </c>
      <c r="U38" s="775">
        <f t="shared" si="13"/>
        <v>100</v>
      </c>
      <c r="V38" s="774" t="s">
        <v>17</v>
      </c>
      <c r="W38" s="775">
        <f t="shared" si="14"/>
        <v>100</v>
      </c>
      <c r="X38" s="1815"/>
      <c r="Y38" s="3207" t="s">
        <v>2566</v>
      </c>
      <c r="Z38" s="1816" t="str">
        <f t="shared" si="15"/>
        <v>业态</v>
      </c>
      <c r="AA38" s="1813">
        <f t="shared" si="3"/>
        <v>1</v>
      </c>
      <c r="AB38" s="1813">
        <f t="shared" si="4"/>
        <v>1</v>
      </c>
      <c r="AC38" s="1813">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05"/>
      <c r="Q39" s="1812" t="str">
        <f t="shared" si="11"/>
        <v>层高</v>
      </c>
      <c r="R39" s="774" t="s">
        <v>17</v>
      </c>
      <c r="S39" s="775">
        <f t="shared" si="12"/>
        <v>100</v>
      </c>
      <c r="T39" s="774" t="s">
        <v>17</v>
      </c>
      <c r="U39" s="775">
        <f t="shared" si="13"/>
        <v>100</v>
      </c>
      <c r="V39" s="774" t="s">
        <v>17</v>
      </c>
      <c r="W39" s="775">
        <f t="shared" si="14"/>
        <v>100</v>
      </c>
      <c r="X39" s="1815"/>
      <c r="Y39" s="3207"/>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2" t="str">
        <f t="shared" si="11"/>
        <v>单套建筑面积</v>
      </c>
      <c r="R40" s="774" t="s">
        <v>17</v>
      </c>
      <c r="S40" s="775">
        <f t="shared" si="12"/>
        <v>100</v>
      </c>
      <c r="T40" s="774" t="s">
        <v>17</v>
      </c>
      <c r="U40" s="775">
        <f t="shared" si="13"/>
        <v>100</v>
      </c>
      <c r="V40" s="774" t="s">
        <v>17</v>
      </c>
      <c r="W40" s="775">
        <f t="shared" si="14"/>
        <v>100</v>
      </c>
      <c r="X40" s="1815"/>
      <c r="Y40" s="3207"/>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3">
        <f t="shared" si="3"/>
        <v>1</v>
      </c>
      <c r="AB41" s="1813">
        <f t="shared" si="4"/>
        <v>1</v>
      </c>
      <c r="AC41" s="1813">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05"/>
      <c r="Q42" s="1812" t="str">
        <f t="shared" si="11"/>
        <v>内部装修</v>
      </c>
      <c r="R42" s="774" t="s">
        <v>17</v>
      </c>
      <c r="S42" s="775">
        <f t="shared" si="12"/>
        <v>100</v>
      </c>
      <c r="T42" s="774" t="s">
        <v>17</v>
      </c>
      <c r="U42" s="775">
        <f t="shared" si="13"/>
        <v>100</v>
      </c>
      <c r="V42" s="774" t="s">
        <v>17</v>
      </c>
      <c r="W42" s="775">
        <f t="shared" si="14"/>
        <v>100</v>
      </c>
      <c r="X42" s="1815"/>
      <c r="Y42" s="3207"/>
      <c r="Z42" s="1816" t="str">
        <f t="shared" si="15"/>
        <v>内部装修</v>
      </c>
      <c r="AA42" s="1813">
        <f t="shared" si="3"/>
        <v>1</v>
      </c>
      <c r="AB42" s="1813">
        <f t="shared" si="4"/>
        <v>1</v>
      </c>
      <c r="AC42" s="1813">
        <f t="shared" si="5"/>
        <v>1</v>
      </c>
    </row>
    <row r="43" spans="1:29" ht="15">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05"/>
      <c r="Q43" s="1812" t="str">
        <f t="shared" si="11"/>
        <v>内部装修维护情况</v>
      </c>
      <c r="R43" s="774" t="s">
        <v>17</v>
      </c>
      <c r="S43" s="775">
        <f t="shared" si="12"/>
        <v>100</v>
      </c>
      <c r="T43" s="774" t="s">
        <v>17</v>
      </c>
      <c r="U43" s="775">
        <f t="shared" si="13"/>
        <v>100</v>
      </c>
      <c r="V43" s="774" t="s">
        <v>17</v>
      </c>
      <c r="W43" s="775">
        <f t="shared" si="14"/>
        <v>100</v>
      </c>
      <c r="X43" s="1815"/>
      <c r="Y43" s="320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7">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2">
        <f t="shared" si="11"/>
        <v>111</v>
      </c>
      <c r="R45" s="774" t="s">
        <v>17</v>
      </c>
      <c r="S45" s="775">
        <f t="shared" si="12"/>
        <v>100</v>
      </c>
      <c r="T45" s="774" t="s">
        <v>17</v>
      </c>
      <c r="U45" s="775">
        <f t="shared" si="13"/>
        <v>100</v>
      </c>
      <c r="V45" s="774" t="s">
        <v>17</v>
      </c>
      <c r="W45" s="775">
        <f t="shared" si="14"/>
        <v>100</v>
      </c>
      <c r="X45" s="1815"/>
      <c r="Y45" s="3207"/>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2549</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2551</v>
      </c>
      <c r="B61" s="510"/>
      <c r="C61" s="522" t="s">
        <v>2653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2681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2564</v>
      </c>
      <c r="B100" s="528" t="s">
        <v>2682</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2617</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2683</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2684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2685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北京科华国际幕墙工程有限公司：</v>
      </c>
    </row>
    <row r="4" spans="1:1" ht="36">
      <c r="A4" s="1950" t="str">
        <f>"受贵公司委托，我公司对"&amp;项目基本情况!S1&amp;"进行了预评估。"</f>
        <v>受贵公司委托，我公司对北京市怀柔区雁栖经济开发区雁栖路2号房地产抵押价值进行了预评估。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2687</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49" t="s">
        <v>2652</v>
      </c>
      <c r="Q4" s="3250"/>
      <c r="R4" s="3253" t="s">
        <v>2648</v>
      </c>
      <c r="S4" s="3254"/>
      <c r="T4" s="3253" t="s">
        <v>2649</v>
      </c>
      <c r="U4" s="3254"/>
      <c r="V4" s="3255" t="s">
        <v>2650</v>
      </c>
      <c r="W4" s="3255"/>
      <c r="X4" s="2666"/>
      <c r="Y4" s="3253" t="s">
        <v>2652</v>
      </c>
      <c r="Z4" s="3254"/>
      <c r="AA4" s="3257" t="s">
        <v>2648</v>
      </c>
      <c r="AB4" s="3257" t="s">
        <v>2649</v>
      </c>
      <c r="AC4" s="3246" t="s">
        <v>2650</v>
      </c>
    </row>
    <row r="5" spans="1:29" ht="15">
      <c r="A5" s="404"/>
      <c r="B5" s="405"/>
      <c r="C5" s="3234" t="s">
        <v>2543</v>
      </c>
      <c r="D5" s="3235"/>
      <c r="E5" s="3241" t="s">
        <v>2544</v>
      </c>
      <c r="F5" s="3242"/>
      <c r="G5" s="3234" t="s">
        <v>2545</v>
      </c>
      <c r="H5" s="3235"/>
      <c r="I5" s="3234" t="s">
        <v>2546</v>
      </c>
      <c r="J5" s="3235"/>
      <c r="K5" s="610"/>
      <c r="L5" s="1133"/>
      <c r="M5" s="1134"/>
      <c r="N5" s="1134"/>
      <c r="O5" s="1134"/>
      <c r="P5" s="3251"/>
      <c r="Q5" s="3222"/>
      <c r="R5" s="3227"/>
      <c r="S5" s="3228"/>
      <c r="T5" s="3227"/>
      <c r="U5" s="3228"/>
      <c r="V5" s="3231"/>
      <c r="W5" s="3231"/>
      <c r="X5" s="1815"/>
      <c r="Y5" s="3227"/>
      <c r="Z5" s="3228"/>
      <c r="AA5" s="3213"/>
      <c r="AB5" s="3213"/>
      <c r="AC5" s="3247"/>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52"/>
      <c r="Q6" s="3224"/>
      <c r="R6" s="3227"/>
      <c r="S6" s="3228"/>
      <c r="T6" s="3229"/>
      <c r="U6" s="3230"/>
      <c r="V6" s="3231"/>
      <c r="W6" s="3231"/>
      <c r="X6" s="1815"/>
      <c r="Y6" s="3229"/>
      <c r="Z6" s="3230"/>
      <c r="AA6" s="3214"/>
      <c r="AB6" s="3214"/>
      <c r="AC6" s="3248"/>
    </row>
    <row r="7" spans="1:29" s="117" customFormat="1" ht="15.75" thickBot="1">
      <c r="A7" s="408" t="s">
        <v>2549</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266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2553</v>
      </c>
      <c r="Q8" s="3237"/>
      <c r="R8" s="770" t="s">
        <v>17</v>
      </c>
      <c r="S8" s="771">
        <f t="shared" si="0"/>
        <v>0</v>
      </c>
      <c r="T8" s="770" t="s">
        <v>17</v>
      </c>
      <c r="U8" s="771">
        <f t="shared" si="1"/>
        <v>0</v>
      </c>
      <c r="V8" s="770" t="s">
        <v>17</v>
      </c>
      <c r="W8" s="771">
        <f t="shared" si="2"/>
        <v>0</v>
      </c>
      <c r="X8" s="772"/>
      <c r="Y8" s="3236" t="s">
        <v>2553</v>
      </c>
      <c r="Z8" s="3237"/>
      <c r="AA8" s="773" t="e">
        <f t="shared" ref="AA8:AA47" si="3">D8/F8</f>
        <v>#DIV/0!</v>
      </c>
      <c r="AB8" s="773" t="e">
        <f t="shared" ref="AB8:AB47" si="4">D8/H8</f>
        <v>#DIV/0!</v>
      </c>
      <c r="AC8" s="266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266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7">
        <f t="shared" si="5"/>
        <v>1</v>
      </c>
    </row>
    <row r="15" spans="1:29" ht="71.25">
      <c r="A15" s="440" t="s">
        <v>2560</v>
      </c>
      <c r="B15" s="629" t="s">
        <v>2688</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2561</v>
      </c>
      <c r="Q15" s="1812" t="str">
        <f t="shared" si="6"/>
        <v>办公集聚程度</v>
      </c>
      <c r="R15" s="774" t="s">
        <v>17</v>
      </c>
      <c r="S15" s="775">
        <f t="shared" si="0"/>
        <v>100</v>
      </c>
      <c r="T15" s="774" t="s">
        <v>17</v>
      </c>
      <c r="U15" s="775">
        <f t="shared" si="1"/>
        <v>100</v>
      </c>
      <c r="V15" s="774" t="s">
        <v>17</v>
      </c>
      <c r="W15" s="775">
        <f t="shared" si="2"/>
        <v>100</v>
      </c>
      <c r="X15" s="1815"/>
      <c r="Y15" s="3202" t="s">
        <v>2561</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2670">
        <v>1</v>
      </c>
    </row>
    <row r="17" spans="1:29" ht="71.25">
      <c r="A17" s="428"/>
      <c r="B17" s="631" t="s">
        <v>2098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10"/>
      <c r="Q18" s="1812"/>
      <c r="R18" s="774"/>
      <c r="S18" s="775"/>
      <c r="T18" s="774"/>
      <c r="U18" s="775"/>
      <c r="V18" s="774"/>
      <c r="W18" s="775"/>
      <c r="X18" s="1815"/>
      <c r="Y18" s="3203"/>
      <c r="Z18" s="1816"/>
      <c r="AA18" s="1813">
        <v>1</v>
      </c>
      <c r="AB18" s="1813">
        <v>1</v>
      </c>
      <c r="AC18" s="2670">
        <v>1</v>
      </c>
    </row>
    <row r="19" spans="1:29" ht="42.75">
      <c r="A19" s="428"/>
      <c r="B19" s="631" t="s">
        <v>2689</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10"/>
      <c r="Q20" s="1812"/>
      <c r="R20" s="774"/>
      <c r="S20" s="775"/>
      <c r="T20" s="774"/>
      <c r="U20" s="775"/>
      <c r="V20" s="774"/>
      <c r="W20" s="775"/>
      <c r="X20" s="1815"/>
      <c r="Y20" s="3203"/>
      <c r="Z20" s="1816"/>
      <c r="AA20" s="1813">
        <v>1</v>
      </c>
      <c r="AB20" s="1813">
        <v>1</v>
      </c>
      <c r="AC20" s="2670">
        <v>1</v>
      </c>
    </row>
    <row r="21" spans="1:29" ht="28.5">
      <c r="A21" s="428"/>
      <c r="B21" s="633" t="s">
        <v>2690</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10"/>
      <c r="Q22" s="1812"/>
      <c r="R22" s="774"/>
      <c r="S22" s="775"/>
      <c r="T22" s="774"/>
      <c r="U22" s="775"/>
      <c r="V22" s="774"/>
      <c r="W22" s="775"/>
      <c r="X22" s="1815"/>
      <c r="Y22" s="3203"/>
      <c r="Z22" s="1816"/>
      <c r="AA22" s="1813">
        <v>1</v>
      </c>
      <c r="AB22" s="1813">
        <v>1</v>
      </c>
      <c r="AC22" s="2670">
        <v>1</v>
      </c>
    </row>
    <row r="23" spans="1:29" ht="42.75">
      <c r="A23" s="428"/>
      <c r="B23" s="631" t="s">
        <v>2691</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10"/>
      <c r="Q24" s="1812"/>
      <c r="R24" s="774"/>
      <c r="S24" s="775"/>
      <c r="T24" s="774"/>
      <c r="U24" s="775"/>
      <c r="V24" s="774"/>
      <c r="W24" s="775"/>
      <c r="X24" s="1815"/>
      <c r="Y24" s="3203"/>
      <c r="Z24" s="1816"/>
      <c r="AA24" s="1813">
        <v>1</v>
      </c>
      <c r="AB24" s="1813">
        <v>1</v>
      </c>
      <c r="AC24" s="2670">
        <v>1</v>
      </c>
    </row>
    <row r="25" spans="1:29" ht="27">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10"/>
      <c r="Q25" s="1812" t="str">
        <f>B25</f>
        <v>毗邻道路的类型与等级</v>
      </c>
      <c r="R25" s="774" t="s">
        <v>17</v>
      </c>
      <c r="S25" s="775">
        <f>F25</f>
        <v>100</v>
      </c>
      <c r="T25" s="774" t="s">
        <v>17</v>
      </c>
      <c r="U25" s="775">
        <f>H25</f>
        <v>100</v>
      </c>
      <c r="V25" s="774" t="s">
        <v>17</v>
      </c>
      <c r="W25" s="775">
        <f>J25</f>
        <v>100</v>
      </c>
      <c r="X25" s="1815"/>
      <c r="Y25" s="3203"/>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10"/>
      <c r="Q26" s="1812"/>
      <c r="R26" s="774"/>
      <c r="S26" s="775"/>
      <c r="T26" s="774"/>
      <c r="U26" s="775"/>
      <c r="V26" s="774"/>
      <c r="W26" s="775"/>
      <c r="X26" s="1815"/>
      <c r="Y26" s="3203"/>
      <c r="Z26" s="1816"/>
      <c r="AA26" s="1813">
        <v>1</v>
      </c>
      <c r="AB26" s="1813">
        <v>1</v>
      </c>
      <c r="AC26" s="267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2" t="str">
        <f t="shared" ref="Q27:Q47" si="11">B27</f>
        <v>楼层</v>
      </c>
      <c r="R27" s="774" t="s">
        <v>17</v>
      </c>
      <c r="S27" s="775">
        <f>F27</f>
        <v>100</v>
      </c>
      <c r="T27" s="774" t="s">
        <v>17</v>
      </c>
      <c r="U27" s="775">
        <f>H27</f>
        <v>100</v>
      </c>
      <c r="V27" s="774" t="s">
        <v>17</v>
      </c>
      <c r="W27" s="775">
        <f>J27</f>
        <v>100</v>
      </c>
      <c r="X27" s="1815"/>
      <c r="Y27" s="3203"/>
      <c r="Z27" s="1816" t="str">
        <f>Q27</f>
        <v>楼层</v>
      </c>
      <c r="AA27" s="1813">
        <f t="shared" si="3"/>
        <v>1</v>
      </c>
      <c r="AB27" s="1813">
        <f t="shared" si="4"/>
        <v>1</v>
      </c>
      <c r="AC27" s="2670">
        <f t="shared" si="5"/>
        <v>1</v>
      </c>
    </row>
    <row r="28" spans="1:29" s="117" customFormat="1" ht="15">
      <c r="A28" s="431"/>
      <c r="B28" s="631" t="s">
        <v>2693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10"/>
      <c r="Q28" s="1797" t="str">
        <f t="shared" si="11"/>
        <v>朝向</v>
      </c>
      <c r="R28" s="770" t="s">
        <v>17</v>
      </c>
      <c r="S28" s="771">
        <f>F28</f>
        <v>100</v>
      </c>
      <c r="T28" s="770" t="s">
        <v>17</v>
      </c>
      <c r="U28" s="771">
        <f>H28</f>
        <v>100</v>
      </c>
      <c r="V28" s="770" t="s">
        <v>17</v>
      </c>
      <c r="W28" s="771">
        <f>J28</f>
        <v>100</v>
      </c>
      <c r="X28" s="772"/>
      <c r="Y28" s="3203"/>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10"/>
      <c r="Q29" s="1812">
        <f t="shared" si="11"/>
        <v>111</v>
      </c>
      <c r="R29" s="774" t="s">
        <v>17</v>
      </c>
      <c r="S29" s="775">
        <f t="shared" ref="S29:S47" si="12">F29</f>
        <v>100</v>
      </c>
      <c r="T29" s="774" t="s">
        <v>17</v>
      </c>
      <c r="U29" s="775">
        <f t="shared" ref="U29:U47" si="13">H29</f>
        <v>100</v>
      </c>
      <c r="V29" s="774" t="s">
        <v>17</v>
      </c>
      <c r="W29" s="775">
        <f t="shared" ref="W29:W47" si="14">J29</f>
        <v>100</v>
      </c>
      <c r="X29" s="1815"/>
      <c r="Y29" s="3203"/>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10"/>
      <c r="Q32" s="1812">
        <f t="shared" si="11"/>
        <v>111</v>
      </c>
      <c r="R32" s="774" t="s">
        <v>17</v>
      </c>
      <c r="S32" s="775">
        <f t="shared" si="12"/>
        <v>100</v>
      </c>
      <c r="T32" s="774" t="s">
        <v>17</v>
      </c>
      <c r="U32" s="775">
        <f t="shared" si="13"/>
        <v>100</v>
      </c>
      <c r="V32" s="774" t="s">
        <v>17</v>
      </c>
      <c r="W32" s="775">
        <f t="shared" si="14"/>
        <v>100</v>
      </c>
      <c r="X32" s="1815"/>
      <c r="Y32" s="3203"/>
      <c r="Z32" s="1816">
        <f t="shared" si="15"/>
        <v>111</v>
      </c>
      <c r="AA32" s="1813">
        <f t="shared" si="3"/>
        <v>1</v>
      </c>
      <c r="AB32" s="1813">
        <f t="shared" si="4"/>
        <v>1</v>
      </c>
      <c r="AC32" s="2670">
        <f t="shared" si="5"/>
        <v>1</v>
      </c>
    </row>
    <row r="33" spans="1:29" ht="15">
      <c r="A33" s="440" t="s">
        <v>2564</v>
      </c>
      <c r="B33" s="71" t="s">
        <v>2694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04" t="s">
        <v>2566</v>
      </c>
      <c r="Q33" s="1812" t="str">
        <f t="shared" si="11"/>
        <v>建筑类型</v>
      </c>
      <c r="R33" s="774" t="s">
        <v>17</v>
      </c>
      <c r="S33" s="775">
        <f t="shared" si="12"/>
        <v>100</v>
      </c>
      <c r="T33" s="774" t="s">
        <v>17</v>
      </c>
      <c r="U33" s="775">
        <f t="shared" si="13"/>
        <v>100</v>
      </c>
      <c r="V33" s="774" t="s">
        <v>17</v>
      </c>
      <c r="W33" s="775">
        <f t="shared" si="14"/>
        <v>100</v>
      </c>
      <c r="X33" s="1815"/>
      <c r="Y33" s="3207" t="s">
        <v>2566</v>
      </c>
      <c r="Z33" s="1816" t="str">
        <f t="shared" si="15"/>
        <v>建筑类型</v>
      </c>
      <c r="AA33" s="1813">
        <f t="shared" si="3"/>
        <v>1</v>
      </c>
      <c r="AB33" s="1813">
        <f t="shared" si="4"/>
        <v>1</v>
      </c>
      <c r="AC33" s="267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3" t="e">
        <f t="shared" si="3"/>
        <v>#N/A</v>
      </c>
      <c r="AB34" s="1813" t="e">
        <f t="shared" si="4"/>
        <v>#N/A</v>
      </c>
      <c r="AC34" s="267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2" t="str">
        <f t="shared" si="11"/>
        <v>建筑结构</v>
      </c>
      <c r="R35" s="774" t="s">
        <v>17</v>
      </c>
      <c r="S35" s="775">
        <f t="shared" si="12"/>
        <v>100</v>
      </c>
      <c r="T35" s="774" t="s">
        <v>17</v>
      </c>
      <c r="U35" s="775">
        <f t="shared" si="13"/>
        <v>100</v>
      </c>
      <c r="V35" s="774" t="s">
        <v>17</v>
      </c>
      <c r="W35" s="775">
        <f t="shared" si="14"/>
        <v>100</v>
      </c>
      <c r="X35" s="1815"/>
      <c r="Y35" s="3207"/>
      <c r="Z35" s="1816" t="str">
        <f t="shared" si="15"/>
        <v>建筑结构</v>
      </c>
      <c r="AA35" s="1813">
        <f t="shared" si="3"/>
        <v>1</v>
      </c>
      <c r="AB35" s="1813">
        <f t="shared" si="4"/>
        <v>1</v>
      </c>
      <c r="AC35" s="267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2" t="str">
        <f t="shared" si="11"/>
        <v>公共部分装修</v>
      </c>
      <c r="R36" s="774" t="s">
        <v>17</v>
      </c>
      <c r="S36" s="775">
        <f t="shared" si="12"/>
        <v>100</v>
      </c>
      <c r="T36" s="774" t="s">
        <v>17</v>
      </c>
      <c r="U36" s="775">
        <f t="shared" si="13"/>
        <v>100</v>
      </c>
      <c r="V36" s="774" t="s">
        <v>17</v>
      </c>
      <c r="W36" s="775">
        <f t="shared" si="14"/>
        <v>100</v>
      </c>
      <c r="X36" s="1815"/>
      <c r="Y36" s="3207"/>
      <c r="Z36" s="1816" t="str">
        <f t="shared" si="15"/>
        <v>公共部分装修</v>
      </c>
      <c r="AA36" s="1813">
        <f t="shared" si="3"/>
        <v>1</v>
      </c>
      <c r="AB36" s="1813">
        <f t="shared" si="4"/>
        <v>1</v>
      </c>
      <c r="AC36" s="267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2" t="str">
        <f t="shared" si="11"/>
        <v>成新度</v>
      </c>
      <c r="R37" s="774" t="s">
        <v>17</v>
      </c>
      <c r="S37" s="775" t="e">
        <f t="shared" si="12"/>
        <v>#N/A</v>
      </c>
      <c r="T37" s="774" t="s">
        <v>17</v>
      </c>
      <c r="U37" s="775" t="e">
        <f t="shared" si="13"/>
        <v>#N/A</v>
      </c>
      <c r="V37" s="774" t="s">
        <v>17</v>
      </c>
      <c r="W37" s="775" t="e">
        <f t="shared" si="14"/>
        <v>#N/A</v>
      </c>
      <c r="X37" s="1815"/>
      <c r="Y37" s="3207"/>
      <c r="Z37" s="1816" t="str">
        <f t="shared" si="15"/>
        <v>成新度</v>
      </c>
      <c r="AA37" s="1813" t="e">
        <f t="shared" si="3"/>
        <v>#N/A</v>
      </c>
      <c r="AB37" s="1813" t="e">
        <f t="shared" si="4"/>
        <v>#N/A</v>
      </c>
      <c r="AC37" s="267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7"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6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2566</v>
      </c>
      <c r="Q39" s="1812" t="str">
        <f t="shared" si="11"/>
        <v>物业管理</v>
      </c>
      <c r="R39" s="774" t="s">
        <v>17</v>
      </c>
      <c r="S39" s="775">
        <f t="shared" si="12"/>
        <v>100</v>
      </c>
      <c r="T39" s="774" t="s">
        <v>17</v>
      </c>
      <c r="U39" s="775">
        <f t="shared" si="13"/>
        <v>100</v>
      </c>
      <c r="V39" s="774" t="s">
        <v>17</v>
      </c>
      <c r="W39" s="775">
        <f t="shared" si="14"/>
        <v>100</v>
      </c>
      <c r="X39" s="1815"/>
      <c r="Y39" s="3207" t="s">
        <v>2566</v>
      </c>
      <c r="Z39" s="1816" t="str">
        <f t="shared" si="15"/>
        <v>物业管理</v>
      </c>
      <c r="AA39" s="1813">
        <f t="shared" si="3"/>
        <v>1</v>
      </c>
      <c r="AB39" s="1813">
        <f t="shared" si="4"/>
        <v>1</v>
      </c>
      <c r="AC39" s="267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2" t="str">
        <f t="shared" si="11"/>
        <v>市政基础设施</v>
      </c>
      <c r="R40" s="774" t="s">
        <v>17</v>
      </c>
      <c r="S40" s="775">
        <f t="shared" si="12"/>
        <v>100</v>
      </c>
      <c r="T40" s="774" t="s">
        <v>17</v>
      </c>
      <c r="U40" s="775">
        <f t="shared" si="13"/>
        <v>100</v>
      </c>
      <c r="V40" s="774" t="s">
        <v>17</v>
      </c>
      <c r="W40" s="775">
        <f t="shared" si="14"/>
        <v>100</v>
      </c>
      <c r="X40" s="1815"/>
      <c r="Y40" s="3207"/>
      <c r="Z40" s="1816" t="str">
        <f t="shared" si="15"/>
        <v>市政基础设施</v>
      </c>
      <c r="AA40" s="1813">
        <f t="shared" si="3"/>
        <v>1</v>
      </c>
      <c r="AB40" s="1813">
        <f t="shared" si="4"/>
        <v>1</v>
      </c>
      <c r="AC40" s="267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2" t="str">
        <f t="shared" si="11"/>
        <v>层高</v>
      </c>
      <c r="R41" s="774" t="s">
        <v>17</v>
      </c>
      <c r="S41" s="775">
        <f t="shared" si="12"/>
        <v>100</v>
      </c>
      <c r="T41" s="774" t="s">
        <v>17</v>
      </c>
      <c r="U41" s="775">
        <f t="shared" si="13"/>
        <v>100</v>
      </c>
      <c r="V41" s="774" t="s">
        <v>17</v>
      </c>
      <c r="W41" s="775">
        <f t="shared" si="14"/>
        <v>100</v>
      </c>
      <c r="X41" s="1815"/>
      <c r="Y41" s="3207"/>
      <c r="Z41" s="1816" t="str">
        <f t="shared" si="15"/>
        <v>层高</v>
      </c>
      <c r="AA41" s="1813">
        <f t="shared" si="3"/>
        <v>1</v>
      </c>
      <c r="AB41" s="1813">
        <f t="shared" si="4"/>
        <v>1</v>
      </c>
      <c r="AC41" s="267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3">
        <f t="shared" si="3"/>
        <v>1</v>
      </c>
      <c r="AB42" s="1813">
        <f t="shared" si="4"/>
        <v>1</v>
      </c>
      <c r="AC42" s="267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2" t="str">
        <f t="shared" si="11"/>
        <v>内部装修</v>
      </c>
      <c r="R43" s="774" t="s">
        <v>17</v>
      </c>
      <c r="S43" s="775">
        <f t="shared" si="12"/>
        <v>100</v>
      </c>
      <c r="T43" s="774" t="s">
        <v>17</v>
      </c>
      <c r="U43" s="775">
        <f t="shared" si="13"/>
        <v>100</v>
      </c>
      <c r="V43" s="774" t="s">
        <v>17</v>
      </c>
      <c r="W43" s="775">
        <f t="shared" si="14"/>
        <v>100</v>
      </c>
      <c r="X43" s="1815"/>
      <c r="Y43" s="3207"/>
      <c r="Z43" s="1816" t="str">
        <f t="shared" si="15"/>
        <v>内部装修</v>
      </c>
      <c r="AA43" s="1813">
        <f t="shared" si="3"/>
        <v>1</v>
      </c>
      <c r="AB43" s="1813">
        <f t="shared" si="4"/>
        <v>1</v>
      </c>
      <c r="AC43" s="2670">
        <f t="shared" si="5"/>
        <v>1</v>
      </c>
    </row>
    <row r="44" spans="1:29" ht="15">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05"/>
      <c r="Q44" s="1812" t="str">
        <f t="shared" si="11"/>
        <v>内部装修维护情况</v>
      </c>
      <c r="R44" s="774" t="s">
        <v>17</v>
      </c>
      <c r="S44" s="775">
        <f t="shared" si="12"/>
        <v>100</v>
      </c>
      <c r="T44" s="774" t="s">
        <v>17</v>
      </c>
      <c r="U44" s="775">
        <f t="shared" si="13"/>
        <v>100</v>
      </c>
      <c r="V44" s="774" t="s">
        <v>17</v>
      </c>
      <c r="W44" s="775">
        <f t="shared" si="14"/>
        <v>100</v>
      </c>
      <c r="X44" s="1815"/>
      <c r="Y44" s="3207"/>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7">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2">
        <f t="shared" si="11"/>
        <v>111</v>
      </c>
      <c r="R46" s="774" t="s">
        <v>17</v>
      </c>
      <c r="S46" s="775">
        <f t="shared" si="12"/>
        <v>100</v>
      </c>
      <c r="T46" s="774" t="s">
        <v>17</v>
      </c>
      <c r="U46" s="775">
        <f t="shared" si="13"/>
        <v>100</v>
      </c>
      <c r="V46" s="774" t="s">
        <v>17</v>
      </c>
      <c r="W46" s="775">
        <f t="shared" si="14"/>
        <v>100</v>
      </c>
      <c r="X46" s="1815"/>
      <c r="Y46" s="3207"/>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2">
        <f t="shared" si="11"/>
        <v>111</v>
      </c>
      <c r="R47" s="774" t="s">
        <v>17</v>
      </c>
      <c r="S47" s="775">
        <f t="shared" si="12"/>
        <v>100</v>
      </c>
      <c r="T47" s="774" t="s">
        <v>17</v>
      </c>
      <c r="U47" s="775">
        <f t="shared" si="13"/>
        <v>100</v>
      </c>
      <c r="V47" s="774" t="s">
        <v>17</v>
      </c>
      <c r="W47" s="775">
        <f t="shared" si="14"/>
        <v>100</v>
      </c>
      <c r="X47" s="1815"/>
      <c r="Y47" s="3208"/>
      <c r="Z47" s="1816">
        <f t="shared" si="15"/>
        <v>111</v>
      </c>
      <c r="AA47" s="1813">
        <f t="shared" si="3"/>
        <v>1</v>
      </c>
      <c r="AB47" s="1813">
        <f t="shared" si="4"/>
        <v>1</v>
      </c>
      <c r="AC47" s="2670">
        <f t="shared" si="5"/>
        <v>1</v>
      </c>
    </row>
    <row r="48" spans="1:29" ht="15">
      <c r="A48" s="479" t="s">
        <v>2578</v>
      </c>
      <c r="B48" s="480"/>
      <c r="C48" s="1409" t="s">
        <v>1</v>
      </c>
      <c r="D48" s="1410"/>
      <c r="E48" s="1411"/>
      <c r="F48" s="1412"/>
      <c r="G48" s="1413"/>
      <c r="H48" s="1414"/>
      <c r="I48" s="1411"/>
      <c r="J48" s="485"/>
      <c r="K48" s="783"/>
      <c r="L48" s="1146"/>
      <c r="M48" s="1134"/>
      <c r="N48" s="1134"/>
      <c r="O48" s="1134"/>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77"/>
      <c r="Q58" s="504"/>
    </row>
    <row r="59" spans="1:29" s="508" customFormat="1" ht="15">
      <c r="A59" s="505" t="s">
        <v>2549</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2586</v>
      </c>
      <c r="B61" s="516"/>
      <c r="C61" s="517"/>
      <c r="D61" s="518"/>
      <c r="E61" s="518"/>
      <c r="F61" s="518"/>
      <c r="G61" s="518"/>
      <c r="H61" s="518"/>
      <c r="I61" s="518"/>
      <c r="J61" s="518"/>
      <c r="K61" s="518"/>
      <c r="L61" s="518"/>
      <c r="M61" s="519"/>
      <c r="N61" s="518"/>
      <c r="O61" s="519"/>
      <c r="P61" s="2678"/>
      <c r="Q61" s="504"/>
    </row>
    <row r="62" spans="1:29" s="117" customFormat="1" ht="15">
      <c r="A62" s="521" t="s">
        <v>2551</v>
      </c>
      <c r="B62" s="510"/>
      <c r="C62" s="522" t="s">
        <v>2653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2589</v>
      </c>
      <c r="B64" s="528" t="s">
        <v>2555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2700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2564</v>
      </c>
      <c r="B101" s="528" t="s">
        <v>2613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2615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2617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2702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2621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2703</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2"/>
      <c r="D2" s="1127"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15950.36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114">
      <c r="A15" s="440" t="s">
        <v>2560</v>
      </c>
      <c r="B15" s="69" t="s">
        <v>2704</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3"/>
      <c r="Q16" s="1812"/>
      <c r="R16" s="774"/>
      <c r="S16" s="775"/>
      <c r="T16" s="774"/>
      <c r="U16" s="775"/>
      <c r="V16" s="774"/>
      <c r="W16" s="775"/>
      <c r="X16" s="1815"/>
      <c r="Y16" s="3203"/>
      <c r="Z16" s="1816"/>
      <c r="AA16" s="1813">
        <v>1</v>
      </c>
      <c r="AB16" s="1813">
        <v>1</v>
      </c>
      <c r="AC16" s="1813">
        <v>1</v>
      </c>
    </row>
    <row r="17" spans="1:29" ht="128.25">
      <c r="A17" s="428"/>
      <c r="B17" s="451" t="s">
        <v>2098</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203"/>
      <c r="Q18" s="1812"/>
      <c r="R18" s="774"/>
      <c r="S18" s="775"/>
      <c r="T18" s="774"/>
      <c r="U18" s="775"/>
      <c r="V18" s="774"/>
      <c r="W18" s="775"/>
      <c r="X18" s="1815"/>
      <c r="Y18" s="3203"/>
      <c r="Z18" s="1816"/>
      <c r="AA18" s="1813">
        <v>1</v>
      </c>
      <c r="AB18" s="1813">
        <v>1</v>
      </c>
      <c r="AC18" s="1813">
        <v>1</v>
      </c>
    </row>
    <row r="19" spans="1:29" ht="156.75">
      <c r="A19" s="428"/>
      <c r="B19" s="451" t="s">
        <v>2689</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203"/>
      <c r="Q20" s="1812"/>
      <c r="R20" s="774"/>
      <c r="S20" s="775"/>
      <c r="T20" s="774"/>
      <c r="U20" s="775"/>
      <c r="V20" s="774"/>
      <c r="W20" s="775"/>
      <c r="X20" s="1815"/>
      <c r="Y20" s="3203"/>
      <c r="Z20" s="1816"/>
      <c r="AA20" s="1813">
        <v>1</v>
      </c>
      <c r="AB20" s="1813">
        <v>1</v>
      </c>
      <c r="AC20" s="1813">
        <v>1</v>
      </c>
    </row>
    <row r="21" spans="1:29" ht="42.75">
      <c r="A21" s="428"/>
      <c r="B21" s="1387" t="s">
        <v>2690</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203"/>
      <c r="Q22" s="1812"/>
      <c r="R22" s="774"/>
      <c r="S22" s="775"/>
      <c r="T22" s="774"/>
      <c r="U22" s="775"/>
      <c r="V22" s="774"/>
      <c r="W22" s="775"/>
      <c r="X22" s="1815"/>
      <c r="Y22" s="3203"/>
      <c r="Z22" s="1816"/>
      <c r="AA22" s="1813">
        <v>1</v>
      </c>
      <c r="AB22" s="1813">
        <v>1</v>
      </c>
      <c r="AC22" s="1813">
        <v>1</v>
      </c>
    </row>
    <row r="23" spans="1:29" ht="71.25">
      <c r="A23" s="428"/>
      <c r="B23" s="451" t="s">
        <v>2691</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203"/>
      <c r="Q24" s="1812"/>
      <c r="R24" s="774"/>
      <c r="S24" s="775"/>
      <c r="T24" s="774"/>
      <c r="U24" s="775"/>
      <c r="V24" s="774"/>
      <c r="W24" s="775"/>
      <c r="X24" s="1815"/>
      <c r="Y24" s="320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2">
        <f>B25</f>
        <v>111</v>
      </c>
      <c r="R25" s="774" t="s">
        <v>17</v>
      </c>
      <c r="S25" s="775">
        <f>F25</f>
        <v>100</v>
      </c>
      <c r="T25" s="774" t="s">
        <v>17</v>
      </c>
      <c r="U25" s="775">
        <f>H25</f>
        <v>100</v>
      </c>
      <c r="V25" s="774" t="s">
        <v>17</v>
      </c>
      <c r="W25" s="775">
        <f>J25</f>
        <v>100</v>
      </c>
      <c r="X25" s="1815"/>
      <c r="Y25" s="320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2">
        <f t="shared" ref="Q26:Q40" si="11">B26</f>
        <v>111</v>
      </c>
      <c r="R26" s="774" t="s">
        <v>17</v>
      </c>
      <c r="S26" s="775">
        <f>F26</f>
        <v>100</v>
      </c>
      <c r="T26" s="774" t="s">
        <v>17</v>
      </c>
      <c r="U26" s="775">
        <f>H26</f>
        <v>100</v>
      </c>
      <c r="V26" s="774" t="s">
        <v>17</v>
      </c>
      <c r="W26" s="775">
        <f>J26</f>
        <v>100</v>
      </c>
      <c r="X26" s="1815"/>
      <c r="Y26" s="320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7">
        <f t="shared" si="11"/>
        <v>111</v>
      </c>
      <c r="R27" s="770" t="s">
        <v>17</v>
      </c>
      <c r="S27" s="771">
        <f>F27</f>
        <v>100</v>
      </c>
      <c r="T27" s="770" t="s">
        <v>17</v>
      </c>
      <c r="U27" s="771">
        <f>H27</f>
        <v>100</v>
      </c>
      <c r="V27" s="770" t="s">
        <v>17</v>
      </c>
      <c r="W27" s="771">
        <f>J27</f>
        <v>100</v>
      </c>
      <c r="X27" s="772"/>
      <c r="Y27" s="320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2">
        <f t="shared" si="11"/>
        <v>111</v>
      </c>
      <c r="R28" s="774" t="s">
        <v>17</v>
      </c>
      <c r="S28" s="775">
        <f t="shared" ref="S28:S40" si="12">F28</f>
        <v>100</v>
      </c>
      <c r="T28" s="774" t="s">
        <v>17</v>
      </c>
      <c r="U28" s="775">
        <f t="shared" ref="U28:U40" si="13">H28</f>
        <v>100</v>
      </c>
      <c r="V28" s="774" t="s">
        <v>17</v>
      </c>
      <c r="W28" s="775">
        <f t="shared" ref="W28:W40" si="14">J28</f>
        <v>100</v>
      </c>
      <c r="X28" s="1815"/>
      <c r="Y28" s="3203"/>
      <c r="Z28" s="1816">
        <f t="shared" ref="Z28:Z40" si="15">Q28</f>
        <v>111</v>
      </c>
      <c r="AA28" s="1813">
        <f t="shared" si="3"/>
        <v>1</v>
      </c>
      <c r="AB28" s="1813">
        <f t="shared" si="4"/>
        <v>1</v>
      </c>
      <c r="AC28" s="1813">
        <f t="shared" si="5"/>
        <v>1</v>
      </c>
    </row>
    <row r="29" spans="1:29" ht="15">
      <c r="A29" s="466" t="s">
        <v>2564</v>
      </c>
      <c r="B29" s="71" t="s">
        <v>2694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58" t="s">
        <v>2566</v>
      </c>
      <c r="Q29" s="1812" t="str">
        <f t="shared" si="11"/>
        <v>建筑类型</v>
      </c>
      <c r="R29" s="774" t="s">
        <v>17</v>
      </c>
      <c r="S29" s="775">
        <f t="shared" si="12"/>
        <v>100</v>
      </c>
      <c r="T29" s="774" t="s">
        <v>17</v>
      </c>
      <c r="U29" s="775">
        <f t="shared" si="13"/>
        <v>100</v>
      </c>
      <c r="V29" s="774" t="s">
        <v>17</v>
      </c>
      <c r="W29" s="775">
        <f t="shared" si="14"/>
        <v>100</v>
      </c>
      <c r="X29" s="1815"/>
      <c r="Y29" s="3207"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2" t="str">
        <f t="shared" si="11"/>
        <v>建筑结构</v>
      </c>
      <c r="R31" s="774" t="s">
        <v>17</v>
      </c>
      <c r="S31" s="775">
        <f t="shared" si="12"/>
        <v>100</v>
      </c>
      <c r="T31" s="774" t="s">
        <v>17</v>
      </c>
      <c r="U31" s="775">
        <f t="shared" si="13"/>
        <v>100</v>
      </c>
      <c r="V31" s="774" t="s">
        <v>17</v>
      </c>
      <c r="W31" s="775">
        <f t="shared" si="14"/>
        <v>100</v>
      </c>
      <c r="X31" s="1815"/>
      <c r="Y31" s="3207"/>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2" t="str">
        <f t="shared" si="11"/>
        <v>公共部分装修</v>
      </c>
      <c r="R32" s="774" t="s">
        <v>17</v>
      </c>
      <c r="S32" s="775">
        <f t="shared" si="12"/>
        <v>100</v>
      </c>
      <c r="T32" s="774" t="s">
        <v>17</v>
      </c>
      <c r="U32" s="775">
        <f t="shared" si="13"/>
        <v>100</v>
      </c>
      <c r="V32" s="774" t="s">
        <v>17</v>
      </c>
      <c r="W32" s="775">
        <f t="shared" si="14"/>
        <v>100</v>
      </c>
      <c r="X32" s="1815"/>
      <c r="Y32" s="3207"/>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2" t="str">
        <f t="shared" si="11"/>
        <v>成新度</v>
      </c>
      <c r="R33" s="774" t="s">
        <v>17</v>
      </c>
      <c r="S33" s="775" t="e">
        <f t="shared" si="12"/>
        <v>#N/A</v>
      </c>
      <c r="T33" s="774" t="s">
        <v>17</v>
      </c>
      <c r="U33" s="775" t="e">
        <f t="shared" si="13"/>
        <v>#N/A</v>
      </c>
      <c r="V33" s="774" t="s">
        <v>17</v>
      </c>
      <c r="W33" s="775" t="e">
        <f t="shared" si="14"/>
        <v>#N/A</v>
      </c>
      <c r="X33" s="1815"/>
      <c r="Y33" s="3207"/>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7"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2566</v>
      </c>
      <c r="Q35" s="1812" t="str">
        <f t="shared" si="11"/>
        <v>市政基础设施</v>
      </c>
      <c r="R35" s="774" t="s">
        <v>17</v>
      </c>
      <c r="S35" s="775">
        <f t="shared" si="12"/>
        <v>100</v>
      </c>
      <c r="T35" s="774" t="s">
        <v>17</v>
      </c>
      <c r="U35" s="775">
        <f t="shared" si="13"/>
        <v>100</v>
      </c>
      <c r="V35" s="774" t="s">
        <v>17</v>
      </c>
      <c r="W35" s="775">
        <f t="shared" si="14"/>
        <v>100</v>
      </c>
      <c r="X35" s="1815"/>
      <c r="Y35" s="3207"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2" t="str">
        <f t="shared" si="11"/>
        <v>内部装修</v>
      </c>
      <c r="R36" s="774" t="s">
        <v>17</v>
      </c>
      <c r="S36" s="775">
        <f t="shared" si="12"/>
        <v>100</v>
      </c>
      <c r="T36" s="774" t="s">
        <v>17</v>
      </c>
      <c r="U36" s="775">
        <f t="shared" si="13"/>
        <v>100</v>
      </c>
      <c r="V36" s="774" t="s">
        <v>17</v>
      </c>
      <c r="W36" s="775">
        <f t="shared" si="14"/>
        <v>100</v>
      </c>
      <c r="X36" s="1815"/>
      <c r="Y36" s="3207"/>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2" t="str">
        <f t="shared" si="11"/>
        <v>内部装修状况</v>
      </c>
      <c r="R37" s="774" t="s">
        <v>17</v>
      </c>
      <c r="S37" s="775">
        <f t="shared" si="12"/>
        <v>100</v>
      </c>
      <c r="T37" s="774" t="s">
        <v>17</v>
      </c>
      <c r="U37" s="775">
        <f t="shared" si="13"/>
        <v>100</v>
      </c>
      <c r="V37" s="774" t="s">
        <v>17</v>
      </c>
      <c r="W37" s="775">
        <f t="shared" si="14"/>
        <v>100</v>
      </c>
      <c r="X37" s="1815"/>
      <c r="Y37" s="320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2">
        <f t="shared" si="11"/>
        <v>111</v>
      </c>
      <c r="R39" s="774" t="s">
        <v>17</v>
      </c>
      <c r="S39" s="775">
        <f t="shared" si="12"/>
        <v>100</v>
      </c>
      <c r="T39" s="774" t="s">
        <v>17</v>
      </c>
      <c r="U39" s="775">
        <f t="shared" si="13"/>
        <v>100</v>
      </c>
      <c r="V39" s="774" t="s">
        <v>17</v>
      </c>
      <c r="W39" s="775">
        <f t="shared" si="14"/>
        <v>100</v>
      </c>
      <c r="X39" s="1815"/>
      <c r="Y39" s="3207"/>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2">
        <f t="shared" si="11"/>
        <v>111</v>
      </c>
      <c r="R40" s="774" t="s">
        <v>17</v>
      </c>
      <c r="S40" s="775">
        <f t="shared" si="12"/>
        <v>100</v>
      </c>
      <c r="T40" s="774" t="s">
        <v>17</v>
      </c>
      <c r="U40" s="775">
        <f t="shared" si="13"/>
        <v>100</v>
      </c>
      <c r="V40" s="774" t="s">
        <v>17</v>
      </c>
      <c r="W40" s="775">
        <f t="shared" si="14"/>
        <v>100</v>
      </c>
      <c r="X40" s="1815"/>
      <c r="Y40" s="3208"/>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2560</v>
      </c>
      <c r="B14" s="629" t="s">
        <v>2710</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3"/>
      <c r="Q15" s="1812"/>
      <c r="R15" s="774"/>
      <c r="S15" s="775"/>
      <c r="T15" s="774"/>
      <c r="U15" s="775"/>
      <c r="V15" s="774"/>
      <c r="W15" s="775"/>
      <c r="X15" s="1815"/>
      <c r="Y15" s="3203"/>
      <c r="Z15" s="1816"/>
      <c r="AA15" s="1813">
        <v>1</v>
      </c>
      <c r="AB15" s="1813">
        <v>1</v>
      </c>
      <c r="AC15" s="1813">
        <v>1</v>
      </c>
    </row>
    <row r="16" spans="1:29" ht="42.75">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203"/>
      <c r="Q17" s="1812"/>
      <c r="R17" s="774"/>
      <c r="S17" s="775"/>
      <c r="T17" s="774"/>
      <c r="U17" s="775"/>
      <c r="V17" s="774"/>
      <c r="W17" s="775"/>
      <c r="X17" s="1815"/>
      <c r="Y17" s="3203"/>
      <c r="Z17" s="1816"/>
      <c r="AA17" s="1813">
        <v>1</v>
      </c>
      <c r="AB17" s="1813">
        <v>1</v>
      </c>
      <c r="AC17" s="1813">
        <v>1</v>
      </c>
    </row>
    <row r="18" spans="1:29" ht="28.5">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203"/>
      <c r="Q19" s="1812"/>
      <c r="R19" s="774"/>
      <c r="S19" s="775"/>
      <c r="T19" s="774"/>
      <c r="U19" s="775"/>
      <c r="V19" s="774"/>
      <c r="W19" s="775"/>
      <c r="X19" s="1815"/>
      <c r="Y19" s="3203"/>
      <c r="Z19" s="1816"/>
      <c r="AA19" s="1813">
        <v>1</v>
      </c>
      <c r="AB19" s="1813">
        <v>1</v>
      </c>
      <c r="AC19" s="1813">
        <v>1</v>
      </c>
    </row>
    <row r="20" spans="1:29" ht="57">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3"/>
      <c r="Q21" s="1812"/>
      <c r="R21" s="774"/>
      <c r="S21" s="775"/>
      <c r="T21" s="774"/>
      <c r="U21" s="775"/>
      <c r="V21" s="774"/>
      <c r="W21" s="775"/>
      <c r="X21" s="1815"/>
      <c r="Y21" s="3203"/>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2">
        <f t="shared" ref="Q24:Q36"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15">
      <c r="A26" s="652" t="s">
        <v>2564</v>
      </c>
      <c r="B26" s="70" t="s">
        <v>2713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7"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2" t="str">
        <f t="shared" si="11"/>
        <v>公共部分装修</v>
      </c>
      <c r="R28" s="774" t="s">
        <v>17</v>
      </c>
      <c r="S28" s="775">
        <f t="shared" si="12"/>
        <v>100</v>
      </c>
      <c r="T28" s="774" t="s">
        <v>17</v>
      </c>
      <c r="U28" s="775">
        <f t="shared" si="13"/>
        <v>100</v>
      </c>
      <c r="V28" s="774" t="s">
        <v>17</v>
      </c>
      <c r="W28" s="775">
        <f t="shared" si="14"/>
        <v>100</v>
      </c>
      <c r="X28" s="1815"/>
      <c r="Y28" s="3207"/>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2" t="str">
        <f t="shared" si="11"/>
        <v>成新率</v>
      </c>
      <c r="R29" s="774" t="s">
        <v>17</v>
      </c>
      <c r="S29" s="775" t="e">
        <f t="shared" si="12"/>
        <v>#N/A</v>
      </c>
      <c r="T29" s="774" t="s">
        <v>17</v>
      </c>
      <c r="U29" s="775" t="e">
        <f t="shared" si="13"/>
        <v>#N/A</v>
      </c>
      <c r="V29" s="774" t="s">
        <v>17</v>
      </c>
      <c r="W29" s="775" t="e">
        <f t="shared" si="14"/>
        <v>#N/A</v>
      </c>
      <c r="X29" s="1815"/>
      <c r="Y29" s="3207"/>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2" t="str">
        <f t="shared" si="11"/>
        <v>物业等级</v>
      </c>
      <c r="R30" s="774" t="s">
        <v>17</v>
      </c>
      <c r="S30" s="775">
        <f t="shared" si="12"/>
        <v>100</v>
      </c>
      <c r="T30" s="774" t="s">
        <v>17</v>
      </c>
      <c r="U30" s="775">
        <f t="shared" si="13"/>
        <v>100</v>
      </c>
      <c r="V30" s="774" t="s">
        <v>17</v>
      </c>
      <c r="W30" s="775">
        <f t="shared" si="14"/>
        <v>100</v>
      </c>
      <c r="X30" s="1815"/>
      <c r="Y30" s="3207"/>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7"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2566</v>
      </c>
      <c r="Q32" s="1812" t="str">
        <f t="shared" si="11"/>
        <v>车位类型</v>
      </c>
      <c r="R32" s="774" t="s">
        <v>17</v>
      </c>
      <c r="S32" s="775">
        <f t="shared" si="12"/>
        <v>100</v>
      </c>
      <c r="T32" s="774" t="s">
        <v>17</v>
      </c>
      <c r="U32" s="775">
        <f t="shared" si="13"/>
        <v>100</v>
      </c>
      <c r="V32" s="774" t="s">
        <v>17</v>
      </c>
      <c r="W32" s="775">
        <f t="shared" si="14"/>
        <v>100</v>
      </c>
      <c r="X32" s="1815"/>
      <c r="Y32" s="3207"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2" t="str">
        <f t="shared" si="11"/>
        <v>是否直接入户</v>
      </c>
      <c r="R33" s="774" t="s">
        <v>17</v>
      </c>
      <c r="S33" s="775">
        <f t="shared" si="12"/>
        <v>100</v>
      </c>
      <c r="T33" s="774" t="s">
        <v>17</v>
      </c>
      <c r="U33" s="775">
        <f t="shared" si="13"/>
        <v>100</v>
      </c>
      <c r="V33" s="774" t="s">
        <v>17</v>
      </c>
      <c r="W33" s="775">
        <f t="shared" si="14"/>
        <v>100</v>
      </c>
      <c r="X33" s="1815"/>
      <c r="Y33" s="320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2">
        <f t="shared" si="11"/>
        <v>111</v>
      </c>
      <c r="R36" s="774" t="s">
        <v>17</v>
      </c>
      <c r="S36" s="775">
        <f t="shared" si="12"/>
        <v>100</v>
      </c>
      <c r="T36" s="774" t="s">
        <v>17</v>
      </c>
      <c r="U36" s="775">
        <f t="shared" si="13"/>
        <v>100</v>
      </c>
      <c r="V36" s="774" t="s">
        <v>17</v>
      </c>
      <c r="W36" s="775">
        <f t="shared" si="14"/>
        <v>100</v>
      </c>
      <c r="X36" s="1815"/>
      <c r="Y36" s="3207"/>
      <c r="Z36" s="1816">
        <f t="shared" si="15"/>
        <v>111</v>
      </c>
      <c r="AA36" s="1813">
        <f t="shared" si="3"/>
        <v>1</v>
      </c>
      <c r="AB36" s="1813">
        <f t="shared" si="4"/>
        <v>1</v>
      </c>
      <c r="AC36" s="1813">
        <f t="shared" si="5"/>
        <v>1</v>
      </c>
    </row>
    <row r="37" spans="1:29" ht="15">
      <c r="A37" s="479" t="s">
        <v>2721</v>
      </c>
      <c r="B37" s="2691" t="s">
        <v>2722</v>
      </c>
      <c r="C37" s="1409" t="s">
        <v>1</v>
      </c>
      <c r="D37" s="1410"/>
      <c r="E37" s="1411"/>
      <c r="F37" s="1412"/>
      <c r="G37" s="1413"/>
      <c r="H37" s="1414"/>
      <c r="I37" s="1411"/>
      <c r="J37" s="1414"/>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2560</v>
      </c>
      <c r="B14" s="69" t="s">
        <v>2710</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3"/>
      <c r="Q15" s="1812"/>
      <c r="R15" s="774"/>
      <c r="S15" s="775"/>
      <c r="T15" s="774"/>
      <c r="U15" s="775"/>
      <c r="V15" s="774"/>
      <c r="W15" s="775"/>
      <c r="X15" s="1815"/>
      <c r="Y15" s="3203"/>
      <c r="Z15" s="1816"/>
      <c r="AA15" s="1813">
        <v>1</v>
      </c>
      <c r="AB15" s="1813">
        <v>1</v>
      </c>
      <c r="AC15" s="1813">
        <v>1</v>
      </c>
    </row>
    <row r="16" spans="1:29" ht="42.75">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203"/>
      <c r="Q17" s="1812"/>
      <c r="R17" s="774"/>
      <c r="S17" s="775"/>
      <c r="T17" s="774"/>
      <c r="U17" s="775"/>
      <c r="V17" s="774"/>
      <c r="W17" s="775"/>
      <c r="X17" s="1815"/>
      <c r="Y17" s="3203"/>
      <c r="Z17" s="1816"/>
      <c r="AA17" s="1813">
        <v>1</v>
      </c>
      <c r="AB17" s="1813">
        <v>1</v>
      </c>
      <c r="AC17" s="1813">
        <v>1</v>
      </c>
    </row>
    <row r="18" spans="1:29" ht="28.5">
      <c r="A18" s="428"/>
      <c r="B18" s="1387"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203"/>
      <c r="Q19" s="1812"/>
      <c r="R19" s="774"/>
      <c r="S19" s="775"/>
      <c r="T19" s="774"/>
      <c r="U19" s="775"/>
      <c r="V19" s="774"/>
      <c r="W19" s="775"/>
      <c r="X19" s="1815"/>
      <c r="Y19" s="3203"/>
      <c r="Z19" s="1816"/>
      <c r="AA19" s="1813">
        <v>1</v>
      </c>
      <c r="AB19" s="1813">
        <v>1</v>
      </c>
      <c r="AC19" s="1813">
        <v>1</v>
      </c>
    </row>
    <row r="20" spans="1:29" ht="57">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3"/>
      <c r="Q21" s="1812"/>
      <c r="R21" s="774"/>
      <c r="S21" s="775"/>
      <c r="T21" s="774"/>
      <c r="U21" s="775"/>
      <c r="V21" s="774"/>
      <c r="W21" s="775"/>
      <c r="X21" s="1815"/>
      <c r="Y21" s="3203"/>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2">
        <f t="shared" ref="Q24:Q34"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15">
      <c r="A26" s="466" t="s">
        <v>2564</v>
      </c>
      <c r="B26" s="71" t="s">
        <v>2715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5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7"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2" t="str">
        <f t="shared" si="11"/>
        <v>物业等级</v>
      </c>
      <c r="R28" s="774" t="s">
        <v>17</v>
      </c>
      <c r="S28" s="775">
        <f t="shared" si="12"/>
        <v>100</v>
      </c>
      <c r="T28" s="774" t="s">
        <v>17</v>
      </c>
      <c r="U28" s="775">
        <f t="shared" si="13"/>
        <v>100</v>
      </c>
      <c r="V28" s="774" t="s">
        <v>17</v>
      </c>
      <c r="W28" s="775">
        <f t="shared" si="14"/>
        <v>100</v>
      </c>
      <c r="X28" s="1815"/>
      <c r="Y28" s="3207"/>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2" t="str">
        <f t="shared" si="11"/>
        <v>有无电梯</v>
      </c>
      <c r="R29" s="774" t="s">
        <v>17</v>
      </c>
      <c r="S29" s="775">
        <f t="shared" si="12"/>
        <v>100</v>
      </c>
      <c r="T29" s="774" t="s">
        <v>17</v>
      </c>
      <c r="U29" s="775">
        <f t="shared" si="13"/>
        <v>100</v>
      </c>
      <c r="V29" s="774" t="s">
        <v>17</v>
      </c>
      <c r="W29" s="775">
        <f t="shared" si="14"/>
        <v>100</v>
      </c>
      <c r="X29" s="1815"/>
      <c r="Y29" s="3207"/>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2" t="str">
        <f t="shared" si="11"/>
        <v>建筑面积</v>
      </c>
      <c r="R30" s="774" t="s">
        <v>17</v>
      </c>
      <c r="S30" s="775" t="e">
        <f t="shared" si="12"/>
        <v>#N/A</v>
      </c>
      <c r="T30" s="774" t="s">
        <v>17</v>
      </c>
      <c r="U30" s="775" t="e">
        <f t="shared" si="13"/>
        <v>#N/A</v>
      </c>
      <c r="V30" s="774" t="s">
        <v>17</v>
      </c>
      <c r="W30" s="775" t="e">
        <f t="shared" si="14"/>
        <v>#N/A</v>
      </c>
      <c r="X30" s="1815"/>
      <c r="Y30" s="3207"/>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7"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2566</v>
      </c>
      <c r="Q32" s="1812">
        <f t="shared" si="11"/>
        <v>111</v>
      </c>
      <c r="R32" s="774" t="s">
        <v>17</v>
      </c>
      <c r="S32" s="775">
        <f t="shared" si="12"/>
        <v>100</v>
      </c>
      <c r="T32" s="774" t="s">
        <v>17</v>
      </c>
      <c r="U32" s="775">
        <f t="shared" si="13"/>
        <v>100</v>
      </c>
      <c r="V32" s="774" t="s">
        <v>17</v>
      </c>
      <c r="W32" s="775">
        <f t="shared" si="14"/>
        <v>100</v>
      </c>
      <c r="X32" s="1815"/>
      <c r="Y32" s="3207" t="s">
        <v>2566</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2">
        <f t="shared" si="11"/>
        <v>111</v>
      </c>
      <c r="R33" s="774" t="s">
        <v>17</v>
      </c>
      <c r="S33" s="775">
        <f t="shared" si="12"/>
        <v>100</v>
      </c>
      <c r="T33" s="774" t="s">
        <v>17</v>
      </c>
      <c r="U33" s="775">
        <f t="shared" si="13"/>
        <v>100</v>
      </c>
      <c r="V33" s="774" t="s">
        <v>17</v>
      </c>
      <c r="W33" s="775">
        <f t="shared" si="14"/>
        <v>100</v>
      </c>
      <c r="X33" s="1815"/>
      <c r="Y33" s="3207"/>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30"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30"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30" s="117" customFormat="1" ht="15.75" thickBot="1">
      <c r="A7" s="408" t="s">
        <v>2549</v>
      </c>
      <c r="B7" s="409"/>
      <c r="C7" s="410">
        <f>'数据-取费表'!B2</f>
        <v>43228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5" si="3">D8/F8</f>
        <v>#DIV/0!</v>
      </c>
      <c r="AB8" s="773" t="e">
        <f t="shared" ref="AB8:AB45" si="4">D8/H8</f>
        <v>#DIV/0!</v>
      </c>
      <c r="AC8" s="773" t="e">
        <f t="shared" ref="AC8:AC45" si="5">D8/J8</f>
        <v>#DIV/0!</v>
      </c>
    </row>
    <row r="9" spans="1:30" s="117" customFormat="1">
      <c r="A9" s="415" t="s">
        <v>2554</v>
      </c>
      <c r="B9" s="71" t="s">
        <v>2555</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00"/>
      <c r="Q10" s="1797" t="str">
        <f t="shared" si="6"/>
        <v>土地使用年限（年）</v>
      </c>
      <c r="R10" s="770" t="s">
        <v>17</v>
      </c>
      <c r="S10" s="771">
        <f t="shared" si="0"/>
        <v>114</v>
      </c>
      <c r="T10" s="770" t="s">
        <v>17</v>
      </c>
      <c r="U10" s="771">
        <f t="shared" si="1"/>
        <v>114</v>
      </c>
      <c r="V10" s="770" t="s">
        <v>17</v>
      </c>
      <c r="W10" s="771">
        <f t="shared" si="2"/>
        <v>114</v>
      </c>
      <c r="X10" s="772"/>
      <c r="Y10" s="3005"/>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2561</v>
      </c>
      <c r="Q15" s="1812" t="str">
        <f t="shared" si="6"/>
        <v>居住社区成熟度</v>
      </c>
      <c r="R15" s="774" t="s">
        <v>17</v>
      </c>
      <c r="S15" s="775">
        <f t="shared" si="0"/>
        <v>100</v>
      </c>
      <c r="T15" s="774" t="s">
        <v>17</v>
      </c>
      <c r="U15" s="775">
        <f t="shared" si="1"/>
        <v>100</v>
      </c>
      <c r="V15" s="774" t="s">
        <v>17</v>
      </c>
      <c r="W15" s="775">
        <f t="shared" si="2"/>
        <v>100</v>
      </c>
      <c r="X15" s="1815"/>
      <c r="Y15" s="3202" t="s">
        <v>2561</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71.25">
      <c r="A17" s="428"/>
      <c r="B17" s="451" t="s">
        <v>2654</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2" t="str">
        <f>B17</f>
        <v>商业繁华度</v>
      </c>
      <c r="R17" s="774" t="s">
        <v>17</v>
      </c>
      <c r="S17" s="775">
        <f>F17</f>
        <v>100</v>
      </c>
      <c r="T17" s="774" t="s">
        <v>17</v>
      </c>
      <c r="U17" s="775">
        <f>H17</f>
        <v>100</v>
      </c>
      <c r="V17" s="774" t="s">
        <v>17</v>
      </c>
      <c r="W17" s="775">
        <f>J17</f>
        <v>100</v>
      </c>
      <c r="X17" s="1815"/>
      <c r="Y17" s="3203"/>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71.25">
      <c r="A19" s="428"/>
      <c r="B19" s="451" t="s">
        <v>2688</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2" t="str">
        <f>B19</f>
        <v>办公集聚程度</v>
      </c>
      <c r="R19" s="774" t="s">
        <v>17</v>
      </c>
      <c r="S19" s="775">
        <f>F19</f>
        <v>100</v>
      </c>
      <c r="T19" s="774" t="s">
        <v>17</v>
      </c>
      <c r="U19" s="775">
        <f>H19</f>
        <v>100</v>
      </c>
      <c r="V19" s="774" t="s">
        <v>17</v>
      </c>
      <c r="W19" s="775">
        <f>J19</f>
        <v>100</v>
      </c>
      <c r="X19" s="1815"/>
      <c r="Y19" s="3203"/>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203"/>
      <c r="Q20" s="1812"/>
      <c r="R20" s="774"/>
      <c r="S20" s="775"/>
      <c r="T20" s="774"/>
      <c r="U20" s="775"/>
      <c r="V20" s="774"/>
      <c r="W20" s="775"/>
      <c r="X20" s="1815"/>
      <c r="Y20" s="3203"/>
      <c r="Z20" s="1816"/>
      <c r="AA20" s="1813">
        <v>1</v>
      </c>
      <c r="AB20" s="1813">
        <v>1</v>
      </c>
      <c r="AC20" s="1813">
        <v>1</v>
      </c>
    </row>
    <row r="21" spans="1:29" ht="85.5">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2" t="str">
        <f>B21</f>
        <v>交通便捷度</v>
      </c>
      <c r="R21" s="774" t="s">
        <v>17</v>
      </c>
      <c r="S21" s="775">
        <f>F21</f>
        <v>100</v>
      </c>
      <c r="T21" s="774" t="s">
        <v>17</v>
      </c>
      <c r="U21" s="775">
        <f>H21</f>
        <v>100</v>
      </c>
      <c r="V21" s="774" t="s">
        <v>17</v>
      </c>
      <c r="W21" s="775">
        <f>J21</f>
        <v>100</v>
      </c>
      <c r="X21" s="1815"/>
      <c r="Y21" s="3203"/>
      <c r="Z21" s="1816" t="str">
        <f>Q21</f>
        <v>交通便捷度</v>
      </c>
      <c r="AA21" s="1813">
        <f t="shared" si="3"/>
        <v>1</v>
      </c>
      <c r="AB21" s="1813">
        <f t="shared" si="4"/>
        <v>1</v>
      </c>
      <c r="AC21" s="1813">
        <f t="shared" si="5"/>
        <v>1</v>
      </c>
    </row>
    <row r="22" spans="1:29" ht="15">
      <c r="A22" s="428"/>
      <c r="B22" s="1387"/>
      <c r="C22" s="447"/>
      <c r="D22" s="450"/>
      <c r="E22" s="2601"/>
      <c r="F22" s="448"/>
      <c r="G22" s="2601"/>
      <c r="H22" s="448"/>
      <c r="I22" s="2600"/>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2" t="str">
        <f t="shared" ref="Q23:Q37" si="8">B23</f>
        <v>区域土地利用方向</v>
      </c>
      <c r="R23" s="774" t="s">
        <v>17</v>
      </c>
      <c r="S23" s="775">
        <f>F23</f>
        <v>100</v>
      </c>
      <c r="T23" s="774" t="s">
        <v>17</v>
      </c>
      <c r="U23" s="775">
        <f>H23</f>
        <v>100</v>
      </c>
      <c r="V23" s="774" t="s">
        <v>17</v>
      </c>
      <c r="W23" s="775">
        <f>J23</f>
        <v>100</v>
      </c>
      <c r="X23" s="1815"/>
      <c r="Y23" s="3203"/>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3"/>
      <c r="M24" s="1134"/>
      <c r="N24" s="1134"/>
      <c r="O24" s="1142"/>
      <c r="P24" s="3203"/>
      <c r="Q24" s="1812"/>
      <c r="R24" s="774"/>
      <c r="S24" s="775"/>
      <c r="T24" s="774"/>
      <c r="U24" s="775"/>
      <c r="V24" s="774"/>
      <c r="W24" s="775"/>
      <c r="X24" s="1815"/>
      <c r="Y24" s="3203"/>
      <c r="Z24" s="1816"/>
      <c r="AA24" s="1813"/>
      <c r="AB24" s="1813"/>
      <c r="AC24" s="1813"/>
    </row>
    <row r="25" spans="1:29" ht="57">
      <c r="A25" s="404"/>
      <c r="B25" s="1387" t="s">
        <v>2750</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2" t="str">
        <f t="shared" si="8"/>
        <v>自然及人文环境状况</v>
      </c>
      <c r="R25" s="774" t="s">
        <v>17</v>
      </c>
      <c r="S25" s="775">
        <f>F25</f>
        <v>100</v>
      </c>
      <c r="T25" s="774" t="s">
        <v>17</v>
      </c>
      <c r="U25" s="775">
        <f>H25</f>
        <v>100</v>
      </c>
      <c r="V25" s="774" t="s">
        <v>17</v>
      </c>
      <c r="W25" s="775">
        <f>J25</f>
        <v>100</v>
      </c>
      <c r="X25" s="1815"/>
      <c r="Y25" s="3203"/>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3"/>
      <c r="M26" s="1134"/>
      <c r="N26" s="1134"/>
      <c r="O26" s="1142"/>
      <c r="P26" s="3203"/>
      <c r="Q26" s="1812"/>
      <c r="R26" s="774"/>
      <c r="S26" s="775"/>
      <c r="T26" s="774"/>
      <c r="U26" s="775"/>
      <c r="V26" s="774"/>
      <c r="W26" s="775"/>
      <c r="X26" s="1815"/>
      <c r="Y26" s="3203"/>
      <c r="Z26" s="1816"/>
      <c r="AA26" s="1813">
        <v>1</v>
      </c>
      <c r="AB26" s="1813">
        <v>1</v>
      </c>
      <c r="AC26" s="1813">
        <v>1</v>
      </c>
    </row>
    <row r="27" spans="1:29" s="117" customFormat="1" ht="42.75">
      <c r="A27" s="649"/>
      <c r="B27" s="1387"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7" t="str">
        <f t="shared" si="8"/>
        <v>公共配套设施</v>
      </c>
      <c r="R27" s="770" t="s">
        <v>17</v>
      </c>
      <c r="S27" s="771">
        <f>F27</f>
        <v>100</v>
      </c>
      <c r="T27" s="770" t="s">
        <v>17</v>
      </c>
      <c r="U27" s="771">
        <f>H27</f>
        <v>100</v>
      </c>
      <c r="V27" s="770" t="s">
        <v>17</v>
      </c>
      <c r="W27" s="771">
        <f>J27</f>
        <v>100</v>
      </c>
      <c r="X27" s="772"/>
      <c r="Y27" s="3203"/>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5"/>
      <c r="M28" s="1136"/>
      <c r="N28" s="1136"/>
      <c r="O28" s="1137"/>
      <c r="P28" s="3203"/>
      <c r="Q28" s="1797"/>
      <c r="R28" s="770"/>
      <c r="S28" s="771"/>
      <c r="T28" s="770"/>
      <c r="U28" s="771"/>
      <c r="V28" s="770"/>
      <c r="W28" s="771"/>
      <c r="X28" s="772"/>
      <c r="Y28" s="3203"/>
      <c r="Z28" s="55"/>
      <c r="AA28" s="1813">
        <v>1</v>
      </c>
      <c r="AB28" s="1813">
        <v>1</v>
      </c>
      <c r="AC28" s="1813">
        <v>1</v>
      </c>
    </row>
    <row r="29" spans="1:29" s="117" customFormat="1" ht="28.5">
      <c r="A29" s="649"/>
      <c r="B29" s="1387"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7"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5"/>
      <c r="M30" s="1136"/>
      <c r="N30" s="1136"/>
      <c r="O30" s="1137"/>
      <c r="P30" s="3203"/>
      <c r="Q30" s="1797"/>
      <c r="R30" s="770"/>
      <c r="S30" s="771"/>
      <c r="T30" s="770"/>
      <c r="U30" s="771"/>
      <c r="V30" s="770"/>
      <c r="W30" s="771"/>
      <c r="X30" s="772"/>
      <c r="Y30" s="3203"/>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3"/>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2" t="str">
        <f t="shared" si="8"/>
        <v>毗邻道路的类型与等级</v>
      </c>
      <c r="R32" s="774" t="s">
        <v>17</v>
      </c>
      <c r="S32" s="775">
        <f t="shared" si="10"/>
        <v>100</v>
      </c>
      <c r="T32" s="774" t="s">
        <v>17</v>
      </c>
      <c r="U32" s="775">
        <f t="shared" si="11"/>
        <v>100</v>
      </c>
      <c r="V32" s="774" t="s">
        <v>17</v>
      </c>
      <c r="W32" s="775">
        <f t="shared" si="12"/>
        <v>100</v>
      </c>
      <c r="X32" s="1815"/>
      <c r="Y32" s="3203"/>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3"/>
      <c r="M33" s="1134"/>
      <c r="N33" s="1134"/>
      <c r="O33" s="1142"/>
      <c r="P33" s="3203"/>
      <c r="Q33" s="1812"/>
      <c r="R33" s="774"/>
      <c r="S33" s="775"/>
      <c r="T33" s="774"/>
      <c r="U33" s="775"/>
      <c r="V33" s="774"/>
      <c r="W33" s="775"/>
      <c r="X33" s="1815"/>
      <c r="Y33" s="3203"/>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2" t="str">
        <f t="shared" si="8"/>
        <v>土地级别</v>
      </c>
      <c r="R34" s="774" t="s">
        <v>17</v>
      </c>
      <c r="S34" s="775">
        <f t="shared" si="10"/>
        <v>100</v>
      </c>
      <c r="T34" s="774" t="s">
        <v>17</v>
      </c>
      <c r="U34" s="775">
        <f t="shared" si="11"/>
        <v>100</v>
      </c>
      <c r="V34" s="774" t="s">
        <v>17</v>
      </c>
      <c r="W34" s="775">
        <f t="shared" si="12"/>
        <v>100</v>
      </c>
      <c r="X34" s="1815"/>
      <c r="Y34" s="320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2">
        <f t="shared" si="8"/>
        <v>111</v>
      </c>
      <c r="R35" s="774" t="s">
        <v>17</v>
      </c>
      <c r="S35" s="775">
        <f t="shared" si="10"/>
        <v>100</v>
      </c>
      <c r="T35" s="774" t="s">
        <v>17</v>
      </c>
      <c r="U35" s="775">
        <f t="shared" si="11"/>
        <v>100</v>
      </c>
      <c r="V35" s="774" t="s">
        <v>17</v>
      </c>
      <c r="W35" s="775">
        <f t="shared" si="12"/>
        <v>100</v>
      </c>
      <c r="X35" s="1815"/>
      <c r="Y35" s="320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2566</v>
      </c>
      <c r="Q36" s="1812">
        <f t="shared" si="8"/>
        <v>111</v>
      </c>
      <c r="R36" s="774" t="s">
        <v>17</v>
      </c>
      <c r="S36" s="775">
        <f t="shared" si="10"/>
        <v>100</v>
      </c>
      <c r="T36" s="774" t="s">
        <v>17</v>
      </c>
      <c r="U36" s="775">
        <f t="shared" si="11"/>
        <v>100</v>
      </c>
      <c r="V36" s="774" t="s">
        <v>17</v>
      </c>
      <c r="W36" s="775">
        <f t="shared" si="12"/>
        <v>100</v>
      </c>
      <c r="X36" s="1815"/>
      <c r="Y36" s="3207"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2">
        <f t="shared" si="8"/>
        <v>111</v>
      </c>
      <c r="R37" s="777" t="s">
        <v>17</v>
      </c>
      <c r="S37" s="778">
        <f t="shared" si="10"/>
        <v>100</v>
      </c>
      <c r="T37" s="777" t="s">
        <v>17</v>
      </c>
      <c r="U37" s="778">
        <f t="shared" si="11"/>
        <v>100</v>
      </c>
      <c r="V37" s="777" t="s">
        <v>17</v>
      </c>
      <c r="W37" s="778">
        <f t="shared" si="12"/>
        <v>100</v>
      </c>
      <c r="X37" s="779"/>
      <c r="Y37" s="3207"/>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2" t="str">
        <f>B38</f>
        <v>宗地面积</v>
      </c>
      <c r="R38" s="774" t="s">
        <v>17</v>
      </c>
      <c r="S38" s="775" t="e">
        <f t="shared" si="10"/>
        <v>#N/A</v>
      </c>
      <c r="T38" s="774" t="s">
        <v>17</v>
      </c>
      <c r="U38" s="775" t="e">
        <f t="shared" si="11"/>
        <v>#N/A</v>
      </c>
      <c r="V38" s="774" t="s">
        <v>17</v>
      </c>
      <c r="W38" s="775" t="e">
        <f t="shared" si="12"/>
        <v>#N/A</v>
      </c>
      <c r="X38" s="1815"/>
      <c r="Y38" s="3207"/>
      <c r="Z38" s="1816" t="str">
        <f t="shared" si="13"/>
        <v>宗地面积</v>
      </c>
      <c r="AA38" s="1813" t="e">
        <f t="shared" si="3"/>
        <v>#N/A</v>
      </c>
      <c r="AB38" s="1813" t="e">
        <f t="shared" si="4"/>
        <v>#N/A</v>
      </c>
      <c r="AC38" s="1813"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3"/>
      <c r="M39" s="1134"/>
      <c r="N39" s="1134"/>
      <c r="O39" s="1142"/>
      <c r="P39" s="3207"/>
      <c r="Q39" s="1812" t="str">
        <f t="shared" ref="Q39:Q45" si="14">B39</f>
        <v>宗地形状</v>
      </c>
      <c r="R39" s="774" t="s">
        <v>17</v>
      </c>
      <c r="S39" s="775">
        <f t="shared" si="10"/>
        <v>100</v>
      </c>
      <c r="T39" s="774" t="s">
        <v>17</v>
      </c>
      <c r="U39" s="775">
        <f t="shared" si="11"/>
        <v>100</v>
      </c>
      <c r="V39" s="774" t="s">
        <v>17</v>
      </c>
      <c r="W39" s="775">
        <f t="shared" si="12"/>
        <v>100</v>
      </c>
      <c r="X39" s="1815"/>
      <c r="Y39" s="3207"/>
      <c r="Z39" s="1816" t="str">
        <f t="shared" si="13"/>
        <v>宗地形状</v>
      </c>
      <c r="AA39" s="1813">
        <f t="shared" si="3"/>
        <v>1</v>
      </c>
      <c r="AB39" s="1813">
        <f t="shared" si="4"/>
        <v>1</v>
      </c>
      <c r="AC39" s="1813">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207"/>
      <c r="Q40" s="1812" t="str">
        <f t="shared" si="14"/>
        <v>临街宽度及深度</v>
      </c>
      <c r="R40" s="774" t="s">
        <v>17</v>
      </c>
      <c r="S40" s="775">
        <f t="shared" si="10"/>
        <v>100</v>
      </c>
      <c r="T40" s="774" t="s">
        <v>17</v>
      </c>
      <c r="U40" s="775">
        <f t="shared" si="11"/>
        <v>100</v>
      </c>
      <c r="V40" s="774" t="s">
        <v>17</v>
      </c>
      <c r="W40" s="775">
        <f t="shared" si="12"/>
        <v>100</v>
      </c>
      <c r="X40" s="1815"/>
      <c r="Y40" s="3207"/>
      <c r="Z40" s="1816" t="str">
        <f t="shared" si="13"/>
        <v>临街宽度及深度</v>
      </c>
      <c r="AA40" s="1813">
        <f t="shared" si="3"/>
        <v>1</v>
      </c>
      <c r="AB40" s="1813">
        <f t="shared" si="4"/>
        <v>1</v>
      </c>
      <c r="AC40" s="1813">
        <f t="shared" si="5"/>
        <v>1</v>
      </c>
    </row>
    <row r="41" spans="1:29" s="117" customFormat="1" ht="15">
      <c r="A41" s="473"/>
      <c r="B41" s="422" t="s">
        <v>2755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5"/>
      <c r="M41" s="1136"/>
      <c r="N41" s="1136"/>
      <c r="O41" s="1137"/>
      <c r="P41" s="3207"/>
      <c r="Q41" s="1812"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207" t="s">
        <v>2566</v>
      </c>
      <c r="Q42" s="1812" t="str">
        <f t="shared" si="14"/>
        <v>工程地质条件</v>
      </c>
      <c r="R42" s="774" t="s">
        <v>17</v>
      </c>
      <c r="S42" s="775">
        <f t="shared" si="10"/>
        <v>100</v>
      </c>
      <c r="T42" s="774" t="s">
        <v>17</v>
      </c>
      <c r="U42" s="775">
        <f t="shared" si="11"/>
        <v>100</v>
      </c>
      <c r="V42" s="774" t="s">
        <v>17</v>
      </c>
      <c r="W42" s="775">
        <f t="shared" si="12"/>
        <v>100</v>
      </c>
      <c r="X42" s="1815"/>
      <c r="Y42" s="3207"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2">
        <f t="shared" si="14"/>
        <v>111</v>
      </c>
      <c r="R43" s="774" t="s">
        <v>17</v>
      </c>
      <c r="S43" s="775">
        <f t="shared" si="10"/>
        <v>100</v>
      </c>
      <c r="T43" s="774" t="s">
        <v>17</v>
      </c>
      <c r="U43" s="775">
        <f t="shared" si="11"/>
        <v>100</v>
      </c>
      <c r="V43" s="774" t="s">
        <v>17</v>
      </c>
      <c r="W43" s="775">
        <f t="shared" si="12"/>
        <v>100</v>
      </c>
      <c r="X43" s="1815"/>
      <c r="Y43" s="3207"/>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2">
        <f t="shared" si="14"/>
        <v>111</v>
      </c>
      <c r="R44" s="774" t="s">
        <v>17</v>
      </c>
      <c r="S44" s="775">
        <f t="shared" si="10"/>
        <v>100</v>
      </c>
      <c r="T44" s="774" t="s">
        <v>17</v>
      </c>
      <c r="U44" s="775">
        <f t="shared" si="11"/>
        <v>100</v>
      </c>
      <c r="V44" s="774" t="s">
        <v>17</v>
      </c>
      <c r="W44" s="775">
        <f t="shared" si="12"/>
        <v>100</v>
      </c>
      <c r="X44" s="1815"/>
      <c r="Y44" s="3207"/>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2">
        <f t="shared" si="14"/>
        <v>111</v>
      </c>
      <c r="R45" s="777" t="s">
        <v>17</v>
      </c>
      <c r="S45" s="778">
        <f t="shared" si="10"/>
        <v>100</v>
      </c>
      <c r="T45" s="777" t="s">
        <v>17</v>
      </c>
      <c r="U45" s="778">
        <f t="shared" si="11"/>
        <v>100</v>
      </c>
      <c r="V45" s="777" t="s">
        <v>17</v>
      </c>
      <c r="W45" s="778">
        <f t="shared" si="12"/>
        <v>100</v>
      </c>
      <c r="X45" s="779"/>
      <c r="Y45" s="3207"/>
      <c r="Z45" s="780">
        <f t="shared" si="13"/>
        <v>111</v>
      </c>
      <c r="AA45" s="1813">
        <f t="shared" si="3"/>
        <v>1</v>
      </c>
      <c r="AB45" s="1813">
        <f t="shared" si="4"/>
        <v>1</v>
      </c>
      <c r="AC45" s="1813">
        <f t="shared" si="5"/>
        <v>1</v>
      </c>
    </row>
    <row r="46" spans="1:29" ht="15">
      <c r="A46" s="479" t="s">
        <v>2721</v>
      </c>
      <c r="B46" s="2700" t="s">
        <v>2757</v>
      </c>
      <c r="C46" s="682" t="s">
        <v>1</v>
      </c>
      <c r="D46" s="481"/>
      <c r="E46" s="482"/>
      <c r="F46" s="483"/>
      <c r="G46" s="484"/>
      <c r="H46" s="485"/>
      <c r="I46" s="482"/>
      <c r="J46" s="485"/>
      <c r="K46" s="783"/>
      <c r="L46" s="1146"/>
      <c r="M46" s="1147"/>
      <c r="N46" s="1134"/>
      <c r="O46" s="1147"/>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1" t="s">
        <v>2761</v>
      </c>
      <c r="D55" s="2702" t="s">
        <v>2762</v>
      </c>
      <c r="E55" s="686" t="s">
        <v>2763</v>
      </c>
      <c r="F55" s="1110" t="s">
        <v>2764</v>
      </c>
      <c r="G55" s="3215" t="s">
        <v>2765</v>
      </c>
      <c r="H55" s="3261"/>
      <c r="I55" s="144" t="s">
        <v>2766</v>
      </c>
      <c r="J55" s="2703">
        <f>项目基本情况!F35</f>
        <v>0</v>
      </c>
      <c r="K55" s="2704" t="s">
        <v>2767</v>
      </c>
      <c r="L55" s="1109"/>
      <c r="M55" s="1147"/>
      <c r="N55" s="1147"/>
      <c r="O55" s="1147"/>
    </row>
    <row r="56" spans="1:15" s="692" customFormat="1">
      <c r="A56" s="688" t="s">
        <v>2768</v>
      </c>
      <c r="B56" s="689" t="e">
        <f>C48</f>
        <v>#DIV/0!</v>
      </c>
      <c r="C56" s="690">
        <v>1</v>
      </c>
      <c r="D56" s="1166">
        <v>1</v>
      </c>
      <c r="E56" s="690">
        <f>'数据-汇总表'!E8+'数据-汇总表'!E9</f>
        <v>15950.359999999999</v>
      </c>
      <c r="F56" s="1106" t="e">
        <f t="shared" ref="F56:F65" si="15">ROUND(B56*E56/10000,0)</f>
        <v>#DIV/0!</v>
      </c>
      <c r="G56" s="3211"/>
      <c r="H56" s="3200"/>
      <c r="I56" s="1111">
        <v>1</v>
      </c>
      <c r="J56" s="1114">
        <v>1</v>
      </c>
      <c r="K56" s="1148"/>
      <c r="L56" s="944"/>
      <c r="M56" s="944"/>
      <c r="N56" s="944"/>
      <c r="O56" s="944"/>
    </row>
    <row r="57" spans="1:15" s="692" customFormat="1">
      <c r="A57" s="693" t="s">
        <v>2769</v>
      </c>
      <c r="B57" s="262" t="e">
        <f>ROUND($C$48*C57*D57,0)</f>
        <v>#DIV/0!</v>
      </c>
      <c r="C57" s="200">
        <f t="shared" ref="C57:C65" si="16">IF($C$55="北京市系数",I57,J57)</f>
        <v>0.6</v>
      </c>
      <c r="D57" s="1167">
        <v>0.25</v>
      </c>
      <c r="E57" s="694"/>
      <c r="F57" s="1106" t="e">
        <f t="shared" si="15"/>
        <v>#DIV/0!</v>
      </c>
      <c r="G57" s="3262" t="s">
        <v>2770</v>
      </c>
      <c r="H57" s="1107" t="str">
        <f>项目基本情况!B37</f>
        <v>九级</v>
      </c>
      <c r="I57" s="1111">
        <f>SUMIF(修正!A45:A56,H57,修正!B45:B56)</f>
        <v>0.6</v>
      </c>
      <c r="J57" s="1115"/>
      <c r="K57" s="1147"/>
      <c r="L57" s="944"/>
      <c r="M57" s="944"/>
      <c r="N57" s="944"/>
      <c r="O57" s="944"/>
    </row>
    <row r="58" spans="1:15" s="692" customFormat="1">
      <c r="A58" s="693" t="s">
        <v>2771</v>
      </c>
      <c r="B58" s="262" t="e">
        <f t="shared" ref="B58:B65" si="17">ROUND($C$48*C58*D58,0)</f>
        <v>#DIV/0!</v>
      </c>
      <c r="C58" s="200">
        <f t="shared" si="16"/>
        <v>0.3</v>
      </c>
      <c r="D58" s="1167">
        <v>0.25</v>
      </c>
      <c r="E58" s="694"/>
      <c r="F58" s="1106" t="e">
        <f t="shared" si="15"/>
        <v>#DIV/0!</v>
      </c>
      <c r="G58" s="3262"/>
      <c r="H58" s="1107" t="str">
        <f>项目基本情况!B37</f>
        <v>九级</v>
      </c>
      <c r="I58" s="1111">
        <f>SUMIF(修正!A45:A56,H58,修正!C45:C56)</f>
        <v>0.3</v>
      </c>
      <c r="J58" s="1115"/>
      <c r="K58" s="1148"/>
      <c r="L58" s="944"/>
      <c r="M58" s="944"/>
      <c r="N58" s="944"/>
      <c r="O58" s="944"/>
    </row>
    <row r="59" spans="1:15" s="692" customFormat="1">
      <c r="A59" s="693" t="s">
        <v>2772</v>
      </c>
      <c r="B59" s="262" t="e">
        <f t="shared" si="17"/>
        <v>#DIV/0!</v>
      </c>
      <c r="C59" s="200">
        <f t="shared" si="16"/>
        <v>0.2</v>
      </c>
      <c r="D59" s="1167">
        <v>0.25</v>
      </c>
      <c r="E59" s="694"/>
      <c r="F59" s="1106" t="e">
        <f t="shared" si="15"/>
        <v>#DIV/0!</v>
      </c>
      <c r="G59" s="3262"/>
      <c r="H59" s="1107" t="str">
        <f>项目基本情况!B37</f>
        <v>九级</v>
      </c>
      <c r="I59" s="1111">
        <f>SUMIF(修正!A45:A56,H59,修正!D45:D56)</f>
        <v>0.2</v>
      </c>
      <c r="J59" s="1115"/>
      <c r="K59" s="1147"/>
      <c r="L59" s="944"/>
      <c r="M59" s="944"/>
      <c r="N59" s="944"/>
      <c r="O59" s="944"/>
    </row>
    <row r="60" spans="1:15" s="692" customFormat="1">
      <c r="A60" s="693" t="s">
        <v>2773</v>
      </c>
      <c r="B60" s="262" t="e">
        <f t="shared" si="17"/>
        <v>#DIV/0!</v>
      </c>
      <c r="C60" s="200">
        <f t="shared" si="16"/>
        <v>0.2</v>
      </c>
      <c r="D60" s="1167">
        <v>0.25</v>
      </c>
      <c r="E60" s="694"/>
      <c r="F60" s="1106" t="e">
        <f t="shared" si="15"/>
        <v>#DIV/0!</v>
      </c>
      <c r="G60" s="3262"/>
      <c r="H60" s="1107" t="str">
        <f>项目基本情况!B37</f>
        <v>九级</v>
      </c>
      <c r="I60" s="1111">
        <f>SUMIF(修正!A45:A56,H60,修正!E45:E56)</f>
        <v>0.2</v>
      </c>
      <c r="J60" s="1115"/>
      <c r="K60" s="1148"/>
      <c r="L60" s="944"/>
      <c r="M60" s="944"/>
      <c r="N60" s="944"/>
      <c r="O60" s="944"/>
    </row>
    <row r="61" spans="1:15" s="692" customFormat="1">
      <c r="A61" s="693" t="s">
        <v>2774</v>
      </c>
      <c r="B61" s="262" t="e">
        <f t="shared" si="17"/>
        <v>#DIV/0!</v>
      </c>
      <c r="C61" s="200">
        <f t="shared" si="16"/>
        <v>0.2</v>
      </c>
      <c r="D61" s="1167">
        <v>0.25</v>
      </c>
      <c r="E61" s="261">
        <f>'数据-汇总表'!E11</f>
        <v>0</v>
      </c>
      <c r="F61" s="1106" t="e">
        <f t="shared" si="15"/>
        <v>#DIV/0!</v>
      </c>
      <c r="G61" s="2705" t="s">
        <v>2775</v>
      </c>
      <c r="H61" s="1107" t="str">
        <f>项目基本情况!C37</f>
        <v>九级</v>
      </c>
      <c r="I61" s="1111">
        <f>SUMIF(修正!A45:A56,H61,修正!F45:F56)</f>
        <v>0.2</v>
      </c>
      <c r="J61" s="1115"/>
      <c r="K61" s="1147"/>
      <c r="L61" s="944"/>
      <c r="M61" s="944"/>
      <c r="N61" s="944"/>
      <c r="O61" s="944"/>
    </row>
    <row r="62" spans="1:15" s="692" customFormat="1">
      <c r="A62" s="693" t="s">
        <v>2776</v>
      </c>
      <c r="B62" s="262" t="e">
        <f t="shared" si="17"/>
        <v>#DIV/0!</v>
      </c>
      <c r="C62" s="200">
        <f t="shared" si="16"/>
        <v>0.2</v>
      </c>
      <c r="D62" s="1167">
        <v>0.25</v>
      </c>
      <c r="E62" s="261">
        <f>'数据-汇总表'!E12</f>
        <v>0</v>
      </c>
      <c r="F62" s="1106" t="e">
        <f t="shared" si="15"/>
        <v>#DIV/0!</v>
      </c>
      <c r="G62" s="1112" t="s">
        <v>2777</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2778</v>
      </c>
      <c r="B63" s="262" t="e">
        <f t="shared" si="17"/>
        <v>#DIV/0!</v>
      </c>
      <c r="C63" s="200">
        <f t="shared" si="16"/>
        <v>0.15</v>
      </c>
      <c r="D63" s="1167">
        <v>0.25</v>
      </c>
      <c r="E63" s="261">
        <f>'数据-汇总表'!E13</f>
        <v>0</v>
      </c>
      <c r="F63" s="1106" t="e">
        <f t="shared" si="15"/>
        <v>#DIV/0!</v>
      </c>
      <c r="G63" s="1112" t="s">
        <v>2779</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2780</v>
      </c>
      <c r="B64" s="262" t="e">
        <f t="shared" si="17"/>
        <v>#DIV/0!</v>
      </c>
      <c r="C64" s="200">
        <f t="shared" si="16"/>
        <v>0.15</v>
      </c>
      <c r="D64" s="1167">
        <v>0.25</v>
      </c>
      <c r="E64" s="261">
        <f>'数据-汇总表'!E14</f>
        <v>0</v>
      </c>
      <c r="F64" s="1106" t="e">
        <f t="shared" si="15"/>
        <v>#DIV/0!</v>
      </c>
      <c r="G64" s="2705" t="s">
        <v>2770</v>
      </c>
      <c r="H64" s="1107" t="str">
        <f>项目基本情况!B37</f>
        <v>九级</v>
      </c>
      <c r="I64" s="1111">
        <f>SUMIF(修正!A45:A56,H64,修正!H45:H56)</f>
        <v>0.15</v>
      </c>
      <c r="J64" s="1115"/>
      <c r="K64" s="1148"/>
      <c r="L64" s="944"/>
      <c r="M64" s="944"/>
      <c r="N64" s="944"/>
      <c r="O64" s="944"/>
    </row>
    <row r="65" spans="1:17" s="692" customFormat="1" ht="15" thickBot="1">
      <c r="A65" s="693" t="s">
        <v>2781</v>
      </c>
      <c r="B65" s="262" t="e">
        <f t="shared" si="17"/>
        <v>#DIV/0!</v>
      </c>
      <c r="C65" s="200">
        <f t="shared" si="16"/>
        <v>0.15</v>
      </c>
      <c r="D65" s="1167">
        <v>0.25</v>
      </c>
      <c r="E65" s="261">
        <f>'数据-汇总表'!E15</f>
        <v>0</v>
      </c>
      <c r="F65" s="1106" t="e">
        <f t="shared" si="15"/>
        <v>#DIV/0!</v>
      </c>
      <c r="G65" s="2706" t="s">
        <v>2775</v>
      </c>
      <c r="H65" s="1117" t="str">
        <f>项目基本情况!C37</f>
        <v>九级</v>
      </c>
      <c r="I65" s="1113">
        <f>SUMIF(修正!A45:A56,H65,修正!H45:H56)</f>
        <v>0.15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15950.359999999999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07"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63" t="s">
        <v>2798</v>
      </c>
      <c r="D6" s="3264"/>
      <c r="E6" s="3265" t="s">
        <v>2798</v>
      </c>
      <c r="F6" s="3266"/>
      <c r="G6" s="3263" t="s">
        <v>2798</v>
      </c>
      <c r="H6" s="3264"/>
      <c r="I6" s="3263" t="s">
        <v>2798</v>
      </c>
      <c r="J6" s="3264"/>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43228</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00"/>
      <c r="Q10" s="1797" t="str">
        <f t="shared" si="6"/>
        <v>土地使用年限（年）</v>
      </c>
      <c r="R10" s="770" t="s">
        <v>17</v>
      </c>
      <c r="S10" s="771">
        <f t="shared" si="0"/>
        <v>114</v>
      </c>
      <c r="T10" s="770" t="s">
        <v>17</v>
      </c>
      <c r="U10" s="771">
        <f t="shared" si="1"/>
        <v>114</v>
      </c>
      <c r="V10" s="770" t="s">
        <v>17</v>
      </c>
      <c r="W10" s="771">
        <f t="shared" si="2"/>
        <v>114</v>
      </c>
      <c r="X10" s="772"/>
      <c r="Y10" s="3005"/>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114">
      <c r="A15" s="440" t="s">
        <v>2560</v>
      </c>
      <c r="B15" s="629" t="s">
        <v>2799</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128.25">
      <c r="A17" s="428"/>
      <c r="B17" s="631" t="s">
        <v>2710</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42.75">
      <c r="A19" s="428"/>
      <c r="B19" s="631" t="s">
        <v>2749</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2" t="str">
        <f t="shared" ref="Q19:Q33" si="8">B19</f>
        <v>区域土地利用方向</v>
      </c>
      <c r="R19" s="774" t="s">
        <v>17</v>
      </c>
      <c r="S19" s="775">
        <f>F19</f>
        <v>100</v>
      </c>
      <c r="T19" s="774" t="s">
        <v>17</v>
      </c>
      <c r="U19" s="775">
        <f>H19</f>
        <v>100</v>
      </c>
      <c r="V19" s="774" t="s">
        <v>17</v>
      </c>
      <c r="W19" s="775">
        <f>J19</f>
        <v>100</v>
      </c>
      <c r="X19" s="1815"/>
      <c r="Y19" s="3203"/>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203"/>
      <c r="Q20" s="1812"/>
      <c r="R20" s="774"/>
      <c r="S20" s="775"/>
      <c r="T20" s="774"/>
      <c r="U20" s="775"/>
      <c r="V20" s="774"/>
      <c r="W20" s="775"/>
      <c r="X20" s="1815"/>
      <c r="Y20" s="3203"/>
      <c r="Z20" s="1816"/>
      <c r="AA20" s="1813"/>
      <c r="AB20" s="1813"/>
      <c r="AC20" s="1813"/>
    </row>
    <row r="21" spans="1:29" ht="71.25">
      <c r="A21" s="404"/>
      <c r="B21" s="631" t="s">
        <v>2800</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2" t="str">
        <f t="shared" si="8"/>
        <v>环境状况</v>
      </c>
      <c r="R21" s="774" t="s">
        <v>17</v>
      </c>
      <c r="S21" s="775">
        <f>F21</f>
        <v>100</v>
      </c>
      <c r="T21" s="774" t="s">
        <v>17</v>
      </c>
      <c r="U21" s="775">
        <f>H21</f>
        <v>100</v>
      </c>
      <c r="V21" s="774" t="s">
        <v>17</v>
      </c>
      <c r="W21" s="775">
        <f>J21</f>
        <v>100</v>
      </c>
      <c r="X21" s="1815"/>
      <c r="Y21" s="3203"/>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s="117" customFormat="1" ht="156.75">
      <c r="A23" s="649"/>
      <c r="B23" s="633" t="s">
        <v>2655</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7" t="str">
        <f t="shared" si="8"/>
        <v>公共配套设施</v>
      </c>
      <c r="R23" s="770" t="s">
        <v>17</v>
      </c>
      <c r="S23" s="771">
        <f>F23</f>
        <v>100</v>
      </c>
      <c r="T23" s="770" t="s">
        <v>17</v>
      </c>
      <c r="U23" s="771">
        <f>H23</f>
        <v>100</v>
      </c>
      <c r="V23" s="770" t="s">
        <v>17</v>
      </c>
      <c r="W23" s="771">
        <f>J23</f>
        <v>100</v>
      </c>
      <c r="X23" s="772"/>
      <c r="Y23" s="3203"/>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203"/>
      <c r="Q24" s="1797"/>
      <c r="R24" s="770"/>
      <c r="S24" s="771"/>
      <c r="T24" s="770"/>
      <c r="U24" s="771"/>
      <c r="V24" s="770"/>
      <c r="W24" s="771"/>
      <c r="X24" s="772"/>
      <c r="Y24" s="3203"/>
      <c r="Z24" s="55"/>
      <c r="AA24" s="773">
        <v>1</v>
      </c>
      <c r="AB24" s="773">
        <v>1</v>
      </c>
      <c r="AC24" s="773">
        <v>1</v>
      </c>
    </row>
    <row r="25" spans="1:29" s="117" customFormat="1" ht="42.75">
      <c r="A25" s="649"/>
      <c r="B25" s="633" t="s">
        <v>2656</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7"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203"/>
      <c r="Q26" s="1797"/>
      <c r="R26" s="770"/>
      <c r="S26" s="771"/>
      <c r="T26" s="770"/>
      <c r="U26" s="771"/>
      <c r="V26" s="770"/>
      <c r="W26" s="771"/>
      <c r="X26" s="772"/>
      <c r="Y26" s="320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3"/>
      <c r="Z27" s="1816" t="str">
        <f t="shared" ref="Z27:Z40" si="13">Q27</f>
        <v>临街状况</v>
      </c>
      <c r="AA27" s="1813">
        <f t="shared" si="3"/>
        <v>1</v>
      </c>
      <c r="AB27" s="1813">
        <f t="shared" si="4"/>
        <v>1</v>
      </c>
      <c r="AC27" s="1813">
        <f t="shared" si="5"/>
        <v>1</v>
      </c>
    </row>
    <row r="28" spans="1:29" ht="28.5">
      <c r="A28" s="428"/>
      <c r="B28" s="633" t="s">
        <v>2692</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2" t="str">
        <f t="shared" si="8"/>
        <v>毗邻道路的类型与等级</v>
      </c>
      <c r="R28" s="774" t="s">
        <v>17</v>
      </c>
      <c r="S28" s="775">
        <f t="shared" si="10"/>
        <v>100</v>
      </c>
      <c r="T28" s="774" t="s">
        <v>17</v>
      </c>
      <c r="U28" s="775">
        <f t="shared" si="11"/>
        <v>100</v>
      </c>
      <c r="V28" s="774" t="s">
        <v>17</v>
      </c>
      <c r="W28" s="775">
        <f t="shared" si="12"/>
        <v>100</v>
      </c>
      <c r="X28" s="1815"/>
      <c r="Y28" s="3203"/>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203"/>
      <c r="Q29" s="1812"/>
      <c r="R29" s="774"/>
      <c r="S29" s="775"/>
      <c r="T29" s="774"/>
      <c r="U29" s="775"/>
      <c r="V29" s="774"/>
      <c r="W29" s="775"/>
      <c r="X29" s="1815"/>
      <c r="Y29" s="3203"/>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2" t="str">
        <f t="shared" si="8"/>
        <v>土地级别</v>
      </c>
      <c r="R30" s="774" t="s">
        <v>17</v>
      </c>
      <c r="S30" s="775">
        <f t="shared" si="10"/>
        <v>100</v>
      </c>
      <c r="T30" s="774" t="s">
        <v>17</v>
      </c>
      <c r="U30" s="775">
        <f t="shared" si="11"/>
        <v>100</v>
      </c>
      <c r="V30" s="774" t="s">
        <v>17</v>
      </c>
      <c r="W30" s="775">
        <f t="shared" si="12"/>
        <v>100</v>
      </c>
      <c r="X30" s="1815"/>
      <c r="Y30" s="3203"/>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2">
        <f t="shared" si="8"/>
        <v>111</v>
      </c>
      <c r="R31" s="774" t="s">
        <v>17</v>
      </c>
      <c r="S31" s="775">
        <f t="shared" si="10"/>
        <v>100</v>
      </c>
      <c r="T31" s="774" t="s">
        <v>17</v>
      </c>
      <c r="U31" s="775">
        <f t="shared" si="11"/>
        <v>100</v>
      </c>
      <c r="V31" s="774" t="s">
        <v>17</v>
      </c>
      <c r="W31" s="775">
        <f t="shared" si="12"/>
        <v>100</v>
      </c>
      <c r="X31" s="1815"/>
      <c r="Y31" s="3203"/>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2566</v>
      </c>
      <c r="Q32" s="1812">
        <f t="shared" si="8"/>
        <v>111</v>
      </c>
      <c r="R32" s="774" t="s">
        <v>17</v>
      </c>
      <c r="S32" s="775">
        <f t="shared" si="10"/>
        <v>100</v>
      </c>
      <c r="T32" s="774" t="s">
        <v>17</v>
      </c>
      <c r="U32" s="775">
        <f t="shared" si="11"/>
        <v>100</v>
      </c>
      <c r="V32" s="774" t="s">
        <v>17</v>
      </c>
      <c r="W32" s="775">
        <f t="shared" si="12"/>
        <v>100</v>
      </c>
      <c r="X32" s="1815"/>
      <c r="Y32" s="3207" t="s">
        <v>2566</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2">
        <f t="shared" si="8"/>
        <v>111</v>
      </c>
      <c r="R33" s="777" t="s">
        <v>17</v>
      </c>
      <c r="S33" s="778">
        <f t="shared" si="10"/>
        <v>100</v>
      </c>
      <c r="T33" s="777" t="s">
        <v>17</v>
      </c>
      <c r="U33" s="778">
        <f t="shared" si="11"/>
        <v>100</v>
      </c>
      <c r="V33" s="777" t="s">
        <v>17</v>
      </c>
      <c r="W33" s="778">
        <f t="shared" si="12"/>
        <v>100</v>
      </c>
      <c r="X33" s="779"/>
      <c r="Y33" s="3207"/>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2" t="str">
        <f>B34</f>
        <v>宗地面积</v>
      </c>
      <c r="R34" s="774" t="s">
        <v>17</v>
      </c>
      <c r="S34" s="775" t="e">
        <f t="shared" si="10"/>
        <v>#N/A</v>
      </c>
      <c r="T34" s="774" t="s">
        <v>17</v>
      </c>
      <c r="U34" s="775" t="e">
        <f t="shared" si="11"/>
        <v>#N/A</v>
      </c>
      <c r="V34" s="774" t="s">
        <v>17</v>
      </c>
      <c r="W34" s="775" t="e">
        <f t="shared" si="12"/>
        <v>#N/A</v>
      </c>
      <c r="X34" s="1815"/>
      <c r="Y34" s="3207"/>
      <c r="Z34" s="1816" t="str">
        <f t="shared" si="13"/>
        <v>宗地面积</v>
      </c>
      <c r="AA34" s="1813" t="e">
        <f t="shared" si="3"/>
        <v>#N/A</v>
      </c>
      <c r="AB34" s="1813" t="e">
        <f t="shared" si="4"/>
        <v>#N/A</v>
      </c>
      <c r="AC34" s="1813"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207"/>
      <c r="Q35" s="1812" t="str">
        <f t="shared" ref="Q35:Q40" si="14">B35</f>
        <v>宗地形状</v>
      </c>
      <c r="R35" s="774" t="s">
        <v>17</v>
      </c>
      <c r="S35" s="775">
        <f t="shared" si="10"/>
        <v>100</v>
      </c>
      <c r="T35" s="774" t="s">
        <v>17</v>
      </c>
      <c r="U35" s="775">
        <f t="shared" si="11"/>
        <v>100</v>
      </c>
      <c r="V35" s="774" t="s">
        <v>17</v>
      </c>
      <c r="W35" s="775">
        <f t="shared" si="12"/>
        <v>100</v>
      </c>
      <c r="X35" s="1815"/>
      <c r="Y35" s="3207"/>
      <c r="Z35" s="1816" t="str">
        <f t="shared" si="13"/>
        <v>宗地形状</v>
      </c>
      <c r="AA35" s="1813">
        <f t="shared" si="3"/>
        <v>1</v>
      </c>
      <c r="AB35" s="1813">
        <f t="shared" si="4"/>
        <v>1</v>
      </c>
      <c r="AC35" s="1813">
        <f t="shared" si="5"/>
        <v>1</v>
      </c>
    </row>
    <row r="36" spans="1:29" s="117" customFormat="1" ht="15">
      <c r="A36" s="473"/>
      <c r="B36" s="422" t="s">
        <v>2755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07"/>
      <c r="Q36" s="1812"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207" t="s">
        <v>2566</v>
      </c>
      <c r="Q37" s="1812" t="str">
        <f t="shared" si="14"/>
        <v>工程地质条件</v>
      </c>
      <c r="R37" s="774" t="s">
        <v>17</v>
      </c>
      <c r="S37" s="775">
        <f t="shared" si="10"/>
        <v>100</v>
      </c>
      <c r="T37" s="774" t="s">
        <v>17</v>
      </c>
      <c r="U37" s="775">
        <f t="shared" si="11"/>
        <v>100</v>
      </c>
      <c r="V37" s="774" t="s">
        <v>17</v>
      </c>
      <c r="W37" s="775">
        <f t="shared" si="12"/>
        <v>100</v>
      </c>
      <c r="X37" s="1815"/>
      <c r="Y37" s="3207"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2">
        <f t="shared" si="14"/>
        <v>111</v>
      </c>
      <c r="R38" s="774" t="s">
        <v>17</v>
      </c>
      <c r="S38" s="775">
        <f t="shared" si="10"/>
        <v>100</v>
      </c>
      <c r="T38" s="774" t="s">
        <v>17</v>
      </c>
      <c r="U38" s="775">
        <f t="shared" si="11"/>
        <v>100</v>
      </c>
      <c r="V38" s="774" t="s">
        <v>17</v>
      </c>
      <c r="W38" s="775">
        <f t="shared" si="12"/>
        <v>100</v>
      </c>
      <c r="X38" s="1815"/>
      <c r="Y38" s="320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2">
        <f t="shared" si="14"/>
        <v>111</v>
      </c>
      <c r="R39" s="774" t="s">
        <v>17</v>
      </c>
      <c r="S39" s="775">
        <f t="shared" si="10"/>
        <v>100</v>
      </c>
      <c r="T39" s="774" t="s">
        <v>17</v>
      </c>
      <c r="U39" s="775">
        <f t="shared" si="11"/>
        <v>100</v>
      </c>
      <c r="V39" s="774" t="s">
        <v>17</v>
      </c>
      <c r="W39" s="775">
        <f t="shared" si="12"/>
        <v>100</v>
      </c>
      <c r="X39" s="1815"/>
      <c r="Y39" s="3207"/>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2">
        <f t="shared" si="14"/>
        <v>111</v>
      </c>
      <c r="R40" s="777" t="s">
        <v>17</v>
      </c>
      <c r="S40" s="778">
        <f t="shared" si="10"/>
        <v>100</v>
      </c>
      <c r="T40" s="777" t="s">
        <v>17</v>
      </c>
      <c r="U40" s="778">
        <f t="shared" si="11"/>
        <v>100</v>
      </c>
      <c r="V40" s="777" t="s">
        <v>17</v>
      </c>
      <c r="W40" s="778">
        <f t="shared" si="12"/>
        <v>100</v>
      </c>
      <c r="X40" s="779"/>
      <c r="Y40" s="3207"/>
      <c r="Z40" s="780">
        <f t="shared" si="13"/>
        <v>111</v>
      </c>
      <c r="AA40" s="1813">
        <f t="shared" si="3"/>
        <v>1</v>
      </c>
      <c r="AB40" s="1813">
        <f t="shared" si="4"/>
        <v>1</v>
      </c>
      <c r="AC40" s="1813">
        <f t="shared" si="5"/>
        <v>1</v>
      </c>
    </row>
    <row r="41" spans="1:29" ht="15">
      <c r="A41" s="479" t="s">
        <v>2721</v>
      </c>
      <c r="B41" s="2700" t="s">
        <v>2801</v>
      </c>
      <c r="C41" s="682" t="s">
        <v>1</v>
      </c>
      <c r="D41" s="481"/>
      <c r="E41" s="482"/>
      <c r="F41" s="483"/>
      <c r="G41" s="484"/>
      <c r="H41" s="485"/>
      <c r="I41" s="482"/>
      <c r="J41" s="485"/>
      <c r="K41" s="783"/>
      <c r="L41" s="1146"/>
      <c r="M41" s="1134"/>
      <c r="N41" s="1134"/>
      <c r="O41" s="1147"/>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1" t="s">
        <v>2761</v>
      </c>
      <c r="D50" s="2702" t="s">
        <v>2762</v>
      </c>
      <c r="E50" s="686" t="s">
        <v>2763</v>
      </c>
      <c r="F50" s="687" t="s">
        <v>2764</v>
      </c>
      <c r="G50" s="3215" t="s">
        <v>2765</v>
      </c>
      <c r="H50" s="3261"/>
      <c r="I50" s="1816" t="s">
        <v>2802</v>
      </c>
      <c r="J50" s="1816">
        <f>项目基本情况!F35</f>
        <v>0</v>
      </c>
      <c r="K50" s="2704" t="s">
        <v>2767</v>
      </c>
      <c r="L50" s="1109"/>
      <c r="M50" s="1147"/>
      <c r="N50" s="1147"/>
      <c r="O50" s="1147"/>
    </row>
    <row r="51" spans="1:17" s="692" customFormat="1">
      <c r="A51" s="688" t="s">
        <v>2768</v>
      </c>
      <c r="B51" s="689" t="e">
        <f>C43</f>
        <v>#DIV/0!</v>
      </c>
      <c r="C51" s="690">
        <v>1</v>
      </c>
      <c r="D51" s="1166">
        <v>1</v>
      </c>
      <c r="E51" s="690">
        <f>'数据-汇总表'!E8+'数据-汇总表'!E9</f>
        <v>15950.359999999999</v>
      </c>
      <c r="F51" s="691" t="e">
        <f t="shared" ref="F51:F60" si="15">ROUND(B51*E51/10000,0)</f>
        <v>#DIV/0!</v>
      </c>
      <c r="G51" s="3211"/>
      <c r="H51" s="3200"/>
      <c r="I51" s="945">
        <v>1</v>
      </c>
      <c r="J51" s="945">
        <v>1</v>
      </c>
      <c r="K51" s="1148"/>
      <c r="L51" s="944"/>
      <c r="M51" s="944"/>
      <c r="N51" s="944"/>
      <c r="O51" s="944"/>
    </row>
    <row r="52" spans="1:17" s="692" customFormat="1">
      <c r="A52" s="693" t="s">
        <v>2769</v>
      </c>
      <c r="B52" s="262" t="e">
        <f>ROUND($C$43*C52*D52,0)</f>
        <v>#DIV/0!</v>
      </c>
      <c r="C52" s="200">
        <f t="shared" ref="C52:C60" si="16">IF($C$50="北京市系数",I52,J52)</f>
        <v>0.6</v>
      </c>
      <c r="D52" s="1167">
        <v>0.25</v>
      </c>
      <c r="E52" s="694"/>
      <c r="F52" s="691" t="e">
        <f t="shared" si="15"/>
        <v>#DIV/0!</v>
      </c>
      <c r="G52" s="3262" t="s">
        <v>2770</v>
      </c>
      <c r="H52" s="1107" t="str">
        <f>项目基本情况!B37</f>
        <v>九级</v>
      </c>
      <c r="I52" s="945">
        <f>SUMIF(修正!A45:A56,H52,修正!B45:B56)</f>
        <v>0.6</v>
      </c>
      <c r="J52" s="946"/>
      <c r="K52" s="1147"/>
      <c r="L52" s="944"/>
      <c r="M52" s="944"/>
      <c r="N52" s="944"/>
      <c r="O52" s="944"/>
    </row>
    <row r="53" spans="1:17" s="692" customFormat="1">
      <c r="A53" s="693" t="s">
        <v>2771</v>
      </c>
      <c r="B53" s="262" t="e">
        <f t="shared" ref="B53:B60" si="17">ROUND($C$43*C53*D53,0)</f>
        <v>#DIV/0!</v>
      </c>
      <c r="C53" s="200">
        <f t="shared" si="16"/>
        <v>0.3</v>
      </c>
      <c r="D53" s="1167">
        <v>0.25</v>
      </c>
      <c r="E53" s="694"/>
      <c r="F53" s="691" t="e">
        <f t="shared" si="15"/>
        <v>#DIV/0!</v>
      </c>
      <c r="G53" s="3262"/>
      <c r="H53" s="1107" t="str">
        <f>项目基本情况!B37</f>
        <v>九级</v>
      </c>
      <c r="I53" s="945">
        <f>SUMIF(修正!A45:A56,H53,修正!C45:C56)</f>
        <v>0.3</v>
      </c>
      <c r="J53" s="946"/>
      <c r="K53" s="1148"/>
      <c r="L53" s="944"/>
      <c r="M53" s="944"/>
      <c r="N53" s="944"/>
      <c r="O53" s="944"/>
    </row>
    <row r="54" spans="1:17" s="692" customFormat="1">
      <c r="A54" s="693" t="s">
        <v>2772</v>
      </c>
      <c r="B54" s="262" t="e">
        <f t="shared" si="17"/>
        <v>#DIV/0!</v>
      </c>
      <c r="C54" s="200">
        <f t="shared" si="16"/>
        <v>0.2</v>
      </c>
      <c r="D54" s="1167">
        <v>0.25</v>
      </c>
      <c r="E54" s="694"/>
      <c r="F54" s="691" t="e">
        <f t="shared" si="15"/>
        <v>#DIV/0!</v>
      </c>
      <c r="G54" s="3262"/>
      <c r="H54" s="1107" t="str">
        <f>项目基本情况!B37</f>
        <v>九级</v>
      </c>
      <c r="I54" s="945">
        <f>SUMIF(修正!A45:A56,H54,修正!D45:D56)</f>
        <v>0.2</v>
      </c>
      <c r="J54" s="946"/>
      <c r="K54" s="1147"/>
      <c r="L54" s="944"/>
      <c r="M54" s="944"/>
      <c r="N54" s="944"/>
      <c r="O54" s="944"/>
    </row>
    <row r="55" spans="1:17" s="692" customFormat="1">
      <c r="A55" s="693" t="s">
        <v>2773</v>
      </c>
      <c r="B55" s="262" t="e">
        <f t="shared" si="17"/>
        <v>#DIV/0!</v>
      </c>
      <c r="C55" s="200">
        <f t="shared" si="16"/>
        <v>0.2</v>
      </c>
      <c r="D55" s="1167">
        <v>0.25</v>
      </c>
      <c r="E55" s="694"/>
      <c r="F55" s="691" t="e">
        <f t="shared" si="15"/>
        <v>#DIV/0!</v>
      </c>
      <c r="G55" s="3262"/>
      <c r="H55" s="1107" t="str">
        <f>项目基本情况!B37</f>
        <v>九级</v>
      </c>
      <c r="I55" s="945">
        <f>SUMIF(修正!A45:A56,H55,修正!E45:E56)</f>
        <v>0.2</v>
      </c>
      <c r="J55" s="946"/>
      <c r="K55" s="1148"/>
      <c r="L55" s="944"/>
      <c r="M55" s="944"/>
      <c r="N55" s="944"/>
      <c r="O55" s="944"/>
    </row>
    <row r="56" spans="1:17" s="692" customFormat="1">
      <c r="A56" s="693" t="s">
        <v>2774</v>
      </c>
      <c r="B56" s="262" t="e">
        <f t="shared" si="17"/>
        <v>#DIV/0!</v>
      </c>
      <c r="C56" s="200">
        <f t="shared" si="16"/>
        <v>0.2</v>
      </c>
      <c r="D56" s="1167">
        <v>0.25</v>
      </c>
      <c r="E56" s="261">
        <f>'数据-汇总表'!E11</f>
        <v>0</v>
      </c>
      <c r="F56" s="691" t="e">
        <f t="shared" si="15"/>
        <v>#DIV/0!</v>
      </c>
      <c r="G56" s="2705" t="s">
        <v>2775</v>
      </c>
      <c r="H56" s="1107" t="str">
        <f>项目基本情况!C37</f>
        <v>九级</v>
      </c>
      <c r="I56" s="945">
        <f>SUMIF(修正!A45:A56,H56,修正!F45:F56)</f>
        <v>0.2</v>
      </c>
      <c r="J56" s="946"/>
      <c r="K56" s="1147"/>
      <c r="L56" s="944"/>
      <c r="M56" s="944"/>
      <c r="N56" s="944"/>
      <c r="O56" s="944"/>
    </row>
    <row r="57" spans="1:17" s="692" customFormat="1">
      <c r="A57" s="693" t="s">
        <v>2776</v>
      </c>
      <c r="B57" s="262" t="e">
        <f t="shared" si="17"/>
        <v>#DIV/0!</v>
      </c>
      <c r="C57" s="200">
        <f t="shared" si="16"/>
        <v>0.2</v>
      </c>
      <c r="D57" s="1167">
        <v>0.25</v>
      </c>
      <c r="E57" s="261">
        <f>'数据-汇总表'!E12</f>
        <v>0</v>
      </c>
      <c r="F57" s="691" t="e">
        <f t="shared" si="15"/>
        <v>#DIV/0!</v>
      </c>
      <c r="G57" s="1112" t="s">
        <v>2777</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2778</v>
      </c>
      <c r="B58" s="262" t="e">
        <f t="shared" si="17"/>
        <v>#DIV/0!</v>
      </c>
      <c r="C58" s="200">
        <f t="shared" si="16"/>
        <v>0.15</v>
      </c>
      <c r="D58" s="1167">
        <v>0.25</v>
      </c>
      <c r="E58" s="261">
        <f>'数据-汇总表'!E13</f>
        <v>0</v>
      </c>
      <c r="F58" s="691" t="e">
        <f t="shared" si="15"/>
        <v>#DIV/0!</v>
      </c>
      <c r="G58" s="1112" t="s">
        <v>2779</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2780</v>
      </c>
      <c r="B59" s="262" t="e">
        <f t="shared" si="17"/>
        <v>#DIV/0!</v>
      </c>
      <c r="C59" s="200">
        <f t="shared" si="16"/>
        <v>0.15</v>
      </c>
      <c r="D59" s="1167">
        <v>0.25</v>
      </c>
      <c r="E59" s="261">
        <f>'数据-汇总表'!E14</f>
        <v>0</v>
      </c>
      <c r="F59" s="691" t="e">
        <f t="shared" si="15"/>
        <v>#DIV/0!</v>
      </c>
      <c r="G59" s="2705" t="s">
        <v>2770</v>
      </c>
      <c r="H59" s="1107" t="str">
        <f>项目基本情况!B37</f>
        <v>九级</v>
      </c>
      <c r="I59" s="945">
        <f>SUMIF(修正!A45:A56,H59,修正!H45:H56)</f>
        <v>0.15</v>
      </c>
      <c r="J59" s="946"/>
      <c r="K59" s="1148"/>
      <c r="L59" s="944"/>
      <c r="M59" s="944"/>
      <c r="N59" s="944"/>
      <c r="O59" s="944"/>
    </row>
    <row r="60" spans="1:17" s="692" customFormat="1" ht="15" thickBot="1">
      <c r="A60" s="693" t="s">
        <v>2781</v>
      </c>
      <c r="B60" s="262" t="e">
        <f t="shared" si="17"/>
        <v>#DIV/0!</v>
      </c>
      <c r="C60" s="200">
        <f t="shared" si="16"/>
        <v>0.15</v>
      </c>
      <c r="D60" s="1167">
        <v>0.25</v>
      </c>
      <c r="E60" s="261">
        <f>'数据-汇总表'!E15</f>
        <v>0</v>
      </c>
      <c r="F60" s="691" t="e">
        <f t="shared" si="15"/>
        <v>#DIV/0!</v>
      </c>
      <c r="G60" s="2706" t="s">
        <v>2775</v>
      </c>
      <c r="H60" s="1117" t="str">
        <f>项目基本情况!C37</f>
        <v>九级</v>
      </c>
      <c r="I60" s="945">
        <f>SUMIF(修正!A45:A56,H60,修正!H45:H56)</f>
        <v>0.15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24215.7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07"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3003</v>
      </c>
    </row>
    <row r="2" spans="1:5" ht="15.75">
      <c r="A2" s="2906" t="s">
        <v>2995</v>
      </c>
      <c r="B2" s="2907">
        <f ca="1">SUMIF(B6:B13,"&lt;&gt;#ref!",B6:B13)</f>
        <v>2351</v>
      </c>
      <c r="C2" s="2906" t="s">
        <v>2996</v>
      </c>
      <c r="D2" s="2906" t="s">
        <v>2997</v>
      </c>
      <c r="E2" s="2907" t="e">
        <f ca="1">SUM(E6:E13)</f>
        <v>#REF!</v>
      </c>
    </row>
    <row r="3" spans="1:5" ht="15.75">
      <c r="A3" s="2906" t="s">
        <v>2998</v>
      </c>
      <c r="B3" s="2907" t="e">
        <f ca="1">ROUND(B2*10000/E2,0)</f>
        <v>#REF!</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2351</v>
      </c>
      <c r="C6" s="2906" t="s">
        <v>2996</v>
      </c>
      <c r="D6" s="2908"/>
      <c r="E6" s="2571">
        <f ca="1">SUMIF(INDIRECT("'"&amp;A6&amp;"'"&amp;"!C:C"),"建筑面积",INDIRECT("'"&amp;A6&amp;"'"&amp;"!D:D"))</f>
        <v>15950.36</v>
      </c>
    </row>
    <row r="7" spans="1:5" ht="15.75">
      <c r="A7" s="2911"/>
      <c r="B7" s="2907" t="e">
        <f ca="1">SUMIF(INDIRECT("'"&amp;A7&amp;"'"&amp;"!A:A"),"总价",INDIRECT("'"&amp;A7&amp;"'"&amp;"!B:B"))</f>
        <v>#REF!</v>
      </c>
      <c r="C7" s="2906" t="s">
        <v>2996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1" t="e">
        <f t="shared" ca="1" si="0"/>
        <v>#REF!</v>
      </c>
    </row>
    <row r="9" spans="1:5" ht="15.75">
      <c r="A9" s="2911"/>
      <c r="B9" s="2907" t="e">
        <f t="shared" ca="1" si="1"/>
        <v>#REF!</v>
      </c>
      <c r="C9" s="2906" t="s">
        <v>2996</v>
      </c>
      <c r="D9" s="2908"/>
      <c r="E9" s="2571" t="e">
        <f t="shared" ca="1" si="0"/>
        <v>#REF!</v>
      </c>
    </row>
    <row r="10" spans="1:5" ht="15.75">
      <c r="A10" s="2911"/>
      <c r="B10" s="2907" t="e">
        <f t="shared" ca="1" si="1"/>
        <v>#REF!</v>
      </c>
      <c r="C10" s="2906" t="s">
        <v>2996</v>
      </c>
      <c r="D10" s="2908"/>
      <c r="E10" s="2571" t="e">
        <f t="shared" ca="1" si="0"/>
        <v>#REF!</v>
      </c>
    </row>
    <row r="11" spans="1:5" ht="15.75">
      <c r="A11" s="2911"/>
      <c r="B11" s="2907" t="e">
        <f t="shared" ca="1" si="1"/>
        <v>#REF!</v>
      </c>
      <c r="C11" s="2906" t="s">
        <v>2996</v>
      </c>
      <c r="D11" s="2908"/>
      <c r="E11" s="2571" t="e">
        <f t="shared" ca="1" si="0"/>
        <v>#REF!</v>
      </c>
    </row>
    <row r="12" spans="1:5" ht="15.75">
      <c r="A12" s="2911"/>
      <c r="B12" s="2907" t="e">
        <f t="shared" ca="1" si="1"/>
        <v>#REF!</v>
      </c>
      <c r="C12" s="2906" t="s">
        <v>2996</v>
      </c>
      <c r="D12" s="2908"/>
      <c r="E12" s="2571" t="e">
        <f t="shared" ca="1" si="0"/>
        <v>#REF!</v>
      </c>
    </row>
    <row r="13" spans="1:5" ht="15.75">
      <c r="A13" s="2911"/>
      <c r="B13" s="2907" t="e">
        <f t="shared" ca="1" si="1"/>
        <v>#REF!</v>
      </c>
      <c r="C13" s="2906" t="s">
        <v>2996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72" t="s">
        <v>1151</v>
      </c>
      <c r="H1" s="3272"/>
      <c r="I1" s="3272"/>
      <c r="J1" s="3272"/>
      <c r="K1" s="3272"/>
      <c r="L1" s="3272"/>
      <c r="N1" s="3272" t="s">
        <v>1152</v>
      </c>
      <c r="O1" s="3272"/>
      <c r="P1" s="3272"/>
      <c r="Q1" s="3272"/>
      <c r="R1" s="1448"/>
      <c r="S1" s="3272" t="s">
        <v>1153</v>
      </c>
      <c r="T1" s="3272"/>
      <c r="U1" s="3272"/>
      <c r="V1" s="3272"/>
      <c r="X1" s="3271" t="s">
        <v>1154</v>
      </c>
      <c r="Y1" s="3272"/>
      <c r="Z1" s="3272"/>
      <c r="AA1" s="3272"/>
      <c r="AB1" s="3272"/>
      <c r="AD1" s="3271" t="s">
        <v>1155</v>
      </c>
      <c r="AE1" s="3272"/>
      <c r="AF1" s="3272"/>
      <c r="AG1" s="3272"/>
      <c r="AH1" s="327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3038</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4">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9"/>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9"/>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0"/>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8">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9"/>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9"/>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0"/>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8">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9"/>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9"/>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0"/>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5">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6"/>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6"/>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7"/>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68">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69"/>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69"/>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0"/>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68">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9">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69">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0">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68">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9">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69">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0">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68">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9">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69">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0">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68">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9">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69">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0">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68">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9">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69">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0">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68">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9">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69">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0">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68">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9">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69">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0">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68">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9">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69">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0">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68">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69">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69">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0">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68">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69">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69">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0">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3">
        <f ca="1">结果表!H101</f>
        <v>8366</v>
      </c>
      <c r="E5" s="1961"/>
    </row>
    <row r="6" spans="1:5" ht="15.75">
      <c r="A6" s="1961"/>
      <c r="B6" s="2963"/>
      <c r="C6" s="1964" t="s">
        <v>1624</v>
      </c>
      <c r="D6" s="1043" t="str">
        <f ca="1">NUMBERSTRING(INT(D5*10000),2)&amp;"元整"</f>
        <v>捌仟叁佰陆拾陆万元整</v>
      </c>
      <c r="E6" s="1961"/>
    </row>
    <row r="7" spans="1:5" ht="15.75">
      <c r="A7" s="1961"/>
      <c r="B7" s="2968"/>
      <c r="C7" s="1965" t="s">
        <v>1625</v>
      </c>
      <c r="D7" s="1044">
        <f ca="1">结果表!H102</f>
        <v>5245</v>
      </c>
      <c r="E7" s="1961"/>
    </row>
    <row r="8" spans="1:5" ht="15.75">
      <c r="A8" s="1961"/>
      <c r="B8" s="2969" t="str">
        <f>结果表!E103</f>
        <v>2.估价师知悉的法定优先受偿款</v>
      </c>
      <c r="C8" s="1966" t="s">
        <v>1626</v>
      </c>
      <c r="D8" s="1044">
        <f>结果表!H103</f>
        <v>0</v>
      </c>
      <c r="E8" s="1961"/>
    </row>
    <row r="9" spans="1:5" ht="15.75">
      <c r="A9" s="1961"/>
      <c r="B9" s="297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2" t="str">
        <f>结果表!E107</f>
        <v>3.房地产抵押价值</v>
      </c>
      <c r="C13" s="1969" t="s">
        <v>1623</v>
      </c>
      <c r="D13" s="1046">
        <f ca="1">结果表!H107</f>
        <v>8366</v>
      </c>
      <c r="E13" s="1961"/>
    </row>
    <row r="14" spans="1:5" ht="15.75">
      <c r="A14" s="1961"/>
      <c r="B14" s="2963"/>
      <c r="C14" s="1964" t="s">
        <v>1624</v>
      </c>
      <c r="D14" s="1043" t="str">
        <f ca="1">NUMBERSTRING(INT(D13*10000),2)&amp;"元整"</f>
        <v>捌仟叁佰陆拾陆万元整</v>
      </c>
      <c r="E14" s="1961"/>
    </row>
    <row r="15" spans="1:5" ht="15">
      <c r="A15" s="1961"/>
      <c r="B15" s="2968"/>
      <c r="C15" s="1965" t="s">
        <v>1634</v>
      </c>
      <c r="D15" s="1055">
        <f ca="1">结果表!H108</f>
        <v>5245</v>
      </c>
      <c r="E15" s="1961"/>
    </row>
    <row r="16" spans="1:5" ht="15">
      <c r="A16" s="1961"/>
      <c r="B16" s="2969" t="str">
        <f>结果表!E109</f>
        <v>——</v>
      </c>
      <c r="C16" s="1969" t="s">
        <v>1635</v>
      </c>
      <c r="D16" s="1970" t="str">
        <f>结果表!H109</f>
        <v>——</v>
      </c>
      <c r="E16" s="1961"/>
    </row>
    <row r="17" spans="1:5" ht="15.75">
      <c r="A17" s="1961"/>
      <c r="B17" s="2970"/>
      <c r="C17" s="1964" t="s">
        <v>1636</v>
      </c>
      <c r="D17" s="1043" t="e">
        <f>NUMBERSTRING(INT(D16*10000),2)&amp;"元整"</f>
        <v>#VALUE!</v>
      </c>
      <c r="E17" s="1961"/>
    </row>
    <row r="18" spans="1:5" ht="15">
      <c r="A18" s="1961"/>
      <c r="B18" s="2971"/>
      <c r="C18" s="1965" t="s">
        <v>1625</v>
      </c>
      <c r="D18" s="1055" t="str">
        <f>结果表!H110</f>
        <v>——</v>
      </c>
      <c r="E18" s="1961"/>
    </row>
    <row r="19" spans="1:5" ht="15.75">
      <c r="A19" s="1961"/>
      <c r="B19" s="2962" t="str">
        <f>结果表!E111</f>
        <v>——</v>
      </c>
      <c r="C19" s="1969" t="s">
        <v>1623</v>
      </c>
      <c r="D19" s="1044" t="str">
        <f>结果表!H111</f>
        <v>——</v>
      </c>
      <c r="E19" s="1961"/>
    </row>
    <row r="20" spans="1:5" ht="15.75">
      <c r="A20" s="1961"/>
      <c r="B20" s="2963"/>
      <c r="C20" s="1964" t="s">
        <v>1636</v>
      </c>
      <c r="D20" s="1043" t="e">
        <f>NUMBERSTRING(INT(D19*10000),2)&amp;"元整"</f>
        <v>#VALUE!</v>
      </c>
      <c r="E20" s="1961"/>
    </row>
    <row r="21" spans="1:5" ht="15.75" thickBot="1">
      <c r="A21" s="1961"/>
      <c r="B21" s="296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9" t="s">
        <v>3006</v>
      </c>
      <c r="D1" s="3280"/>
      <c r="E1" s="3280"/>
      <c r="F1" s="3280"/>
      <c r="G1" s="3280"/>
      <c r="H1" s="3280"/>
      <c r="I1" s="3280"/>
      <c r="J1" s="3280"/>
      <c r="K1" s="3280"/>
      <c r="L1" s="3280"/>
      <c r="M1" s="3280"/>
      <c r="N1" s="3280"/>
      <c r="O1" s="3280"/>
      <c r="P1" s="3280"/>
      <c r="Q1" s="3280"/>
      <c r="R1" s="3280"/>
      <c r="S1" s="328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5"/>
      <c r="F20" s="1207" t="e">
        <f ca="1">SUMIF(INDIRECT("'"&amp;H20&amp;"'"&amp;"!A:A"),"承租人权益价值",INDIRECT("'"&amp;H20&amp;"'"&amp;"!c:c"))</f>
        <v>#REF!</v>
      </c>
      <c r="G20" s="1207"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2" t="s">
        <v>33</v>
      </c>
      <c r="D22" s="3143"/>
      <c r="E22" s="3143"/>
      <c r="F22" s="3143"/>
      <c r="G22" s="3143"/>
      <c r="H22" s="3143"/>
      <c r="I22" s="3143"/>
      <c r="J22" s="3143"/>
      <c r="K22" s="3143"/>
      <c r="L22" s="3143"/>
      <c r="M22" s="3143"/>
      <c r="N22" s="3143"/>
      <c r="O22" s="3143"/>
      <c r="P22" s="3143"/>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30555</v>
      </c>
      <c r="C2" s="2" t="s">
        <v>133</v>
      </c>
      <c r="D2" s="243"/>
      <c r="E2" s="243"/>
      <c r="F2" s="243"/>
      <c r="G2" s="243"/>
    </row>
    <row r="3" spans="1:7" s="244" customFormat="1" ht="18" customHeight="1" thickBot="1">
      <c r="A3" s="247" t="s">
        <v>85</v>
      </c>
      <c r="B3" s="248">
        <f ca="1">ROUND(B2*10000/'数据-汇总表'!E3,0)</f>
        <v>19156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191</v>
      </c>
      <c r="D10" s="1035">
        <f>'数据-汇总表'!E6</f>
        <v>15950.36</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319</v>
      </c>
      <c r="D19" s="1039">
        <f>'数据-汇总表'!E3</f>
        <v>15950.36</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4" t="s">
        <v>796</v>
      </c>
      <c r="B35" s="259" t="s">
        <v>60</v>
      </c>
      <c r="C35" s="264">
        <f>ROUND(C34*F35,0)</f>
        <v>112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319</v>
      </c>
      <c r="D37" s="261">
        <f>'数据-汇总表'!E3</f>
        <v>15950.36</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92</v>
      </c>
      <c r="D42" s="282"/>
      <c r="E42" s="282"/>
      <c r="F42" s="283"/>
      <c r="G42" s="3147" t="s">
        <v>121</v>
      </c>
    </row>
    <row r="43" spans="1:7" ht="13.5" customHeight="1">
      <c r="A43" s="954" t="s">
        <v>792</v>
      </c>
      <c r="B43" s="259" t="s">
        <v>1064</v>
      </c>
      <c r="C43" s="282">
        <f ca="1">ROUND(IF('数据-取费表'!B22&lt;=1,C39*F22*'数据-取费表'!B21/2,C39*(POWER((1+F22),'数据-取费表'!B21/2)-1)),0)</f>
        <v>2</v>
      </c>
      <c r="D43" s="282"/>
      <c r="E43" s="282"/>
      <c r="F43" s="283"/>
      <c r="G43" s="3148"/>
    </row>
    <row r="44" spans="1:7" ht="13.5" customHeight="1">
      <c r="A44" s="954"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51" t="s">
        <v>786</v>
      </c>
      <c r="B45" s="288" t="s">
        <v>112</v>
      </c>
      <c r="C45" s="289">
        <f>C46</f>
        <v>429</v>
      </c>
      <c r="D45" s="279">
        <f>C47</f>
        <v>2E-3</v>
      </c>
      <c r="E45" s="280" t="s">
        <v>129</v>
      </c>
      <c r="F45" s="290"/>
      <c r="G45" s="291" t="s">
        <v>1072</v>
      </c>
    </row>
    <row r="46" spans="1:7" s="258" customFormat="1" ht="13.5" customHeight="1">
      <c r="A46" s="954" t="s">
        <v>794</v>
      </c>
      <c r="B46" s="292" t="s">
        <v>1065</v>
      </c>
      <c r="C46" s="293">
        <f>ROUND((C33+C39)*F27,0)</f>
        <v>429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5206</v>
      </c>
      <c r="D49" s="276"/>
      <c r="E49" s="276"/>
      <c r="F49" s="308"/>
      <c r="G49" s="278" t="s">
        <v>1073</v>
      </c>
    </row>
    <row r="50" spans="1:7" s="302" customFormat="1" ht="24">
      <c r="A50" s="951" t="s">
        <v>789</v>
      </c>
      <c r="B50" s="254" t="s">
        <v>124</v>
      </c>
      <c r="C50" s="276"/>
      <c r="D50" s="276"/>
      <c r="E50" s="276"/>
      <c r="F50" s="308">
        <f>IF('数据-取费表'!B24=0,'数据-取费表'!N16,1)</f>
        <v>0.80300000000000005</v>
      </c>
      <c r="G50" s="291" t="s">
        <v>125</v>
      </c>
    </row>
    <row r="51" spans="1:7" ht="16.5" customHeight="1">
      <c r="A51" s="951" t="s">
        <v>790</v>
      </c>
      <c r="B51" s="254" t="s">
        <v>132</v>
      </c>
      <c r="C51" s="276">
        <f ca="1">ROUND(C49*F50,0)</f>
        <v>4180</v>
      </c>
      <c r="D51" s="276"/>
      <c r="E51" s="276"/>
      <c r="F51" s="308"/>
      <c r="G51" s="278" t="s">
        <v>64</v>
      </c>
    </row>
    <row r="52" spans="1:7" s="252" customFormat="1" ht="16.5" thickBot="1">
      <c r="A52" s="309" t="s">
        <v>65</v>
      </c>
      <c r="B52" s="310"/>
      <c r="C52" s="311">
        <f ca="1">C31+C51</f>
        <v>30555</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7" t="s">
        <v>1638</v>
      </c>
      <c r="E3" s="1047" t="s">
        <v>1644</v>
      </c>
      <c r="F3" s="1047" t="s">
        <v>1638</v>
      </c>
      <c r="G3" s="1047" t="s">
        <v>1639</v>
      </c>
      <c r="H3" s="1047" t="s">
        <v>1638</v>
      </c>
      <c r="I3" s="1047" t="s">
        <v>1639</v>
      </c>
    </row>
    <row r="4" spans="1:9" ht="30">
      <c r="A4" s="1975" t="str">
        <f>项目基本情况!S2</f>
        <v>北京市怀柔区雁栖经济开发区雁栖路2号房地产</v>
      </c>
      <c r="B4" s="1047">
        <f>项目基本情况!C17</f>
        <v>15950.36</v>
      </c>
      <c r="C4" s="1047">
        <f>项目基本情况!C18</f>
        <v>24215.7</v>
      </c>
      <c r="D4" s="1047">
        <f ca="1">结果表!D118</f>
        <v>3689</v>
      </c>
      <c r="E4" s="1047">
        <f ca="1">结果表!E118</f>
        <v>2313</v>
      </c>
      <c r="F4" s="1047">
        <f ca="1">结果表!F118</f>
        <v>4677</v>
      </c>
      <c r="G4" s="1047">
        <f ca="1">结果表!G118</f>
        <v>2932</v>
      </c>
      <c r="H4" s="1047">
        <f ca="1">结果表!H118</f>
        <v>8366</v>
      </c>
      <c r="I4" s="1047">
        <f ca="1">结果表!I118</f>
        <v>5245</v>
      </c>
    </row>
    <row r="5" spans="1:9" ht="30" customHeight="1">
      <c r="A5" s="2976" t="s">
        <v>1640</v>
      </c>
      <c r="B5" s="2976"/>
      <c r="C5" s="2976"/>
      <c r="D5" s="2977" t="str">
        <f ca="1">结果表!D119</f>
        <v>叁仟陆佰捌拾玖万元整</v>
      </c>
      <c r="E5" s="2977"/>
      <c r="F5" s="2977" t="str">
        <f ca="1">结果表!F119</f>
        <v>肆仟陆佰柒拾柒万元整</v>
      </c>
      <c r="G5" s="2977"/>
      <c r="H5" s="2977" t="str">
        <f ca="1">结果表!H119</f>
        <v>捌仟叁佰陆拾陆万元整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8366</v>
      </c>
      <c r="E8" s="2975"/>
      <c r="F8" s="2975"/>
      <c r="G8" s="2975"/>
      <c r="H8" s="2975"/>
      <c r="I8" s="2975"/>
    </row>
    <row r="9" spans="1:9" ht="15">
      <c r="A9" s="2976" t="s">
        <v>1640</v>
      </c>
      <c r="B9" s="2976"/>
      <c r="C9" s="2976"/>
      <c r="D9" s="2977" t="str">
        <f ca="1">结果表!D123</f>
        <v>捌仟叁佰陆拾陆万元整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1662</v>
      </c>
      <c r="B1" s="2989"/>
      <c r="C1" s="2989"/>
      <c r="D1" s="2989"/>
    </row>
    <row r="2" spans="1:4" ht="18">
      <c r="A2" s="2990" t="s">
        <v>1646</v>
      </c>
      <c r="B2" s="2990"/>
      <c r="C2" s="2990"/>
      <c r="D2" s="2990"/>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90" t="s">
        <v>1652</v>
      </c>
      <c r="B6" s="2990"/>
      <c r="C6" s="2990"/>
      <c r="D6" s="299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（1）根据估价对象《房屋所有权证》原件、《国有土地使用权》复印件，截至价值时点，估价对象已设定抵押。上述抵押权设定日期为2016.7.6，权利人为浦发北分，权利范围为全部，权利价值为6100万元。</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43230</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00" t="s">
        <v>846</v>
      </c>
      <c r="B25" s="3000"/>
      <c r="C25" s="3000"/>
      <c r="D25" s="3000"/>
      <c r="E25" s="3000"/>
      <c r="F25" s="3000"/>
      <c r="G25" s="3000"/>
    </row>
    <row r="26" spans="1:7" s="1028" customFormat="1" ht="24" customHeight="1">
      <c r="A26" s="3001" t="s">
        <v>847</v>
      </c>
      <c r="B26" s="3001"/>
      <c r="C26" s="3002"/>
      <c r="D26" s="3003" t="s">
        <v>848</v>
      </c>
      <c r="E26" s="3001"/>
      <c r="F26" s="3001"/>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2018-05-10T02:01:44Z</dcterms:modified>
</cp:coreProperties>
</file>