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05" windowWidth="11325" windowHeight="948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土地比较法-住宅、综合" sheetId="39" r:id="rId23"/>
    <sheet name="土地案例" sheetId="79" state="hidden" r:id="rId24"/>
    <sheet name="基准地价修正-住宅" sheetId="82" state="hidden" r:id="rId25"/>
    <sheet name="基准地价（汇总）" sheetId="76" state="hidden" r:id="rId26"/>
    <sheet name="收益法" sheetId="15" r:id="rId27"/>
    <sheet name="假设开发法" sheetId="12" state="hidden" r:id="rId28"/>
    <sheet name="收益法 (元)" sheetId="67" state="hidden" r:id="rId29"/>
    <sheet name="收益法-住宅" sheetId="81" r:id="rId30"/>
    <sheet name="收益法-车库" sheetId="80" state="hidden" r:id="rId31"/>
    <sheet name="收益法（汇总）" sheetId="70"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二期" sheetId="83" r:id="rId50"/>
    <sheet name="Sheet1" sheetId="77"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8">'收益法 (元)'!$A$1:$AK$69</definedName>
    <definedName name="_xlnm.Print_Area" localSheetId="30">'收益法-车库'!$A$1:$AK$69</definedName>
    <definedName name="_xlnm.Print_Area" localSheetId="29">'收益法-住宅'!$A$1:$AK$69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所得税税率">'[1]10.1假设'!$Q$7</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U6" i="1" l="1"/>
  <c r="U8" i="1"/>
  <c r="B42" i="9" l="1"/>
  <c r="E42" i="9" s="1"/>
  <c r="N6" i="1" l="1"/>
  <c r="AL13" i="3"/>
  <c r="K14" i="3"/>
  <c r="W44" i="78"/>
  <c r="B41" i="9" l="1"/>
  <c r="E41" i="9" s="1"/>
  <c r="B40" i="9"/>
  <c r="E40" i="9" s="1"/>
  <c r="C38" i="9" s="1"/>
  <c r="O20" i="83" l="1"/>
  <c r="N20" i="83"/>
  <c r="M20" i="83"/>
  <c r="L20" i="83"/>
  <c r="K20" i="83"/>
  <c r="J20" i="83"/>
  <c r="I20" i="83"/>
  <c r="H20" i="83"/>
  <c r="G20" i="83"/>
  <c r="F20" i="83"/>
  <c r="E20" i="83"/>
  <c r="D20" i="83"/>
  <c r="C20" i="83"/>
  <c r="B20" i="83"/>
  <c r="O16" i="83"/>
  <c r="N16" i="83"/>
  <c r="M16" i="83"/>
  <c r="L16" i="83"/>
  <c r="K16" i="83"/>
  <c r="J16" i="83"/>
  <c r="I16" i="83"/>
  <c r="H16" i="83"/>
  <c r="G16" i="83"/>
  <c r="F16" i="83"/>
  <c r="E16" i="83"/>
  <c r="D16" i="83"/>
  <c r="C16" i="83"/>
  <c r="B16" i="83"/>
  <c r="O5" i="83"/>
  <c r="O17" i="83" s="1"/>
  <c r="O21" i="83" s="1"/>
  <c r="N5" i="83"/>
  <c r="N17" i="83" s="1"/>
  <c r="N21" i="83" s="1"/>
  <c r="N28" i="83" s="1"/>
  <c r="N30" i="83" s="1"/>
  <c r="M5" i="83"/>
  <c r="M17" i="83" s="1"/>
  <c r="M21" i="83" s="1"/>
  <c r="M28" i="83" s="1"/>
  <c r="M30" i="83" s="1"/>
  <c r="L5" i="83"/>
  <c r="L17" i="83" s="1"/>
  <c r="L21" i="83" s="1"/>
  <c r="L28" i="83" s="1"/>
  <c r="L30" i="83" s="1"/>
  <c r="K5" i="83"/>
  <c r="K17" i="83" s="1"/>
  <c r="K21" i="83" s="1"/>
  <c r="K28" i="83" s="1"/>
  <c r="K30" i="83" s="1"/>
  <c r="J5" i="83"/>
  <c r="J17" i="83" s="1"/>
  <c r="J21" i="83" s="1"/>
  <c r="J28" i="83" s="1"/>
  <c r="J30" i="83" s="1"/>
  <c r="I5" i="83"/>
  <c r="I17" i="83" s="1"/>
  <c r="I21" i="83" s="1"/>
  <c r="I28" i="83" s="1"/>
  <c r="I30" i="83" s="1"/>
  <c r="H5" i="83"/>
  <c r="H17" i="83" s="1"/>
  <c r="H21" i="83" s="1"/>
  <c r="H28" i="83" s="1"/>
  <c r="H30" i="83" s="1"/>
  <c r="G5" i="83"/>
  <c r="G17" i="83" s="1"/>
  <c r="G21" i="83" s="1"/>
  <c r="G28" i="83" s="1"/>
  <c r="G30" i="83" s="1"/>
  <c r="F5" i="83"/>
  <c r="F17" i="83" s="1"/>
  <c r="F21" i="83" s="1"/>
  <c r="F28" i="83" s="1"/>
  <c r="F30" i="83" s="1"/>
  <c r="E5" i="83"/>
  <c r="E17" i="83" s="1"/>
  <c r="E21" i="83" s="1"/>
  <c r="E28" i="83" s="1"/>
  <c r="E30" i="83" s="1"/>
  <c r="D5" i="83"/>
  <c r="D17" i="83" s="1"/>
  <c r="C5" i="83"/>
  <c r="C17" i="83" s="1"/>
  <c r="C21" i="83" s="1"/>
  <c r="C28" i="83" s="1"/>
  <c r="C30" i="83" s="1"/>
  <c r="B5" i="83"/>
  <c r="B17" i="83" s="1"/>
  <c r="B21" i="83" s="1"/>
  <c r="B28" i="83" s="1"/>
  <c r="B30" i="83" s="1"/>
  <c r="D21" i="83" l="1"/>
  <c r="O28" i="83"/>
  <c r="O30" i="83" s="1"/>
  <c r="P21" i="83"/>
  <c r="Q21" i="83" s="1"/>
  <c r="R21" i="83" s="1"/>
  <c r="S21" i="83" s="1"/>
  <c r="T21" i="83" s="1"/>
  <c r="U21" i="83" s="1"/>
  <c r="V21" i="83" s="1"/>
  <c r="W21" i="83" s="1"/>
  <c r="X21" i="83" s="1"/>
  <c r="Y21" i="83" s="1"/>
  <c r="Z21" i="83" s="1"/>
  <c r="AA21" i="83" s="1"/>
  <c r="AB21" i="83" s="1"/>
  <c r="AC21" i="83" s="1"/>
  <c r="AD21" i="83" s="1"/>
  <c r="AE21" i="83" s="1"/>
  <c r="AF21" i="83" s="1"/>
  <c r="AG21" i="83" s="1"/>
  <c r="AH21" i="83" s="1"/>
  <c r="AI21" i="83" s="1"/>
  <c r="AJ21" i="83" s="1"/>
  <c r="AK21" i="83" s="1"/>
  <c r="AL21" i="83" s="1"/>
  <c r="AM21" i="83" s="1"/>
  <c r="AN21" i="83" s="1"/>
  <c r="AO21" i="83" s="1"/>
  <c r="AP21" i="83" s="1"/>
  <c r="AQ21" i="83" s="1"/>
  <c r="AR21" i="83" s="1"/>
  <c r="AS21" i="83" s="1"/>
  <c r="AT21" i="83" s="1"/>
  <c r="AU21" i="83" s="1"/>
  <c r="AV21" i="83" s="1"/>
  <c r="AW21" i="83" s="1"/>
  <c r="AX21" i="83" s="1"/>
  <c r="AY21" i="83" s="1"/>
  <c r="AZ21" i="83" s="1"/>
  <c r="BA21" i="83" s="1"/>
  <c r="BB21" i="83" s="1"/>
  <c r="BC21" i="83" s="1"/>
  <c r="BD21" i="83" s="1"/>
  <c r="BE21" i="83" s="1"/>
  <c r="BF21" i="83" s="1"/>
  <c r="BG21" i="83" s="1"/>
  <c r="BH21" i="83" s="1"/>
  <c r="BI21" i="83" s="1"/>
  <c r="BJ21" i="83" s="1"/>
  <c r="BK21" i="83" s="1"/>
  <c r="BL21" i="83" s="1"/>
  <c r="BM21" i="83" s="1"/>
  <c r="F113" i="82"/>
  <c r="N99" i="82"/>
  <c r="M99" i="82"/>
  <c r="M108" i="82" s="1"/>
  <c r="L99" i="82"/>
  <c r="K99" i="82"/>
  <c r="K108" i="82" s="1"/>
  <c r="J99" i="82"/>
  <c r="I99" i="82"/>
  <c r="I108" i="82" s="1"/>
  <c r="H99" i="82"/>
  <c r="G99" i="82"/>
  <c r="G100" i="82" s="1"/>
  <c r="F99" i="82"/>
  <c r="E99" i="82"/>
  <c r="E108" i="82" s="1"/>
  <c r="D99" i="82"/>
  <c r="D108" i="82" s="1"/>
  <c r="C99" i="82"/>
  <c r="C100" i="82" s="1"/>
  <c r="M88" i="82"/>
  <c r="N88" i="82" s="1"/>
  <c r="K88" i="82"/>
  <c r="J88" i="82" s="1"/>
  <c r="D88" i="82"/>
  <c r="M87" i="82"/>
  <c r="N87" i="82" s="1"/>
  <c r="K87" i="82"/>
  <c r="J87" i="82" s="1"/>
  <c r="D87" i="82"/>
  <c r="M86" i="82"/>
  <c r="N86" i="82" s="1"/>
  <c r="K86" i="82"/>
  <c r="J86" i="82" s="1"/>
  <c r="D86" i="82"/>
  <c r="M85" i="82"/>
  <c r="N85" i="82" s="1"/>
  <c r="K85" i="82"/>
  <c r="J85" i="82" s="1"/>
  <c r="D85" i="82"/>
  <c r="M84" i="82"/>
  <c r="N84" i="82" s="1"/>
  <c r="K84" i="82"/>
  <c r="J84" i="82" s="1"/>
  <c r="D84" i="82"/>
  <c r="B84" i="82"/>
  <c r="M83" i="82"/>
  <c r="N83" i="82" s="1"/>
  <c r="K83" i="82"/>
  <c r="J83" i="82" s="1"/>
  <c r="D83" i="82"/>
  <c r="B83" i="82"/>
  <c r="M82" i="82"/>
  <c r="N82" i="82" s="1"/>
  <c r="K82" i="82"/>
  <c r="J82" i="82" s="1"/>
  <c r="D82" i="82"/>
  <c r="M81" i="82"/>
  <c r="N81" i="82" s="1"/>
  <c r="K81" i="82"/>
  <c r="J81" i="82" s="1"/>
  <c r="F81" i="82"/>
  <c r="H87" i="82" s="1"/>
  <c r="D81"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M73" i="82"/>
  <c r="N73" i="82" s="1"/>
  <c r="K73" i="82"/>
  <c r="J73" i="82" s="1"/>
  <c r="D73" i="82"/>
  <c r="M72" i="82"/>
  <c r="N72" i="82" s="1"/>
  <c r="K72" i="82"/>
  <c r="J72" i="82" s="1"/>
  <c r="D72" i="82"/>
  <c r="B72" i="82"/>
  <c r="M71" i="82"/>
  <c r="N71" i="82" s="1"/>
  <c r="K71" i="82"/>
  <c r="J71" i="82" s="1"/>
  <c r="D71" i="82"/>
  <c r="M70" i="82"/>
  <c r="N70" i="82" s="1"/>
  <c r="K70" i="82"/>
  <c r="J70" i="82" s="1"/>
  <c r="D70"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M62" i="82"/>
  <c r="N62" i="82" s="1"/>
  <c r="K62" i="82"/>
  <c r="J62" i="82" s="1"/>
  <c r="D62" i="82"/>
  <c r="M61" i="82"/>
  <c r="N61" i="82" s="1"/>
  <c r="K61" i="82"/>
  <c r="J61" i="82" s="1"/>
  <c r="D61" i="82"/>
  <c r="B61" i="82"/>
  <c r="M60" i="82"/>
  <c r="N60" i="82" s="1"/>
  <c r="K60" i="82"/>
  <c r="J60" i="82" s="1"/>
  <c r="D60" i="82"/>
  <c r="M59" i="82"/>
  <c r="N59" i="82" s="1"/>
  <c r="K59" i="82"/>
  <c r="J59" i="82" s="1"/>
  <c r="F59" i="82"/>
  <c r="H66" i="82" s="1"/>
  <c r="D59" i="82"/>
  <c r="D52" i="82"/>
  <c r="B50" i="82"/>
  <c r="B48" i="82"/>
  <c r="H39" i="82"/>
  <c r="H38" i="82"/>
  <c r="H37" i="82"/>
  <c r="H36" i="82"/>
  <c r="H35" i="82"/>
  <c r="H34" i="82"/>
  <c r="H33" i="82"/>
  <c r="J20" i="82"/>
  <c r="I19" i="82"/>
  <c r="C18" i="82"/>
  <c r="F15" i="82"/>
  <c r="E15" i="82"/>
  <c r="D15" i="82"/>
  <c r="C12" i="82" s="1"/>
  <c r="C15" i="82"/>
  <c r="Y12" i="82"/>
  <c r="Y10" i="82"/>
  <c r="C10" i="82"/>
  <c r="C11" i="82" s="1"/>
  <c r="AJ9" i="82"/>
  <c r="AJ12" i="82" s="1"/>
  <c r="AI9" i="82"/>
  <c r="AI12" i="82" s="1"/>
  <c r="AH9" i="82"/>
  <c r="AH10" i="82" s="1"/>
  <c r="AG9" i="82"/>
  <c r="AG12" i="82" s="1"/>
  <c r="AF9" i="82"/>
  <c r="AF12" i="82" s="1"/>
  <c r="AE9" i="82"/>
  <c r="AE12" i="82" s="1"/>
  <c r="AD9" i="82"/>
  <c r="AD10" i="82" s="1"/>
  <c r="AC9" i="82"/>
  <c r="AC12" i="82" s="1"/>
  <c r="AB9" i="82"/>
  <c r="AB12" i="82" s="1"/>
  <c r="AA9" i="82"/>
  <c r="AA12" i="82" s="1"/>
  <c r="Z9" i="82"/>
  <c r="Z10" i="82" s="1"/>
  <c r="C9" i="82"/>
  <c r="C7" i="82"/>
  <c r="A7" i="82"/>
  <c r="I2" i="82"/>
  <c r="N9" i="82" s="1"/>
  <c r="G2" i="82"/>
  <c r="E70" i="82" l="1"/>
  <c r="B68" i="82" s="1"/>
  <c r="K100" i="82"/>
  <c r="AG10" i="82"/>
  <c r="E59" i="82"/>
  <c r="B57" i="82" s="1"/>
  <c r="G108" i="82"/>
  <c r="Z12" i="82"/>
  <c r="AH12" i="82"/>
  <c r="E81" i="82"/>
  <c r="B79" i="82" s="1"/>
  <c r="N1" i="82"/>
  <c r="BN21" i="83"/>
  <c r="BO21" i="83" s="1"/>
  <c r="AC10" i="82"/>
  <c r="AD12" i="82"/>
  <c r="C108" i="82"/>
  <c r="D28" i="83"/>
  <c r="D30" i="83" s="1"/>
  <c r="H59" i="82"/>
  <c r="H67" i="82"/>
  <c r="H81" i="82"/>
  <c r="H62" i="82"/>
  <c r="H85" i="82"/>
  <c r="M4" i="82"/>
  <c r="N7" i="82"/>
  <c r="M10" i="82"/>
  <c r="N12" i="82"/>
  <c r="M1" i="82"/>
  <c r="M2" i="82"/>
  <c r="N3" i="82"/>
  <c r="M5" i="82"/>
  <c r="N8" i="82"/>
  <c r="F70" i="82" s="1"/>
  <c r="H61" i="82"/>
  <c r="H65" i="82"/>
  <c r="H83" i="82"/>
  <c r="H88" i="82"/>
  <c r="H113" i="82"/>
  <c r="F39" i="82"/>
  <c r="J17" i="82"/>
  <c r="H17" i="82"/>
  <c r="E17" i="82"/>
  <c r="F48" i="82"/>
  <c r="F38" i="82"/>
  <c r="F36" i="82"/>
  <c r="F34" i="82"/>
  <c r="G17" i="82"/>
  <c r="X7" i="82"/>
  <c r="E11" i="82"/>
  <c r="E10" i="82"/>
  <c r="I17" i="82"/>
  <c r="F33" i="82"/>
  <c r="M12" i="82"/>
  <c r="N11" i="82"/>
  <c r="N10" i="82"/>
  <c r="M9" i="82"/>
  <c r="M8" i="82"/>
  <c r="C6" i="82" s="1"/>
  <c r="M7" i="82"/>
  <c r="N6" i="82"/>
  <c r="N5" i="82"/>
  <c r="N2" i="82"/>
  <c r="M3" i="82"/>
  <c r="N4" i="82"/>
  <c r="M6" i="82"/>
  <c r="E8" i="82"/>
  <c r="E9" i="82"/>
  <c r="AA10" i="82"/>
  <c r="AE10" i="82"/>
  <c r="AI10" i="82"/>
  <c r="M11" i="82"/>
  <c r="C17" i="82"/>
  <c r="F35" i="82"/>
  <c r="F37" i="82"/>
  <c r="AB10" i="82"/>
  <c r="AF10" i="82"/>
  <c r="AJ10" i="82"/>
  <c r="F108" i="82"/>
  <c r="F100" i="82"/>
  <c r="H108" i="82"/>
  <c r="H100" i="82"/>
  <c r="J108" i="82"/>
  <c r="J100" i="82"/>
  <c r="L108" i="82"/>
  <c r="L100" i="82"/>
  <c r="N108" i="82"/>
  <c r="N100" i="82"/>
  <c r="D100" i="82"/>
  <c r="H60" i="82"/>
  <c r="H63" i="82"/>
  <c r="H64" i="82"/>
  <c r="H82" i="82"/>
  <c r="H84" i="82"/>
  <c r="H86" i="82"/>
  <c r="E100" i="82"/>
  <c r="I100" i="82"/>
  <c r="M100" i="82"/>
  <c r="C16" i="82" l="1"/>
  <c r="C5" i="82" s="1"/>
  <c r="H76" i="82"/>
  <c r="H72" i="82"/>
  <c r="H74" i="82"/>
  <c r="H77" i="82"/>
  <c r="H78" i="82"/>
  <c r="H70" i="82"/>
  <c r="H71" i="82"/>
  <c r="H75" i="82"/>
  <c r="H73" i="82"/>
  <c r="D5" i="82"/>
  <c r="H52" i="82"/>
  <c r="G52" i="82" s="1"/>
  <c r="H51" i="82"/>
  <c r="G51" i="82" s="1"/>
  <c r="H56" i="82"/>
  <c r="G56" i="82" s="1"/>
  <c r="H54" i="82"/>
  <c r="G54" i="82" s="1"/>
  <c r="H49" i="82"/>
  <c r="G49" i="82" s="1"/>
  <c r="H55" i="82"/>
  <c r="G55" i="82" s="1"/>
  <c r="H53" i="82"/>
  <c r="G53" i="82" s="1"/>
  <c r="H50" i="82"/>
  <c r="G50" i="82" s="1"/>
  <c r="H48" i="82"/>
  <c r="G48" i="82" s="1"/>
  <c r="M48" i="82" l="1"/>
  <c r="N48" i="82" s="1"/>
  <c r="K48" i="82"/>
  <c r="M53" i="82"/>
  <c r="N53" i="82" s="1"/>
  <c r="K53" i="82"/>
  <c r="M49" i="82"/>
  <c r="N49" i="82" s="1"/>
  <c r="K49" i="82"/>
  <c r="M56" i="82"/>
  <c r="N56" i="82" s="1"/>
  <c r="K56" i="82"/>
  <c r="K52" i="82"/>
  <c r="J52" i="82" s="1"/>
  <c r="M52" i="82"/>
  <c r="N52" i="82" s="1"/>
  <c r="M50" i="82"/>
  <c r="N50" i="82" s="1"/>
  <c r="K50" i="82"/>
  <c r="M55" i="82"/>
  <c r="N55" i="82" s="1"/>
  <c r="K55" i="82"/>
  <c r="J55" i="82" s="1"/>
  <c r="D55" i="82" s="1"/>
  <c r="M54" i="82"/>
  <c r="N54" i="82" s="1"/>
  <c r="K54" i="82"/>
  <c r="K51" i="82"/>
  <c r="M51" i="82"/>
  <c r="N51" i="82" s="1"/>
  <c r="J54" i="82" l="1"/>
  <c r="D54" i="82"/>
  <c r="J50" i="82"/>
  <c r="D50" i="82"/>
  <c r="J56" i="82"/>
  <c r="D56" i="82"/>
  <c r="J49" i="82"/>
  <c r="D49" i="82"/>
  <c r="J53" i="82"/>
  <c r="D53" i="82"/>
  <c r="J48" i="82"/>
  <c r="D48" i="82"/>
  <c r="E48" i="82" s="1"/>
  <c r="B46" i="82" s="1"/>
  <c r="C24" i="82" s="1"/>
  <c r="D51" i="82"/>
  <c r="J51" i="82"/>
  <c r="Q72" i="81" l="1"/>
  <c r="Q59" i="81"/>
  <c r="K59" i="81"/>
  <c r="P74" i="81" s="1"/>
  <c r="F59" i="81"/>
  <c r="Q58" i="81"/>
  <c r="Q51" i="81"/>
  <c r="J50" i="81"/>
  <c r="M47" i="81"/>
  <c r="D46" i="81"/>
  <c r="F33" i="81"/>
  <c r="F61" i="81" s="1"/>
  <c r="F31" i="81"/>
  <c r="F23" i="81"/>
  <c r="D24" i="81" s="1"/>
  <c r="D22" i="81"/>
  <c r="F21" i="81"/>
  <c r="F20" i="81"/>
  <c r="M19" i="81"/>
  <c r="F18" i="81"/>
  <c r="M17" i="81"/>
  <c r="F17" i="81"/>
  <c r="F15" i="81"/>
  <c r="D23" i="81" l="1"/>
  <c r="P61" i="81"/>
  <c r="I54" i="81" l="1"/>
  <c r="Y56" i="78"/>
  <c r="AT15" i="3"/>
  <c r="C31" i="66" l="1"/>
  <c r="B10" i="77"/>
  <c r="Q72" i="80"/>
  <c r="Q59" i="80"/>
  <c r="K59" i="80"/>
  <c r="P74" i="80" s="1"/>
  <c r="F59" i="80"/>
  <c r="Q58" i="80"/>
  <c r="Q51" i="80"/>
  <c r="J50" i="80"/>
  <c r="M47" i="80"/>
  <c r="D46" i="80"/>
  <c r="F33" i="80"/>
  <c r="F61" i="80" s="1"/>
  <c r="F31" i="80"/>
  <c r="F23" i="80"/>
  <c r="D23" i="80" s="1"/>
  <c r="F21" i="80"/>
  <c r="F20" i="80"/>
  <c r="M19" i="80"/>
  <c r="F18" i="80"/>
  <c r="M17" i="80"/>
  <c r="F17" i="80"/>
  <c r="F15" i="80"/>
  <c r="I7" i="39"/>
  <c r="G7" i="39"/>
  <c r="E7" i="39"/>
  <c r="I46" i="39"/>
  <c r="G46" i="39"/>
  <c r="E46" i="39"/>
  <c r="I38" i="39"/>
  <c r="G38" i="39"/>
  <c r="E38" i="39"/>
  <c r="C38" i="39"/>
  <c r="I11" i="39"/>
  <c r="G11" i="39"/>
  <c r="E11" i="39"/>
  <c r="I5" i="39"/>
  <c r="G5" i="39"/>
  <c r="E5" i="39"/>
  <c r="N14" i="1"/>
  <c r="N8" i="1"/>
  <c r="Y6" i="1" l="1"/>
  <c r="Y8" i="1" s="1"/>
  <c r="D24" i="80"/>
  <c r="P61" i="80"/>
  <c r="D22" i="80"/>
  <c r="AL15" i="3"/>
  <c r="AL14" i="3"/>
  <c r="AJ14" i="3"/>
  <c r="AD14" i="3"/>
  <c r="M14" i="3"/>
  <c r="G19" i="6" s="1"/>
  <c r="I14" i="3"/>
  <c r="M13" i="3"/>
  <c r="D17" i="78" s="1"/>
  <c r="K13" i="3"/>
  <c r="I13" i="3"/>
  <c r="C17" i="78" s="1"/>
  <c r="R45" i="78"/>
  <c r="R43" i="78"/>
  <c r="R42" i="78"/>
  <c r="R41" i="78"/>
  <c r="R40" i="78"/>
  <c r="R39" i="78"/>
  <c r="R38" i="78"/>
  <c r="R37" i="78"/>
  <c r="R36" i="78"/>
  <c r="R34" i="78"/>
  <c r="R33" i="78"/>
  <c r="R32" i="78"/>
  <c r="R31" i="78"/>
  <c r="T56" i="78"/>
  <c r="U56" i="78"/>
  <c r="V56" i="78"/>
  <c r="X56" i="78"/>
  <c r="X59" i="78" s="1"/>
  <c r="S56" i="78"/>
  <c r="S59" i="78"/>
  <c r="T59" i="78"/>
  <c r="U59" i="78"/>
  <c r="V59" i="78"/>
  <c r="E56" i="78"/>
  <c r="E59" i="78" s="1"/>
  <c r="F56" i="78"/>
  <c r="F59" i="78" s="1"/>
  <c r="I56" i="78"/>
  <c r="I59" i="78" s="1"/>
  <c r="J56" i="78"/>
  <c r="J59" i="78" s="1"/>
  <c r="K56" i="78"/>
  <c r="K59" i="78" s="1"/>
  <c r="L56" i="78"/>
  <c r="L59" i="78" s="1"/>
  <c r="N56" i="78"/>
  <c r="N59" i="78" s="1"/>
  <c r="G46" i="78"/>
  <c r="H46" i="78"/>
  <c r="H56" i="78" s="1"/>
  <c r="H59" i="78" s="1"/>
  <c r="M46" i="78"/>
  <c r="AH15" i="3" s="1"/>
  <c r="O46" i="78"/>
  <c r="O56" i="78" s="1"/>
  <c r="O59" i="78" s="1"/>
  <c r="P46" i="78"/>
  <c r="P56" i="78" s="1"/>
  <c r="P59" i="78" s="1"/>
  <c r="Q46" i="78"/>
  <c r="Q56" i="78" s="1"/>
  <c r="Q59" i="78" s="1"/>
  <c r="C32" i="78"/>
  <c r="C33" i="78"/>
  <c r="C40" i="78"/>
  <c r="C41" i="78"/>
  <c r="C42" i="78"/>
  <c r="C43" i="78"/>
  <c r="C44" i="78"/>
  <c r="C45" i="78"/>
  <c r="C31" i="78"/>
  <c r="AN14" i="3"/>
  <c r="R35" i="78"/>
  <c r="D35" i="78"/>
  <c r="C35" i="78" s="1"/>
  <c r="D36" i="78"/>
  <c r="C36" i="78" s="1"/>
  <c r="D37" i="78"/>
  <c r="C37" i="78" s="1"/>
  <c r="D38" i="78"/>
  <c r="C38" i="78" s="1"/>
  <c r="D39" i="78"/>
  <c r="C39" i="78" s="1"/>
  <c r="D34" i="78"/>
  <c r="B33" i="78"/>
  <c r="B45" i="78"/>
  <c r="J14" i="78"/>
  <c r="F20" i="78" s="1"/>
  <c r="K14" i="78"/>
  <c r="L14" i="78"/>
  <c r="M14" i="78"/>
  <c r="N14" i="78"/>
  <c r="L24" i="78"/>
  <c r="G3" i="78"/>
  <c r="I3" i="78" s="1"/>
  <c r="C14" i="78"/>
  <c r="D14" i="78"/>
  <c r="E14" i="78"/>
  <c r="F14" i="78"/>
  <c r="H14" i="78"/>
  <c r="B14" i="78"/>
  <c r="B20" i="78" s="1"/>
  <c r="G9" i="78"/>
  <c r="G8" i="78"/>
  <c r="G7" i="78"/>
  <c r="I7" i="78" s="1"/>
  <c r="I5" i="78"/>
  <c r="I6" i="78"/>
  <c r="I8" i="78"/>
  <c r="I9" i="78"/>
  <c r="I10" i="78"/>
  <c r="I11" i="78"/>
  <c r="I12" i="78"/>
  <c r="I13" i="78"/>
  <c r="I4" i="78"/>
  <c r="B42" i="78" l="1"/>
  <c r="O14" i="3"/>
  <c r="F21" i="6" s="1"/>
  <c r="B38" i="78"/>
  <c r="B36" i="78"/>
  <c r="B40" i="78"/>
  <c r="AD15" i="3"/>
  <c r="D46" i="78"/>
  <c r="I14" i="78"/>
  <c r="B35" i="78"/>
  <c r="C34" i="78"/>
  <c r="M56" i="78"/>
  <c r="M59" i="78" s="1"/>
  <c r="G56" i="78"/>
  <c r="G59" i="78" s="1"/>
  <c r="R44" i="78"/>
  <c r="B44" i="78" s="1"/>
  <c r="D39" i="43"/>
  <c r="G14" i="78"/>
  <c r="B34" i="78"/>
  <c r="B37" i="78"/>
  <c r="B39" i="78"/>
  <c r="C20" i="78"/>
  <c r="D20" i="78"/>
  <c r="F19" i="6"/>
  <c r="D29" i="43"/>
  <c r="O15" i="3"/>
  <c r="B41" i="78"/>
  <c r="B43" i="78"/>
  <c r="B32" i="78"/>
  <c r="B31" i="78"/>
  <c r="B7" i="77"/>
  <c r="D29" i="82" l="1"/>
  <c r="D1" i="82" s="1"/>
  <c r="E56" i="39"/>
  <c r="D56" i="78"/>
  <c r="C46" i="78"/>
  <c r="AD5" i="71"/>
  <c r="AH5" i="71"/>
  <c r="AG5" i="71"/>
  <c r="AE5" i="71"/>
  <c r="AF5" i="71" s="1"/>
  <c r="Q5" i="71"/>
  <c r="P5" i="71"/>
  <c r="O5" i="71"/>
  <c r="N5" i="71"/>
  <c r="D59" i="78" l="1"/>
  <c r="C56" i="78"/>
  <c r="C59" i="78"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65" i="72"/>
  <c r="B59" i="72"/>
  <c r="B67" i="72"/>
  <c r="B12" i="72"/>
  <c r="B10" i="72"/>
  <c r="C53" i="10"/>
  <c r="B51" i="10"/>
  <c r="B19" i="72"/>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D26" i="71"/>
  <c r="Q25" i="71"/>
  <c r="P25" i="71"/>
  <c r="O25" i="71"/>
  <c r="N25" i="71"/>
  <c r="Q24" i="71"/>
  <c r="AB24" i="71" s="1"/>
  <c r="P24" i="71"/>
  <c r="AA24" i="71" s="1"/>
  <c r="O24" i="71"/>
  <c r="Y24" i="71" s="1"/>
  <c r="Z24" i="71" s="1"/>
  <c r="N24" i="71"/>
  <c r="X24" i="71" s="1"/>
  <c r="Q23" i="71"/>
  <c r="AB23" i="71" s="1"/>
  <c r="P23" i="71"/>
  <c r="O23" i="71"/>
  <c r="Y23" i="71" s="1"/>
  <c r="Z23" i="71" s="1"/>
  <c r="N23" i="71"/>
  <c r="Q22" i="71"/>
  <c r="F23" i="71" s="1"/>
  <c r="P22" i="71"/>
  <c r="O22" i="71"/>
  <c r="C23" i="71" s="1"/>
  <c r="N22" i="71"/>
  <c r="D22" i="71"/>
  <c r="Q21" i="71"/>
  <c r="P21" i="71"/>
  <c r="O21" i="71"/>
  <c r="N21" i="71"/>
  <c r="Q20" i="71"/>
  <c r="P20" i="71"/>
  <c r="O20" i="71"/>
  <c r="Y20" i="71"/>
  <c r="Z20" i="71" s="1"/>
  <c r="N20" i="71"/>
  <c r="Q19" i="71"/>
  <c r="AB19" i="71" s="1"/>
  <c r="P19" i="71"/>
  <c r="O19" i="71"/>
  <c r="Y19" i="71" s="1"/>
  <c r="Z19" i="71" s="1"/>
  <c r="N19" i="71"/>
  <c r="Q18" i="71"/>
  <c r="F19" i="71" s="1"/>
  <c r="P18" i="71"/>
  <c r="O18" i="71"/>
  <c r="N18" i="71"/>
  <c r="D18" i="71"/>
  <c r="Q17" i="71"/>
  <c r="P17" i="71"/>
  <c r="O17" i="71"/>
  <c r="N17" i="71"/>
  <c r="X15" i="71" s="1"/>
  <c r="Q16" i="71"/>
  <c r="P16" i="71"/>
  <c r="O16" i="71"/>
  <c r="Y16" i="71"/>
  <c r="Z16" i="71" s="1"/>
  <c r="N16" i="71"/>
  <c r="Q15" i="71"/>
  <c r="AB15" i="71" s="1"/>
  <c r="P15" i="71"/>
  <c r="O15" i="71"/>
  <c r="Y15" i="71" s="1"/>
  <c r="Z15" i="71" s="1"/>
  <c r="N15" i="71"/>
  <c r="Q14" i="71"/>
  <c r="F15" i="71" s="1"/>
  <c r="P14" i="71"/>
  <c r="O14" i="71"/>
  <c r="Y14" i="71" s="1"/>
  <c r="Z14" i="71" s="1"/>
  <c r="N14" i="71"/>
  <c r="D14" i="71"/>
  <c r="O13" i="71"/>
  <c r="N13" i="71"/>
  <c r="X10" i="71" s="1"/>
  <c r="B15" i="71"/>
  <c r="B16" i="71"/>
  <c r="B17" i="71" s="1"/>
  <c r="S17" i="71" s="1"/>
  <c r="E15" i="71"/>
  <c r="E16" i="71" s="1"/>
  <c r="AA14" i="71"/>
  <c r="B19" i="71"/>
  <c r="B20" i="71"/>
  <c r="B21" i="71" s="1"/>
  <c r="S21" i="71" s="1"/>
  <c r="B23" i="71"/>
  <c r="B24" i="71" s="1"/>
  <c r="B25" i="71" s="1"/>
  <c r="S25" i="71" s="1"/>
  <c r="X22" i="71"/>
  <c r="E23" i="71"/>
  <c r="E24" i="71"/>
  <c r="E25" i="71" s="1"/>
  <c r="N53" i="71"/>
  <c r="E19" i="71"/>
  <c r="E20" i="71" s="1"/>
  <c r="E21" i="71" s="1"/>
  <c r="U21" i="71" s="1"/>
  <c r="X16" i="71"/>
  <c r="X17" i="71"/>
  <c r="C19" i="71"/>
  <c r="C20" i="71" s="1"/>
  <c r="Y18" i="71"/>
  <c r="Z18" i="71" s="1"/>
  <c r="AB18" i="71"/>
  <c r="AA19" i="71"/>
  <c r="AA20" i="71"/>
  <c r="X21" i="71"/>
  <c r="AA21" i="71"/>
  <c r="Y22" i="71"/>
  <c r="Z22" i="71" s="1"/>
  <c r="AB22" i="71"/>
  <c r="X23" i="71"/>
  <c r="AA23" i="71"/>
  <c r="F36" i="71"/>
  <c r="F37" i="71" s="1"/>
  <c r="V37" i="71" s="1"/>
  <c r="C13" i="71"/>
  <c r="T13" i="71" s="1"/>
  <c r="Y10" i="71"/>
  <c r="Z10" i="71" s="1"/>
  <c r="Y11" i="71"/>
  <c r="Z11" i="71" s="1"/>
  <c r="Y12" i="71"/>
  <c r="Z12" i="71" s="1"/>
  <c r="Y13" i="71"/>
  <c r="Z13" i="71" s="1"/>
  <c r="B13" i="71"/>
  <c r="B12" i="71" s="1"/>
  <c r="B11" i="71" s="1"/>
  <c r="X11" i="71"/>
  <c r="X13" i="71"/>
  <c r="P13" i="71"/>
  <c r="E48" i="71"/>
  <c r="E49" i="71" s="1"/>
  <c r="U49" i="71" s="1"/>
  <c r="U53" i="71"/>
  <c r="E52" i="71"/>
  <c r="E51" i="71" s="1"/>
  <c r="Q13" i="71"/>
  <c r="AB10" i="71" s="1"/>
  <c r="D39" i="71"/>
  <c r="C48" i="71"/>
  <c r="D47" i="71"/>
  <c r="T53" i="71"/>
  <c r="O53" i="71"/>
  <c r="D53" i="71"/>
  <c r="C52" i="71"/>
  <c r="C51" i="71" s="1"/>
  <c r="Q53" i="71"/>
  <c r="C56" i="71"/>
  <c r="C55" i="71" s="1"/>
  <c r="D55" i="71" s="1"/>
  <c r="E56" i="71"/>
  <c r="E55" i="71" s="1"/>
  <c r="D57" i="71"/>
  <c r="C60" i="71"/>
  <c r="E60" i="71"/>
  <c r="E59" i="71" s="1"/>
  <c r="D61" i="71"/>
  <c r="C64" i="71"/>
  <c r="C63" i="71" s="1"/>
  <c r="D63" i="71" s="1"/>
  <c r="E64" i="71"/>
  <c r="E63" i="71" s="1"/>
  <c r="D65" i="71"/>
  <c r="C68" i="71"/>
  <c r="C67" i="71" s="1"/>
  <c r="D67" i="71" s="1"/>
  <c r="C72" i="71"/>
  <c r="C71" i="71" s="1"/>
  <c r="D71" i="71" s="1"/>
  <c r="C12" i="71"/>
  <c r="C11" i="71" s="1"/>
  <c r="D11" i="71" s="1"/>
  <c r="F13" i="71"/>
  <c r="F12" i="71" s="1"/>
  <c r="F11" i="71" s="1"/>
  <c r="AB11" i="71"/>
  <c r="AB13" i="71"/>
  <c r="E13" i="71"/>
  <c r="E12" i="71" s="1"/>
  <c r="E11" i="71" s="1"/>
  <c r="AA3" i="71"/>
  <c r="AA11" i="71"/>
  <c r="AA13" i="71"/>
  <c r="O52" i="71"/>
  <c r="C49" i="71"/>
  <c r="D49" i="71" s="1"/>
  <c r="D48" i="71"/>
  <c r="D68" i="71"/>
  <c r="D60" i="71"/>
  <c r="C59" i="71"/>
  <c r="D59" i="71" s="1"/>
  <c r="D64" i="71"/>
  <c r="D56" i="71"/>
  <c r="P52" i="71"/>
  <c r="T49" i="71"/>
  <c r="O27" i="6"/>
  <c r="N27" i="6"/>
  <c r="P20" i="6"/>
  <c r="P21" i="6"/>
  <c r="P22" i="6"/>
  <c r="P23" i="6"/>
  <c r="P24" i="6"/>
  <c r="P25" i="6"/>
  <c r="P26" i="6"/>
  <c r="P19" i="6"/>
  <c r="P27" i="6" s="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82" s="1"/>
  <c r="C22" i="20"/>
  <c r="C25" i="40"/>
  <c r="S18" i="36"/>
  <c r="H25" i="40"/>
  <c r="J25" i="40"/>
  <c r="AC25" i="40" s="1"/>
  <c r="H29" i="39"/>
  <c r="U29" i="39" s="1"/>
  <c r="J29" i="39"/>
  <c r="W29" i="39" s="1"/>
  <c r="J18" i="36"/>
  <c r="AC18" i="36" s="1"/>
  <c r="H18" i="35"/>
  <c r="AB18" i="35" s="1"/>
  <c r="S18" i="35"/>
  <c r="J18" i="35"/>
  <c r="H21" i="37"/>
  <c r="F21" i="37"/>
  <c r="H21" i="34"/>
  <c r="AB21" i="34" s="1"/>
  <c r="H21" i="33"/>
  <c r="U21" i="33" s="1"/>
  <c r="F21" i="33"/>
  <c r="E83" i="21"/>
  <c r="F83" i="21" s="1"/>
  <c r="G83" i="21" s="1"/>
  <c r="S21" i="21"/>
  <c r="H1" i="69"/>
  <c r="AB25" i="40"/>
  <c r="U25" i="40"/>
  <c r="AB29" i="39"/>
  <c r="W18" i="36"/>
  <c r="AB21" i="37"/>
  <c r="U21" i="37"/>
  <c r="AA21" i="33"/>
  <c r="S21" i="33"/>
  <c r="U18" i="35"/>
  <c r="J21" i="37"/>
  <c r="J21" i="34"/>
  <c r="W21" i="34" s="1"/>
  <c r="J21" i="33"/>
  <c r="W21" i="33" s="1"/>
  <c r="H21" i="21"/>
  <c r="U21" i="21" s="1"/>
  <c r="F38" i="69"/>
  <c r="E37" i="69"/>
  <c r="F36" i="69"/>
  <c r="F35" i="69"/>
  <c r="F21" i="69"/>
  <c r="C21" i="69" s="1"/>
  <c r="F20" i="69"/>
  <c r="E10" i="69"/>
  <c r="E9" i="69"/>
  <c r="F7" i="69"/>
  <c r="C7" i="69" s="1"/>
  <c r="AC21" i="33"/>
  <c r="AB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2" i="66"/>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P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1" i="1"/>
  <c r="I15" i="4"/>
  <c r="H15" i="4"/>
  <c r="G15" i="4"/>
  <c r="E15" i="4"/>
  <c r="D15" i="4"/>
  <c r="F8" i="1" s="1"/>
  <c r="I20" i="82" s="1"/>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B57" i="36"/>
  <c r="F12" i="36" s="1"/>
  <c r="AA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82" s="1"/>
  <c r="G19" i="20"/>
  <c r="B85" i="82" s="1"/>
  <c r="G16" i="20"/>
  <c r="B82" i="82" s="1"/>
  <c r="G15" i="20"/>
  <c r="B81" i="82" s="1"/>
  <c r="C24" i="20"/>
  <c r="B73" i="43" s="1"/>
  <c r="C21" i="20"/>
  <c r="B74" i="43" s="1"/>
  <c r="C20" i="20"/>
  <c r="B77" i="43" s="1"/>
  <c r="C18" i="20"/>
  <c r="B71" i="43" s="1"/>
  <c r="C17" i="20"/>
  <c r="B59" i="82" s="1"/>
  <c r="C16" i="20"/>
  <c r="C17" i="39" s="1"/>
  <c r="C15" i="20"/>
  <c r="B70" i="82"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AA31" i="36"/>
  <c r="W31" i="36"/>
  <c r="U31" i="36"/>
  <c r="J33" i="36"/>
  <c r="W33" i="36" s="1"/>
  <c r="H22" i="35"/>
  <c r="AB22" i="35" s="1"/>
  <c r="AC27" i="35"/>
  <c r="W28" i="35"/>
  <c r="U31" i="35"/>
  <c r="W22" i="35"/>
  <c r="S31" i="35"/>
  <c r="U34" i="35"/>
  <c r="F36" i="34"/>
  <c r="J35" i="34"/>
  <c r="H39" i="33"/>
  <c r="AB39" i="33" s="1"/>
  <c r="F26" i="33"/>
  <c r="AA26" i="33" s="1"/>
  <c r="U33" i="33"/>
  <c r="S40" i="33"/>
  <c r="W33" i="33"/>
  <c r="W39" i="33"/>
  <c r="H39" i="37"/>
  <c r="AB39" i="37" s="1"/>
  <c r="F11" i="40"/>
  <c r="AA11" i="40" s="1"/>
  <c r="H11" i="40"/>
  <c r="AB11" i="40" s="1"/>
  <c r="W8" i="40"/>
  <c r="AA9" i="40"/>
  <c r="AC9" i="40"/>
  <c r="U9" i="40"/>
  <c r="S34"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U30" i="36"/>
  <c r="J30" i="35"/>
  <c r="W30" i="35"/>
  <c r="H30" i="35"/>
  <c r="AB30" i="35"/>
  <c r="F22" i="35"/>
  <c r="AA22" i="35"/>
  <c r="H10" i="35"/>
  <c r="U10" i="35"/>
  <c r="AC16" i="36"/>
  <c r="F33" i="36"/>
  <c r="AA33" i="36" s="1"/>
  <c r="W30" i="36"/>
  <c r="H16" i="36"/>
  <c r="AB16" i="36" s="1"/>
  <c r="J29" i="36"/>
  <c r="AC29" i="36" s="1"/>
  <c r="F24" i="36"/>
  <c r="AA24" i="36" s="1"/>
  <c r="S10"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H14" i="40"/>
  <c r="AB14" i="40" s="1"/>
  <c r="J14" i="40"/>
  <c r="W14" i="40" s="1"/>
  <c r="F14" i="40"/>
  <c r="AA14" i="40" s="1"/>
  <c r="J14" i="37"/>
  <c r="AC14" i="37" s="1"/>
  <c r="J27" i="37"/>
  <c r="AC27" i="37" s="1"/>
  <c r="AA44" i="33"/>
  <c r="U46" i="33"/>
  <c r="J36" i="37"/>
  <c r="AC36" i="37" s="1"/>
  <c r="J10" i="36"/>
  <c r="AC10" i="36" s="1"/>
  <c r="S11" i="36"/>
  <c r="AC30" i="34"/>
  <c r="AB31" i="33"/>
  <c r="AC28" i="21"/>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AZ540" i="3" s="1"/>
  <c r="BA538" i="3"/>
  <c r="AZ538" i="3" s="1"/>
  <c r="BA536" i="3"/>
  <c r="AZ536" i="3" s="1"/>
  <c r="BA534" i="3"/>
  <c r="AZ534" i="3" s="1"/>
  <c r="BA532" i="3"/>
  <c r="AZ532" i="3" s="1"/>
  <c r="BA530" i="3"/>
  <c r="BA528" i="3"/>
  <c r="BA526" i="3"/>
  <c r="BA524" i="3"/>
  <c r="BA522" i="3"/>
  <c r="AZ522" i="3" s="1"/>
  <c r="BA520" i="3"/>
  <c r="BA518" i="3"/>
  <c r="AZ518" i="3" s="1"/>
  <c r="BA516" i="3"/>
  <c r="BA514" i="3"/>
  <c r="BA512" i="3"/>
  <c r="AZ512" i="3" s="1"/>
  <c r="BA510" i="3"/>
  <c r="AZ510" i="3" s="1"/>
  <c r="BA508" i="3"/>
  <c r="BA506" i="3"/>
  <c r="AZ506" i="3" s="1"/>
  <c r="BA504" i="3"/>
  <c r="BA502" i="3"/>
  <c r="AZ502" i="3" s="1"/>
  <c r="BA500" i="3"/>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BQ541" i="3"/>
  <c r="BL541" i="3" s="1"/>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G509" i="3" s="1"/>
  <c r="BQ509" i="3"/>
  <c r="BL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AA12" i="35"/>
  <c r="U33" i="37"/>
  <c r="U39" i="37"/>
  <c r="AC8" i="37"/>
  <c r="U26" i="37"/>
  <c r="W37" i="34"/>
  <c r="AA13" i="33"/>
  <c r="W44" i="33"/>
  <c r="U19" i="21"/>
  <c r="U26" i="21"/>
  <c r="AB38" i="21"/>
  <c r="F43" i="33"/>
  <c r="AA43" i="33" s="1"/>
  <c r="W15" i="34"/>
  <c r="W16" i="35"/>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s="1"/>
  <c r="F88" i="40"/>
  <c r="G88" i="40" s="1"/>
  <c r="F19" i="40"/>
  <c r="S19" i="40" s="1"/>
  <c r="S14" i="40"/>
  <c r="AB33" i="40"/>
  <c r="G101" i="39"/>
  <c r="H37" i="39"/>
  <c r="AB37" i="39" s="1"/>
  <c r="H25" i="39"/>
  <c r="AB25" i="39" s="1"/>
  <c r="J25" i="39"/>
  <c r="F25" i="39"/>
  <c r="AA25" i="39" s="1"/>
  <c r="F15" i="39"/>
  <c r="AA15" i="39" s="1"/>
  <c r="H15" i="39"/>
  <c r="U15" i="39" s="1"/>
  <c r="J15" i="39"/>
  <c r="W15" i="39" s="1"/>
  <c r="H41" i="39"/>
  <c r="AB41" i="39" s="1"/>
  <c r="AB34" i="39"/>
  <c r="U40" i="39"/>
  <c r="S42" i="39"/>
  <c r="W9" i="39"/>
  <c r="W8" i="39"/>
  <c r="J19" i="40"/>
  <c r="AC19" i="40" s="1"/>
  <c r="J50" i="40"/>
  <c r="B54" i="72"/>
  <c r="H103" i="9"/>
  <c r="D8" i="53" s="1"/>
  <c r="D9" i="53" s="1"/>
  <c r="B25" i="72" s="1"/>
  <c r="B16" i="53"/>
  <c r="B33" i="72" s="1"/>
  <c r="C7" i="37"/>
  <c r="C7" i="34"/>
  <c r="C59" i="34" s="1"/>
  <c r="D59" i="34" s="1"/>
  <c r="E59" i="34" s="1"/>
  <c r="F59" i="34" s="1"/>
  <c r="G59" i="34" s="1"/>
  <c r="H59" i="34" s="1"/>
  <c r="I59" i="34" s="1"/>
  <c r="C7" i="36"/>
  <c r="C46" i="36" s="1"/>
  <c r="D46" i="36" s="1"/>
  <c r="E46" i="36" s="1"/>
  <c r="F46" i="36" s="1"/>
  <c r="G46" i="36" s="1"/>
  <c r="H46" i="36" s="1"/>
  <c r="I46" i="36" s="1"/>
  <c r="W35" i="40"/>
  <c r="A118" i="9"/>
  <c r="A4" i="52"/>
  <c r="B41" i="72" s="1"/>
  <c r="A12" i="52"/>
  <c r="B56" i="72" s="1"/>
  <c r="G4" i="4"/>
  <c r="I4" i="4"/>
  <c r="K5" i="4"/>
  <c r="B47" i="48" s="1"/>
  <c r="A2" i="9"/>
  <c r="N2" i="43"/>
  <c r="F59" i="43"/>
  <c r="H66" i="43" s="1"/>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AZ203" i="3" s="1"/>
  <c r="BL204" i="3"/>
  <c r="AZ105"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500" i="3"/>
  <c r="BA16" i="3"/>
  <c r="BL303" i="3"/>
  <c r="G304" i="3"/>
  <c r="BA306" i="3"/>
  <c r="AZ306" i="3" s="1"/>
  <c r="BL307" i="3"/>
  <c r="G308" i="3"/>
  <c r="BA310" i="3"/>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AZ245" i="3"/>
  <c r="AZ249" i="3"/>
  <c r="AZ370" i="3"/>
  <c r="BA379" i="3"/>
  <c r="AZ379" i="3"/>
  <c r="BL380" i="3"/>
  <c r="G381" i="3"/>
  <c r="BA383" i="3"/>
  <c r="BL384" i="3"/>
  <c r="G385" i="3"/>
  <c r="BA387" i="3"/>
  <c r="AZ387" i="3"/>
  <c r="BL388" i="3"/>
  <c r="G389" i="3"/>
  <c r="BA391" i="3"/>
  <c r="AZ391" i="3"/>
  <c r="BL392" i="3"/>
  <c r="G393" i="3"/>
  <c r="BO5" i="3"/>
  <c r="BM5" i="3"/>
  <c r="BJ5" i="3"/>
  <c r="BH5" i="3"/>
  <c r="BF5" i="3"/>
  <c r="BD5" i="3"/>
  <c r="G548" i="3"/>
  <c r="G538" i="3"/>
  <c r="G520" i="3"/>
  <c r="G502" i="3"/>
  <c r="BS5" i="3"/>
  <c r="BP5" i="3"/>
  <c r="BN5" i="3"/>
  <c r="G29" i="6" s="1"/>
  <c r="BK5" i="3"/>
  <c r="BI5" i="3"/>
  <c r="BG5" i="3"/>
  <c r="BC5" i="3"/>
  <c r="G17" i="3"/>
  <c r="BA17" i="3"/>
  <c r="BT5" i="3"/>
  <c r="AZ350" i="3"/>
  <c r="BA15" i="3"/>
  <c r="BB5" i="3"/>
  <c r="AZ384" i="3"/>
  <c r="AZ394" i="3"/>
  <c r="U36" i="40"/>
  <c r="N4" i="43"/>
  <c r="F36" i="43"/>
  <c r="F81" i="43"/>
  <c r="H83" i="43" s="1"/>
  <c r="H113" i="43"/>
  <c r="N7" i="43"/>
  <c r="F70" i="43"/>
  <c r="H73" i="43" s="1"/>
  <c r="M6" i="43"/>
  <c r="M11" i="43"/>
  <c r="E17" i="43"/>
  <c r="F39" i="43"/>
  <c r="I17" i="43"/>
  <c r="F35" i="43"/>
  <c r="J17" i="43"/>
  <c r="F6" i="1"/>
  <c r="I20" i="43" s="1"/>
  <c r="S14" i="35"/>
  <c r="U43" i="21"/>
  <c r="U35" i="21"/>
  <c r="AC35" i="21"/>
  <c r="U10" i="21"/>
  <c r="G8" i="1"/>
  <c r="G9" i="1"/>
  <c r="G10" i="1"/>
  <c r="F48" i="9"/>
  <c r="O52" i="9" s="1"/>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43" i="3"/>
  <c r="AZ251" i="3"/>
  <c r="AZ130" i="3"/>
  <c r="AZ102" i="3"/>
  <c r="AZ110" i="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AE9" i="1"/>
  <c r="D93" i="9"/>
  <c r="K6" i="1"/>
  <c r="AC26" i="33"/>
  <c r="W26" i="33"/>
  <c r="W27" i="34"/>
  <c r="AC27" i="34"/>
  <c r="AC12" i="39"/>
  <c r="W12" i="39"/>
  <c r="W12" i="33"/>
  <c r="AC12" i="33"/>
  <c r="BL14" i="3"/>
  <c r="U30" i="33"/>
  <c r="AC13" i="34"/>
  <c r="AA47" i="34"/>
  <c r="W28" i="37"/>
  <c r="S19" i="39"/>
  <c r="F12" i="33"/>
  <c r="AA12" i="33" s="1"/>
  <c r="H12" i="39"/>
  <c r="AB12" i="39" s="1"/>
  <c r="F39" i="40"/>
  <c r="AA39" i="40" s="1"/>
  <c r="BA14" i="3"/>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5" i="40"/>
  <c r="AA27" i="40"/>
  <c r="U21" i="40"/>
  <c r="AB19" i="40"/>
  <c r="W42" i="39"/>
  <c r="U37" i="39"/>
  <c r="S37" i="39"/>
  <c r="U35" i="39"/>
  <c r="F32" i="39"/>
  <c r="S32" i="39" s="1"/>
  <c r="F107" i="39"/>
  <c r="G107" i="39" s="1"/>
  <c r="H107" i="39" s="1"/>
  <c r="I107" i="39" s="1"/>
  <c r="J107" i="39" s="1"/>
  <c r="K107" i="39" s="1"/>
  <c r="L107" i="39" s="1"/>
  <c r="M107" i="39" s="1"/>
  <c r="AB27" i="39"/>
  <c r="U31" i="39"/>
  <c r="S25" i="39"/>
  <c r="J21" i="39"/>
  <c r="AC21" i="39" s="1"/>
  <c r="F21" i="39"/>
  <c r="S21" i="39" s="1"/>
  <c r="H21" i="39"/>
  <c r="U21" i="39" s="1"/>
  <c r="W19" i="39"/>
  <c r="U19" i="39"/>
  <c r="S17" i="39"/>
  <c r="AC15" i="39"/>
  <c r="AB15" i="39"/>
  <c r="AA12" i="39"/>
  <c r="S9" i="39"/>
  <c r="AC13" i="39"/>
  <c r="U13" i="36"/>
  <c r="AB27" i="36"/>
  <c r="U26" i="36"/>
  <c r="S33" i="36"/>
  <c r="AA26" i="36"/>
  <c r="S29" i="36"/>
  <c r="AC26" i="36"/>
  <c r="AA22" i="36"/>
  <c r="W14" i="36"/>
  <c r="AB14" i="36"/>
  <c r="U22" i="36"/>
  <c r="S16" i="36"/>
  <c r="AA25" i="36"/>
  <c r="S24" i="36"/>
  <c r="U16" i="36"/>
  <c r="S14" i="36"/>
  <c r="W10" i="36"/>
  <c r="AA25" i="35"/>
  <c r="S23" i="35"/>
  <c r="AB13" i="35"/>
  <c r="U29" i="35"/>
  <c r="U28" i="35"/>
  <c r="AB27" i="35"/>
  <c r="U36" i="35"/>
  <c r="U32" i="35"/>
  <c r="AC30" i="35"/>
  <c r="S32" i="35"/>
  <c r="AA36" i="35"/>
  <c r="W32" i="35"/>
  <c r="S28" i="35"/>
  <c r="AB16" i="35"/>
  <c r="U22" i="35"/>
  <c r="AC20" i="35"/>
  <c r="S22" i="35"/>
  <c r="U14" i="35"/>
  <c r="AC10" i="35"/>
  <c r="AA10" i="35"/>
  <c r="AB10" i="35"/>
  <c r="S8" i="35"/>
  <c r="AC9" i="35"/>
  <c r="W9" i="35"/>
  <c r="AC12" i="35"/>
  <c r="W13" i="35"/>
  <c r="F9" i="35"/>
  <c r="AA9" i="35" s="1"/>
  <c r="H9" i="35"/>
  <c r="U9" i="35" s="1"/>
  <c r="F26" i="35"/>
  <c r="AA26" i="35" s="1"/>
  <c r="J26" i="35"/>
  <c r="W26" i="35" s="1"/>
  <c r="H26" i="35"/>
  <c r="AB26" i="35" s="1"/>
  <c r="AB40" i="37"/>
  <c r="S25" i="37"/>
  <c r="W27" i="37"/>
  <c r="AC29" i="37"/>
  <c r="U29" i="37"/>
  <c r="W30" i="37"/>
  <c r="S36" i="37"/>
  <c r="AA38" i="37"/>
  <c r="AC35" i="37"/>
  <c r="W39" i="37"/>
  <c r="S30" i="37"/>
  <c r="S37" i="37"/>
  <c r="AC15" i="37"/>
  <c r="J17" i="37"/>
  <c r="W17" i="37" s="1"/>
  <c r="F17" i="37"/>
  <c r="AA17" i="37" s="1"/>
  <c r="F75" i="37"/>
  <c r="G75" i="37" s="1"/>
  <c r="F19" i="37"/>
  <c r="S19" i="37" s="1"/>
  <c r="F79" i="37"/>
  <c r="F23" i="37"/>
  <c r="S23" i="37" s="1"/>
  <c r="U23" i="37"/>
  <c r="U15" i="37"/>
  <c r="AC13" i="37"/>
  <c r="U9" i="37"/>
  <c r="AA13" i="37"/>
  <c r="AA12" i="37"/>
  <c r="H10" i="37"/>
  <c r="U10" i="37" s="1"/>
  <c r="H60" i="37"/>
  <c r="F11" i="37"/>
  <c r="S11" i="37" s="1"/>
  <c r="S27" i="34"/>
  <c r="W25" i="34"/>
  <c r="AB8" i="34"/>
  <c r="U44" i="34"/>
  <c r="U43" i="34"/>
  <c r="AC39" i="34"/>
  <c r="W41" i="34"/>
  <c r="AC42" i="34"/>
  <c r="AB35" i="34"/>
  <c r="U39" i="34"/>
  <c r="AB41" i="34"/>
  <c r="AA45" i="34"/>
  <c r="W34" i="34"/>
  <c r="AA25" i="34"/>
  <c r="U28" i="34"/>
  <c r="AA29" i="34"/>
  <c r="U27" i="34"/>
  <c r="S23" i="34"/>
  <c r="U15" i="34"/>
  <c r="S10" i="34"/>
  <c r="S13" i="34"/>
  <c r="H67" i="34"/>
  <c r="I67" i="34" s="1"/>
  <c r="H10" i="34"/>
  <c r="F11" i="34"/>
  <c r="S11" i="34" s="1"/>
  <c r="F70" i="34"/>
  <c r="W42" i="33"/>
  <c r="S27" i="33"/>
  <c r="S32" i="33"/>
  <c r="AA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J35" i="33"/>
  <c r="AC35" i="33" s="1"/>
  <c r="S37" i="33"/>
  <c r="AA37" i="33"/>
  <c r="S39" i="33"/>
  <c r="J32" i="33"/>
  <c r="S46" i="33"/>
  <c r="W43" i="33"/>
  <c r="S43" i="33"/>
  <c r="F91" i="33"/>
  <c r="H27" i="33"/>
  <c r="AB27" i="33" s="1"/>
  <c r="H25" i="33"/>
  <c r="U25" i="33" s="1"/>
  <c r="F25" i="33"/>
  <c r="S25" i="33" s="1"/>
  <c r="J23" i="33"/>
  <c r="W23" i="33" s="1"/>
  <c r="H23" i="33"/>
  <c r="U23" i="33" s="1"/>
  <c r="F19" i="33"/>
  <c r="S19" i="33" s="1"/>
  <c r="W19" i="33"/>
  <c r="J17" i="33"/>
  <c r="S15" i="33"/>
  <c r="W15" i="33"/>
  <c r="I66" i="33"/>
  <c r="J10" i="33"/>
  <c r="W10" i="33" s="1"/>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C6" i="43" s="1"/>
  <c r="N8" i="43"/>
  <c r="F48" i="43" s="1"/>
  <c r="N9" i="43"/>
  <c r="C18" i="9"/>
  <c r="D18" i="9" s="1"/>
  <c r="F34" i="67"/>
  <c r="F62" i="67" s="1"/>
  <c r="M20" i="67"/>
  <c r="F34" i="15"/>
  <c r="F62" i="15" s="1"/>
  <c r="G13" i="3"/>
  <c r="I17" i="78" s="1"/>
  <c r="I20" i="78" s="1"/>
  <c r="BA13" i="3"/>
  <c r="BL17" i="3"/>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81" i="43"/>
  <c r="B79" i="43" s="1"/>
  <c r="E70" i="43"/>
  <c r="B68" i="43" s="1"/>
  <c r="F100" i="43"/>
  <c r="H17" i="43"/>
  <c r="B24" i="72"/>
  <c r="H85" i="43"/>
  <c r="H81" i="43"/>
  <c r="H84" i="43"/>
  <c r="H88" i="43"/>
  <c r="H70"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C7" i="21"/>
  <c r="C58" i="21" s="1"/>
  <c r="D58" i="21" s="1"/>
  <c r="E58" i="21" s="1"/>
  <c r="F58" i="21" s="1"/>
  <c r="G58" i="21" s="1"/>
  <c r="H58" i="21" s="1"/>
  <c r="C7" i="40"/>
  <c r="C63" i="40" s="1"/>
  <c r="D63" i="40" s="1"/>
  <c r="D65" i="40" s="1"/>
  <c r="M47" i="9"/>
  <c r="G19" i="43"/>
  <c r="O19" i="43" s="1"/>
  <c r="C52" i="37"/>
  <c r="D52" i="37" s="1"/>
  <c r="E52" i="37" s="1"/>
  <c r="F52" i="37" s="1"/>
  <c r="G52" i="37" s="1"/>
  <c r="A4" i="51"/>
  <c r="B6" i="72" s="1"/>
  <c r="C48" i="35"/>
  <c r="D48" i="35" s="1"/>
  <c r="C4" i="12"/>
  <c r="H62" i="43"/>
  <c r="H61" i="43"/>
  <c r="H60" i="43"/>
  <c r="H59" i="43"/>
  <c r="H67" i="43"/>
  <c r="L20" i="6"/>
  <c r="B6" i="1"/>
  <c r="E6" i="1" s="1"/>
  <c r="K11" i="1"/>
  <c r="M11" i="1" s="1"/>
  <c r="AP6" i="1"/>
  <c r="B9" i="1"/>
  <c r="E9" i="1" s="1"/>
  <c r="K7" i="1"/>
  <c r="G1" i="15"/>
  <c r="G1" i="69"/>
  <c r="G1" i="67"/>
  <c r="W23" i="40"/>
  <c r="U32" i="40"/>
  <c r="AB31" i="40"/>
  <c r="S37" i="40"/>
  <c r="AB28" i="40"/>
  <c r="W28" i="40"/>
  <c r="W34" i="40"/>
  <c r="W19" i="40"/>
  <c r="S36" i="40"/>
  <c r="W37" i="40"/>
  <c r="AC14" i="40"/>
  <c r="S13" i="40"/>
  <c r="AA15" i="40"/>
  <c r="U11" i="40"/>
  <c r="S31" i="40"/>
  <c r="U15" i="40"/>
  <c r="AB17" i="40"/>
  <c r="U8" i="40"/>
  <c r="S8" i="40"/>
  <c r="AA39" i="39"/>
  <c r="AC41" i="39"/>
  <c r="U42" i="39"/>
  <c r="AB23" i="39"/>
  <c r="U41" i="39"/>
  <c r="W25" i="39"/>
  <c r="AC25" i="39"/>
  <c r="U13" i="39"/>
  <c r="AB13" i="39"/>
  <c r="S13" i="39"/>
  <c r="S14" i="39"/>
  <c r="AA14" i="39"/>
  <c r="U43" i="39"/>
  <c r="AB43" i="39"/>
  <c r="AA27" i="39"/>
  <c r="S27" i="39"/>
  <c r="W17" i="39"/>
  <c r="AC17" i="39"/>
  <c r="W31" i="39"/>
  <c r="AC31" i="39"/>
  <c r="AB39" i="39"/>
  <c r="W34" i="39"/>
  <c r="U38" i="39"/>
  <c r="S8" i="39"/>
  <c r="S20" i="36"/>
  <c r="AC25" i="36"/>
  <c r="S28" i="36"/>
  <c r="U32" i="36"/>
  <c r="W29" i="36"/>
  <c r="U25" i="36"/>
  <c r="AB28" i="36"/>
  <c r="AA13" i="36"/>
  <c r="W22" i="36"/>
  <c r="AC25" i="35"/>
  <c r="S24" i="35"/>
  <c r="W33" i="35"/>
  <c r="AA30" i="35"/>
  <c r="U24" i="35"/>
  <c r="S35" i="35"/>
  <c r="W35" i="35"/>
  <c r="AA16" i="35"/>
  <c r="AA35" i="37"/>
  <c r="W36" i="37"/>
  <c r="S28" i="37"/>
  <c r="W32" i="37"/>
  <c r="U36" i="37"/>
  <c r="S40" i="37"/>
  <c r="U38" i="37"/>
  <c r="AB37" i="37"/>
  <c r="S33" i="37"/>
  <c r="AC34" i="37"/>
  <c r="AB35" i="37"/>
  <c r="AA31" i="37"/>
  <c r="AA29" i="37"/>
  <c r="AA8" i="37"/>
  <c r="U8"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AB33" i="21" s="1"/>
  <c r="F37" i="21"/>
  <c r="AA37" i="21" s="1"/>
  <c r="AA26" i="21"/>
  <c r="AB14" i="21"/>
  <c r="AB46" i="21"/>
  <c r="U40"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E4" i="4"/>
  <c r="B5" i="62" s="1"/>
  <c r="B73" i="72" s="1"/>
  <c r="C4" i="4"/>
  <c r="S39" i="40"/>
  <c r="S12" i="33"/>
  <c r="J32" i="39"/>
  <c r="W32" i="39" s="1"/>
  <c r="H32" i="39"/>
  <c r="U32" i="39" s="1"/>
  <c r="AA32" i="39"/>
  <c r="AA21" i="39"/>
  <c r="W21" i="39"/>
  <c r="S26" i="35"/>
  <c r="AB9" i="35"/>
  <c r="S9" i="35"/>
  <c r="AC26" i="35"/>
  <c r="U26" i="35"/>
  <c r="J19" i="37"/>
  <c r="AC19" i="37" s="1"/>
  <c r="AA19" i="37"/>
  <c r="J23" i="37"/>
  <c r="AC23" i="37" s="1"/>
  <c r="G79" i="37"/>
  <c r="J10" i="37"/>
  <c r="AC10" i="37" s="1"/>
  <c r="I60" i="37"/>
  <c r="H11" i="37"/>
  <c r="AB10" i="37"/>
  <c r="G70" i="34"/>
  <c r="H11" i="34"/>
  <c r="AB11" i="34" s="1"/>
  <c r="AB10" i="34"/>
  <c r="U10" i="34"/>
  <c r="J10" i="34"/>
  <c r="W10" i="34" s="1"/>
  <c r="AB41" i="33"/>
  <c r="U41" i="33"/>
  <c r="W35" i="33"/>
  <c r="J36" i="33"/>
  <c r="AC36" i="33" s="1"/>
  <c r="H36" i="33"/>
  <c r="AB36" i="33" s="1"/>
  <c r="S36" i="33"/>
  <c r="AC32" i="33"/>
  <c r="W32" i="33"/>
  <c r="G91" i="33"/>
  <c r="H91" i="33" s="1"/>
  <c r="I91" i="33" s="1"/>
  <c r="J91" i="33" s="1"/>
  <c r="K91" i="33" s="1"/>
  <c r="L91" i="33" s="1"/>
  <c r="M91" i="33" s="1"/>
  <c r="J27" i="33"/>
  <c r="W27" i="33" s="1"/>
  <c r="AB25" i="33"/>
  <c r="AA25" i="33"/>
  <c r="J25" i="33"/>
  <c r="W25" i="33" s="1"/>
  <c r="AB23" i="33"/>
  <c r="F23" i="33"/>
  <c r="AA23" i="33" s="1"/>
  <c r="AC23" i="33"/>
  <c r="AA19" i="33"/>
  <c r="H19" i="33"/>
  <c r="U19" i="33" s="1"/>
  <c r="H17" i="33"/>
  <c r="U17" i="33" s="1"/>
  <c r="F17" i="33"/>
  <c r="S17" i="33" s="1"/>
  <c r="W17" i="33"/>
  <c r="AC17" i="33"/>
  <c r="U10" i="33"/>
  <c r="AC10" i="33"/>
  <c r="AC37" i="21"/>
  <c r="S37" i="21"/>
  <c r="AB15" i="21"/>
  <c r="J23" i="21"/>
  <c r="W23" i="21" s="1"/>
  <c r="F85" i="21"/>
  <c r="G85" i="21" s="1"/>
  <c r="H23" i="21"/>
  <c r="U23" i="21" s="1"/>
  <c r="C65" i="40"/>
  <c r="AP7" i="1"/>
  <c r="AB45" i="21"/>
  <c r="AA33" i="21"/>
  <c r="W32" i="21"/>
  <c r="AC32" i="21"/>
  <c r="AB9" i="21"/>
  <c r="U9" i="21"/>
  <c r="U32" i="21"/>
  <c r="AA10" i="21"/>
  <c r="S10" i="21"/>
  <c r="AB32" i="39"/>
  <c r="W19" i="37"/>
  <c r="AB11" i="37"/>
  <c r="U11" i="37"/>
  <c r="J11" i="37"/>
  <c r="W11" i="37" s="1"/>
  <c r="W10" i="37"/>
  <c r="U11" i="34"/>
  <c r="AC10" i="34"/>
  <c r="H70" i="34"/>
  <c r="I70" i="34" s="1"/>
  <c r="J70" i="34" s="1"/>
  <c r="K70" i="34" s="1"/>
  <c r="L70" i="34" s="1"/>
  <c r="M70" i="34" s="1"/>
  <c r="J11" i="34"/>
  <c r="W11" i="34" s="1"/>
  <c r="U36" i="33"/>
  <c r="AC27" i="33"/>
  <c r="AC25" i="33"/>
  <c r="AB19" i="33"/>
  <c r="AA17" i="33"/>
  <c r="AB17" i="33"/>
  <c r="AC23" i="21"/>
  <c r="E63" i="40"/>
  <c r="F63" i="40" s="1"/>
  <c r="F1" i="67"/>
  <c r="Q52" i="67"/>
  <c r="AC11" i="37"/>
  <c r="AC11" i="34"/>
  <c r="F34" i="11"/>
  <c r="F11" i="12"/>
  <c r="F34" i="68"/>
  <c r="AG6" i="1"/>
  <c r="H109" i="9"/>
  <c r="D124" i="9" s="1"/>
  <c r="H112" i="9"/>
  <c r="D21" i="53" s="1"/>
  <c r="B39" i="72" s="1"/>
  <c r="H111" i="9"/>
  <c r="D126" i="9" s="1"/>
  <c r="D59" i="9"/>
  <c r="M55" i="9" s="1"/>
  <c r="AD3" i="71"/>
  <c r="E2" i="68"/>
  <c r="D2" i="37"/>
  <c r="M9" i="67"/>
  <c r="F16" i="15"/>
  <c r="M6" i="67"/>
  <c r="F4" i="73"/>
  <c r="E8" i="76"/>
  <c r="D2" i="35"/>
  <c r="F26" i="15"/>
  <c r="B8" i="76"/>
  <c r="AO10" i="1"/>
  <c r="M29" i="67"/>
  <c r="J15" i="67"/>
  <c r="B13" i="76"/>
  <c r="AO11" i="1"/>
  <c r="D2" i="21"/>
  <c r="D2" i="36"/>
  <c r="AO12" i="1"/>
  <c r="M27" i="67"/>
  <c r="F8" i="15"/>
  <c r="E13" i="76"/>
  <c r="M6" i="15"/>
  <c r="AO9" i="1"/>
  <c r="L48" i="67"/>
  <c r="D2" i="33"/>
  <c r="E10" i="76"/>
  <c r="E12" i="76"/>
  <c r="D2" i="34"/>
  <c r="M8" i="67"/>
  <c r="L47" i="15"/>
  <c r="B9" i="76"/>
  <c r="F7" i="73"/>
  <c r="B11" i="76"/>
  <c r="F20" i="31"/>
  <c r="E2" i="69"/>
  <c r="F6" i="73"/>
  <c r="F13" i="15"/>
  <c r="F5" i="73"/>
  <c r="F37" i="67"/>
  <c r="E11" i="76"/>
  <c r="B12" i="76"/>
  <c r="E9" i="76"/>
  <c r="F9" i="67"/>
  <c r="AO13" i="1"/>
  <c r="F38" i="15"/>
  <c r="F36" i="15"/>
  <c r="F43" i="67"/>
  <c r="F3" i="73"/>
  <c r="F40" i="67"/>
  <c r="M9" i="15"/>
  <c r="B10" i="76"/>
  <c r="AC26" i="37" l="1"/>
  <c r="W26" i="37"/>
  <c r="U25" i="37"/>
  <c r="AB25" i="37"/>
  <c r="W45" i="21"/>
  <c r="AC45" i="21"/>
  <c r="W33" i="40"/>
  <c r="AC33" i="40"/>
  <c r="E65" i="40"/>
  <c r="AB23" i="21"/>
  <c r="S23" i="33"/>
  <c r="S32" i="21"/>
  <c r="U33" i="21"/>
  <c r="S32" i="37"/>
  <c r="AA19" i="40"/>
  <c r="AC46" i="21"/>
  <c r="W44" i="21"/>
  <c r="U11" i="33"/>
  <c r="AB13" i="34"/>
  <c r="W14" i="37"/>
  <c r="AZ507" i="3"/>
  <c r="AZ543" i="3"/>
  <c r="AZ559" i="3"/>
  <c r="AZ496" i="3"/>
  <c r="AZ504" i="3"/>
  <c r="AZ516" i="3"/>
  <c r="AZ524" i="3"/>
  <c r="AZ528" i="3"/>
  <c r="W29" i="33"/>
  <c r="S45" i="33"/>
  <c r="W11" i="35"/>
  <c r="AC13" i="36"/>
  <c r="U31" i="34"/>
  <c r="U35" i="33"/>
  <c r="S34" i="34"/>
  <c r="BL587" i="3"/>
  <c r="AZ587" i="3" s="1"/>
  <c r="H9" i="33"/>
  <c r="F9" i="34"/>
  <c r="J25" i="37"/>
  <c r="AC25" i="37" s="1"/>
  <c r="F26" i="37"/>
  <c r="G582" i="3"/>
  <c r="G574" i="3"/>
  <c r="G570" i="3"/>
  <c r="G400" i="3"/>
  <c r="BL401" i="3"/>
  <c r="BA403" i="3"/>
  <c r="AZ403" i="3" s="1"/>
  <c r="BL403" i="3"/>
  <c r="G404" i="3"/>
  <c r="BL405" i="3"/>
  <c r="BL407" i="3"/>
  <c r="BA409" i="3"/>
  <c r="G410" i="3"/>
  <c r="BA411" i="3"/>
  <c r="BL411" i="3"/>
  <c r="BL413" i="3"/>
  <c r="G414" i="3"/>
  <c r="BL415" i="3"/>
  <c r="G418" i="3"/>
  <c r="G422" i="3"/>
  <c r="G424" i="3"/>
  <c r="BA425" i="3"/>
  <c r="G426" i="3"/>
  <c r="BA427" i="3"/>
  <c r="BL427" i="3"/>
  <c r="BL429" i="3"/>
  <c r="G430" i="3"/>
  <c r="BL431" i="3"/>
  <c r="G434" i="3"/>
  <c r="G450" i="3"/>
  <c r="G454" i="3"/>
  <c r="G456" i="3"/>
  <c r="BL457" i="3"/>
  <c r="BA459" i="3"/>
  <c r="BL459" i="3"/>
  <c r="G460" i="3"/>
  <c r="BL461" i="3"/>
  <c r="BL463" i="3"/>
  <c r="G466" i="3"/>
  <c r="BA467" i="3"/>
  <c r="G468" i="3"/>
  <c r="G470" i="3"/>
  <c r="BA471" i="3"/>
  <c r="BL471" i="3"/>
  <c r="J10" i="39"/>
  <c r="F10" i="39"/>
  <c r="H10" i="39"/>
  <c r="AZ509" i="3"/>
  <c r="BA472" i="3"/>
  <c r="AZ472" i="3" s="1"/>
  <c r="BA473" i="3"/>
  <c r="AZ473" i="3" s="1"/>
  <c r="BL475" i="3"/>
  <c r="G476" i="3"/>
  <c r="BA477" i="3"/>
  <c r="BL477" i="3"/>
  <c r="G478" i="3"/>
  <c r="BL479" i="3"/>
  <c r="BL481" i="3"/>
  <c r="G311" i="3"/>
  <c r="G313" i="3"/>
  <c r="BL314" i="3"/>
  <c r="AZ314" i="3" s="1"/>
  <c r="BA316" i="3"/>
  <c r="AZ316" i="3" s="1"/>
  <c r="G327" i="3"/>
  <c r="BL328" i="3"/>
  <c r="AZ328" i="3" s="1"/>
  <c r="BA331" i="3"/>
  <c r="AZ331" i="3" s="1"/>
  <c r="BA333" i="3"/>
  <c r="AZ333" i="3" s="1"/>
  <c r="BL333" i="3"/>
  <c r="G339" i="3"/>
  <c r="BL340" i="3"/>
  <c r="AZ340" i="3" s="1"/>
  <c r="G366" i="3"/>
  <c r="BA367" i="3"/>
  <c r="G380" i="3"/>
  <c r="G382" i="3"/>
  <c r="BL383" i="3"/>
  <c r="AZ383" i="3" s="1"/>
  <c r="BA385" i="3"/>
  <c r="AZ385" i="3" s="1"/>
  <c r="BA395" i="3"/>
  <c r="AZ395" i="3" s="1"/>
  <c r="BL395" i="3"/>
  <c r="BL397" i="3"/>
  <c r="G208" i="3"/>
  <c r="BA209" i="3"/>
  <c r="G210" i="3"/>
  <c r="BA211" i="3"/>
  <c r="BL211" i="3"/>
  <c r="BA212" i="3"/>
  <c r="AZ212" i="3" s="1"/>
  <c r="BA213" i="3"/>
  <c r="AZ213" i="3" s="1"/>
  <c r="BA214" i="3"/>
  <c r="AZ214" i="3" s="1"/>
  <c r="BL214" i="3"/>
  <c r="BL216" i="3"/>
  <c r="G217" i="3"/>
  <c r="BA218" i="3"/>
  <c r="G219" i="3"/>
  <c r="BA220" i="3"/>
  <c r="G221" i="3"/>
  <c r="BL222" i="3"/>
  <c r="BL224" i="3"/>
  <c r="BL226" i="3"/>
  <c r="BA228" i="3"/>
  <c r="G229" i="3"/>
  <c r="BL230" i="3"/>
  <c r="G233" i="3"/>
  <c r="G235" i="3"/>
  <c r="G256" i="3"/>
  <c r="G258" i="3"/>
  <c r="BL259" i="3"/>
  <c r="G260" i="3"/>
  <c r="BA261" i="3"/>
  <c r="G262" i="3"/>
  <c r="BL263" i="3"/>
  <c r="G264" i="3"/>
  <c r="BA265" i="3"/>
  <c r="G266" i="3"/>
  <c r="BL267" i="3"/>
  <c r="BL269" i="3"/>
  <c r="G272" i="3"/>
  <c r="BL273" i="3"/>
  <c r="G274" i="3"/>
  <c r="BA275" i="3"/>
  <c r="G276" i="3"/>
  <c r="BA277" i="3"/>
  <c r="BL277" i="3"/>
  <c r="BA278" i="3"/>
  <c r="AZ278" i="3" s="1"/>
  <c r="BA279" i="3"/>
  <c r="AZ279" i="3" s="1"/>
  <c r="BA280" i="3"/>
  <c r="AZ280" i="3" s="1"/>
  <c r="BA281" i="3"/>
  <c r="AZ281" i="3" s="1"/>
  <c r="BA283" i="3"/>
  <c r="AZ283" i="3" s="1"/>
  <c r="BL283" i="3"/>
  <c r="BA284" i="3"/>
  <c r="AZ284" i="3" s="1"/>
  <c r="BA286" i="3"/>
  <c r="BL286" i="3"/>
  <c r="BA288" i="3"/>
  <c r="BL288" i="3"/>
  <c r="BA289" i="3"/>
  <c r="AZ289" i="3" s="1"/>
  <c r="BA291" i="3"/>
  <c r="BL291" i="3"/>
  <c r="BA292" i="3"/>
  <c r="AZ292" i="3" s="1"/>
  <c r="BL294" i="3"/>
  <c r="G295" i="3"/>
  <c r="BL296" i="3"/>
  <c r="G297" i="3"/>
  <c r="BA298" i="3"/>
  <c r="BL298" i="3"/>
  <c r="BL300" i="3"/>
  <c r="G301" i="3"/>
  <c r="BL302" i="3"/>
  <c r="BL114" i="3"/>
  <c r="BA116" i="3"/>
  <c r="AZ116" i="3" s="1"/>
  <c r="G123" i="3"/>
  <c r="G150" i="3"/>
  <c r="BA153" i="3"/>
  <c r="G154" i="3"/>
  <c r="BL155" i="3"/>
  <c r="AZ155" i="3" s="1"/>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BA182" i="3"/>
  <c r="G183" i="3"/>
  <c r="G187" i="3"/>
  <c r="BA197" i="3"/>
  <c r="AZ197" i="3" s="1"/>
  <c r="BL197" i="3"/>
  <c r="BL199" i="3"/>
  <c r="AZ199" i="3" s="1"/>
  <c r="G200" i="3"/>
  <c r="BA202" i="3"/>
  <c r="AZ202" i="3" s="1"/>
  <c r="BL202" i="3"/>
  <c r="BA204" i="3"/>
  <c r="AZ204" i="3" s="1"/>
  <c r="BA205" i="3"/>
  <c r="AZ205" i="3" s="1"/>
  <c r="BA206" i="3"/>
  <c r="AZ206" i="3" s="1"/>
  <c r="BL18" i="3"/>
  <c r="G19" i="3"/>
  <c r="BL20" i="3"/>
  <c r="G21" i="3"/>
  <c r="BA22" i="3"/>
  <c r="BL22" i="3"/>
  <c r="BA23" i="3"/>
  <c r="AZ23" i="3" s="1"/>
  <c r="BA24" i="3"/>
  <c r="AZ24" i="3" s="1"/>
  <c r="BA26" i="3"/>
  <c r="AZ26" i="3" s="1"/>
  <c r="BL26" i="3"/>
  <c r="BA27" i="3"/>
  <c r="AZ27" i="3" s="1"/>
  <c r="BA28" i="3"/>
  <c r="AZ28" i="3" s="1"/>
  <c r="BA29" i="3"/>
  <c r="AZ29" i="3" s="1"/>
  <c r="BA31" i="3"/>
  <c r="BL31" i="3"/>
  <c r="BA33" i="3"/>
  <c r="BL33" i="3"/>
  <c r="BA34" i="3"/>
  <c r="AZ34" i="3" s="1"/>
  <c r="BA35" i="3"/>
  <c r="AZ35" i="3" s="1"/>
  <c r="BA37" i="3"/>
  <c r="AZ37" i="3" s="1"/>
  <c r="BL37" i="3"/>
  <c r="BA38" i="3"/>
  <c r="AZ38" i="3" s="1"/>
  <c r="BA39" i="3"/>
  <c r="AZ39" i="3" s="1"/>
  <c r="BA41" i="3"/>
  <c r="AZ41" i="3" s="1"/>
  <c r="BL41" i="3"/>
  <c r="BA43" i="3"/>
  <c r="AZ43" i="3" s="1"/>
  <c r="BL43" i="3"/>
  <c r="BA44" i="3"/>
  <c r="AZ44" i="3" s="1"/>
  <c r="BA45" i="3"/>
  <c r="AZ45" i="3" s="1"/>
  <c r="BA47" i="3"/>
  <c r="AZ47" i="3" s="1"/>
  <c r="BL47" i="3"/>
  <c r="BA48" i="3"/>
  <c r="AZ48" i="3" s="1"/>
  <c r="BA50" i="3"/>
  <c r="BL50" i="3"/>
  <c r="BL52" i="3"/>
  <c r="W21" i="37"/>
  <c r="AC21" i="37"/>
  <c r="W25" i="40"/>
  <c r="B75" i="43"/>
  <c r="B55" i="43"/>
  <c r="D24" i="67"/>
  <c r="D23" i="67"/>
  <c r="AA21" i="37"/>
  <c r="S21" i="37"/>
  <c r="AC18" i="35"/>
  <c r="W18" i="35"/>
  <c r="S21" i="34"/>
  <c r="O51" i="71"/>
  <c r="O50" i="71"/>
  <c r="D51" i="71"/>
  <c r="P50" i="71"/>
  <c r="P51" i="71"/>
  <c r="E17" i="71"/>
  <c r="U17" i="71" s="1"/>
  <c r="G53" i="3"/>
  <c r="BA54" i="3"/>
  <c r="BL54" i="3"/>
  <c r="BL56" i="3"/>
  <c r="G57" i="3"/>
  <c r="BL58" i="3"/>
  <c r="G59" i="3"/>
  <c r="BA60" i="3"/>
  <c r="BL60" i="3"/>
  <c r="BL62" i="3"/>
  <c r="G63" i="3"/>
  <c r="BA64" i="3"/>
  <c r="AZ64" i="3" s="1"/>
  <c r="BL64" i="3"/>
  <c r="BA65" i="3"/>
  <c r="AZ65" i="3" s="1"/>
  <c r="BA66" i="3"/>
  <c r="AZ66" i="3" s="1"/>
  <c r="BA67" i="3"/>
  <c r="AZ67" i="3" s="1"/>
  <c r="BA69" i="3"/>
  <c r="BL69" i="3"/>
  <c r="BL70" i="3"/>
  <c r="G71" i="3"/>
  <c r="BL72" i="3"/>
  <c r="G73" i="3"/>
  <c r="BA74" i="3"/>
  <c r="G75" i="3"/>
  <c r="G79" i="3"/>
  <c r="G81" i="3"/>
  <c r="BL82" i="3"/>
  <c r="G83" i="3"/>
  <c r="BL84" i="3"/>
  <c r="G85" i="3"/>
  <c r="BL86" i="3"/>
  <c r="G87" i="3"/>
  <c r="BA88" i="3"/>
  <c r="G89" i="3"/>
  <c r="G96" i="3"/>
  <c r="BL97" i="3"/>
  <c r="G98" i="3"/>
  <c r="BL99" i="3"/>
  <c r="I15" i="66"/>
  <c r="U18" i="36"/>
  <c r="S25" i="40"/>
  <c r="D72" i="71"/>
  <c r="D52" i="71"/>
  <c r="AH10" i="43"/>
  <c r="AD10" i="43"/>
  <c r="Z10" i="43"/>
  <c r="AG10" i="43"/>
  <c r="AC10" i="43"/>
  <c r="D19" i="53"/>
  <c r="B38" i="72" s="1"/>
  <c r="D16" i="53"/>
  <c r="B34" i="72" s="1"/>
  <c r="W36" i="33"/>
  <c r="AC32" i="39"/>
  <c r="AC9" i="21"/>
  <c r="W33" i="21"/>
  <c r="AA23" i="21"/>
  <c r="U27" i="33"/>
  <c r="S17" i="37"/>
  <c r="AC15" i="21"/>
  <c r="AB34" i="33"/>
  <c r="U19" i="34"/>
  <c r="AA40" i="34"/>
  <c r="U19" i="37"/>
  <c r="AA11" i="37"/>
  <c r="S27" i="37"/>
  <c r="U25" i="35"/>
  <c r="S23" i="39"/>
  <c r="AB13" i="40"/>
  <c r="S33" i="40"/>
  <c r="H72" i="43"/>
  <c r="H63" i="43"/>
  <c r="H64" i="43"/>
  <c r="H65" i="43"/>
  <c r="AZ17" i="3"/>
  <c r="U42" i="33"/>
  <c r="AB29" i="33"/>
  <c r="AA35" i="33"/>
  <c r="S17" i="34"/>
  <c r="S43" i="34"/>
  <c r="AB17" i="37"/>
  <c r="W38" i="37"/>
  <c r="AB31" i="37"/>
  <c r="AA11" i="35"/>
  <c r="AA33" i="35"/>
  <c r="U10" i="36"/>
  <c r="S27" i="36"/>
  <c r="AC27" i="36"/>
  <c r="U12" i="39"/>
  <c r="U14" i="39"/>
  <c r="S43" i="39"/>
  <c r="S28" i="40"/>
  <c r="AB27" i="40"/>
  <c r="AC17" i="40"/>
  <c r="AA34" i="33"/>
  <c r="AA39" i="34"/>
  <c r="H75" i="43"/>
  <c r="AZ326" i="3"/>
  <c r="AZ318" i="3"/>
  <c r="AZ310" i="3"/>
  <c r="AZ372" i="3"/>
  <c r="AZ313" i="3"/>
  <c r="AZ380" i="3"/>
  <c r="AZ325" i="3"/>
  <c r="U12" i="37"/>
  <c r="AC45" i="33"/>
  <c r="AB37" i="34"/>
  <c r="S41" i="34"/>
  <c r="AA41" i="34"/>
  <c r="AZ508" i="3"/>
  <c r="AB26" i="33"/>
  <c r="AB11" i="35"/>
  <c r="W28" i="34"/>
  <c r="AC28" i="34"/>
  <c r="AC33" i="37"/>
  <c r="W33" i="37"/>
  <c r="S29" i="35"/>
  <c r="AA29" i="35"/>
  <c r="AB33" i="35"/>
  <c r="U33" i="35"/>
  <c r="W11" i="40"/>
  <c r="AC11" i="40"/>
  <c r="S22" i="31"/>
  <c r="R22" i="31" s="1"/>
  <c r="B21" i="31" s="1"/>
  <c r="AZ497" i="3"/>
  <c r="AZ501" i="3"/>
  <c r="AZ511" i="3"/>
  <c r="AZ515" i="3"/>
  <c r="AZ529" i="3"/>
  <c r="AZ545" i="3"/>
  <c r="AZ549" i="3"/>
  <c r="AZ561" i="3"/>
  <c r="AZ565" i="3"/>
  <c r="AZ577" i="3"/>
  <c r="AZ499" i="3"/>
  <c r="AZ563" i="3"/>
  <c r="AZ498" i="3"/>
  <c r="W35" i="39"/>
  <c r="U40" i="33"/>
  <c r="W8" i="34"/>
  <c r="AB8" i="36"/>
  <c r="F34" i="36"/>
  <c r="J34" i="36"/>
  <c r="C27" i="39"/>
  <c r="S34" i="21"/>
  <c r="S40" i="21"/>
  <c r="S27" i="35"/>
  <c r="U34" i="34"/>
  <c r="W9" i="34"/>
  <c r="W36" i="35"/>
  <c r="S30" i="36"/>
  <c r="W31" i="37"/>
  <c r="W25" i="37"/>
  <c r="U9" i="39"/>
  <c r="F35" i="39"/>
  <c r="F45" i="39"/>
  <c r="G587" i="3"/>
  <c r="G585" i="3"/>
  <c r="BL585" i="3"/>
  <c r="AZ585" i="3" s="1"/>
  <c r="B70" i="43"/>
  <c r="B59" i="43"/>
  <c r="B81" i="43"/>
  <c r="B82" i="43"/>
  <c r="B85" i="43"/>
  <c r="B88" i="43"/>
  <c r="F9" i="33"/>
  <c r="H12" i="33"/>
  <c r="AC31" i="35"/>
  <c r="G558" i="3"/>
  <c r="G556" i="3"/>
  <c r="G542" i="3"/>
  <c r="G526" i="3"/>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AZ492" i="3" s="1"/>
  <c r="BL492" i="3"/>
  <c r="G307" i="3"/>
  <c r="BL308" i="3"/>
  <c r="AZ308" i="3" s="1"/>
  <c r="G318" i="3"/>
  <c r="BA319" i="3"/>
  <c r="AZ319" i="3" s="1"/>
  <c r="BA323" i="3"/>
  <c r="AZ323" i="3" s="1"/>
  <c r="G331" i="3"/>
  <c r="BL332" i="3"/>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BL208" i="3"/>
  <c r="BL210" i="3"/>
  <c r="G211" i="3"/>
  <c r="G216" i="3"/>
  <c r="BA217" i="3"/>
  <c r="AZ217" i="3" s="1"/>
  <c r="BL217" i="3"/>
  <c r="BA219" i="3"/>
  <c r="AZ219" i="3" s="1"/>
  <c r="BA221" i="3"/>
  <c r="AZ221" i="3" s="1"/>
  <c r="BA222" i="3"/>
  <c r="AZ222" i="3" s="1"/>
  <c r="BA223" i="3"/>
  <c r="AZ223" i="3" s="1"/>
  <c r="BA224" i="3"/>
  <c r="AZ224" i="3" s="1"/>
  <c r="BA226" i="3"/>
  <c r="AZ226" i="3" s="1"/>
  <c r="BA227" i="3"/>
  <c r="AZ227" i="3" s="1"/>
  <c r="BA229" i="3"/>
  <c r="BL229" i="3"/>
  <c r="BA230" i="3"/>
  <c r="AZ230" i="3" s="1"/>
  <c r="BA232" i="3"/>
  <c r="AZ232" i="3" s="1"/>
  <c r="BL232" i="3"/>
  <c r="BA234" i="3"/>
  <c r="AZ234" i="3" s="1"/>
  <c r="BL234" i="3"/>
  <c r="BL236" i="3"/>
  <c r="G237" i="3"/>
  <c r="BL238" i="3"/>
  <c r="G239" i="3"/>
  <c r="G241" i="3"/>
  <c r="G245" i="3"/>
  <c r="C44" i="71"/>
  <c r="D43" i="71"/>
  <c r="BL246" i="3"/>
  <c r="G247" i="3"/>
  <c r="G249" i="3"/>
  <c r="G251" i="3"/>
  <c r="BL253" i="3"/>
  <c r="G254" i="3"/>
  <c r="BA255" i="3"/>
  <c r="BL255" i="3"/>
  <c r="BA257" i="3"/>
  <c r="AZ257" i="3" s="1"/>
  <c r="BL257" i="3"/>
  <c r="BL258" i="3"/>
  <c r="G259" i="3"/>
  <c r="BA260" i="3"/>
  <c r="BL260" i="3"/>
  <c r="BL262" i="3"/>
  <c r="G263" i="3"/>
  <c r="BA264" i="3"/>
  <c r="AZ264" i="3" s="1"/>
  <c r="BL264" i="3"/>
  <c r="BA266" i="3"/>
  <c r="AZ266" i="3" s="1"/>
  <c r="BL266" i="3"/>
  <c r="BA267" i="3"/>
  <c r="AZ267" i="3" s="1"/>
  <c r="BA268" i="3"/>
  <c r="AZ268" i="3" s="1"/>
  <c r="BA269" i="3"/>
  <c r="AZ269" i="3" s="1"/>
  <c r="BA271" i="3"/>
  <c r="BL271"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G58" i="3"/>
  <c r="BL59" i="3"/>
  <c r="G60" i="3"/>
  <c r="G62" i="3"/>
  <c r="BL63" i="3"/>
  <c r="G64" i="3"/>
  <c r="G69" i="3"/>
  <c r="BL71" i="3"/>
  <c r="G72" i="3"/>
  <c r="BA73" i="3"/>
  <c r="BL73" i="3"/>
  <c r="BA75" i="3"/>
  <c r="AZ75" i="3" s="1"/>
  <c r="BL75" i="3"/>
  <c r="C32" i="71"/>
  <c r="D32" i="71" s="1"/>
  <c r="D31" i="71"/>
  <c r="BL76" i="3"/>
  <c r="G77" i="3"/>
  <c r="BA78" i="3"/>
  <c r="BL78" i="3"/>
  <c r="BA80" i="3"/>
  <c r="AZ80" i="3" s="1"/>
  <c r="BL80" i="3"/>
  <c r="BL81" i="3"/>
  <c r="G82" i="3"/>
  <c r="BL83" i="3"/>
  <c r="G84" i="3"/>
  <c r="BL85" i="3"/>
  <c r="G86" i="3"/>
  <c r="BA87" i="3"/>
  <c r="BL87" i="3"/>
  <c r="BA89" i="3"/>
  <c r="AZ89" i="3" s="1"/>
  <c r="BL89" i="3"/>
  <c r="BL90" i="3"/>
  <c r="G91" i="3"/>
  <c r="BL93" i="3"/>
  <c r="G94" i="3"/>
  <c r="BA95" i="3"/>
  <c r="BL95" i="3"/>
  <c r="BL96" i="3"/>
  <c r="G97" i="3"/>
  <c r="BA98" i="3"/>
  <c r="AZ98" i="3" s="1"/>
  <c r="BL98" i="3"/>
  <c r="BA99" i="3"/>
  <c r="AZ99" i="3" s="1"/>
  <c r="BA101" i="3"/>
  <c r="G102" i="3"/>
  <c r="G105" i="3"/>
  <c r="BL107" i="3"/>
  <c r="G108" i="3"/>
  <c r="G110" i="3"/>
  <c r="G112" i="3"/>
  <c r="J51" i="15"/>
  <c r="K100" i="43"/>
  <c r="C29" i="39"/>
  <c r="B66" i="43"/>
  <c r="B86" i="43"/>
  <c r="V13" i="71"/>
  <c r="C15" i="71"/>
  <c r="Y17" i="71"/>
  <c r="Z17" i="71" s="1"/>
  <c r="AB17" i="71"/>
  <c r="Y21" i="71"/>
  <c r="Z21" i="71" s="1"/>
  <c r="AB21" i="71"/>
  <c r="B28" i="71"/>
  <c r="B29" i="71" s="1"/>
  <c r="S29" i="71" s="1"/>
  <c r="P61" i="15"/>
  <c r="V9" i="71"/>
  <c r="AA41" i="39"/>
  <c r="AC29" i="39"/>
  <c r="S29" i="39"/>
  <c r="W27" i="39"/>
  <c r="W23" i="39"/>
  <c r="AB21" i="39"/>
  <c r="U17" i="39"/>
  <c r="U9" i="34"/>
  <c r="AB9" i="34"/>
  <c r="AC24" i="35"/>
  <c r="W24" i="35"/>
  <c r="AC34" i="35"/>
  <c r="W34" i="35"/>
  <c r="S32" i="36"/>
  <c r="AA32" i="36"/>
  <c r="W9" i="36"/>
  <c r="AC9" i="36"/>
  <c r="U44" i="39"/>
  <c r="AB44" i="39"/>
  <c r="W40" i="40"/>
  <c r="AC40" i="40"/>
  <c r="AB31" i="21"/>
  <c r="U31" i="21"/>
  <c r="W23" i="36"/>
  <c r="AC23" i="36"/>
  <c r="AB34" i="36"/>
  <c r="U34" i="36"/>
  <c r="AB33" i="36"/>
  <c r="U33" i="36"/>
  <c r="W43" i="39"/>
  <c r="AC43" i="39"/>
  <c r="AB45" i="39"/>
  <c r="U45" i="39"/>
  <c r="W37" i="39"/>
  <c r="AC37" i="39"/>
  <c r="AC31" i="40"/>
  <c r="W31" i="40"/>
  <c r="C94" i="9"/>
  <c r="C92" i="9"/>
  <c r="F53" i="9"/>
  <c r="M18" i="81"/>
  <c r="F32" i="81"/>
  <c r="F60" i="81" s="1"/>
  <c r="F28" i="81"/>
  <c r="C28" i="81" s="1"/>
  <c r="F32" i="80"/>
  <c r="F60" i="80" s="1"/>
  <c r="F28" i="80"/>
  <c r="C28" i="80" s="1"/>
  <c r="M18" i="80"/>
  <c r="AZ495" i="3"/>
  <c r="AZ513" i="3"/>
  <c r="AZ517" i="3"/>
  <c r="AZ567" i="3"/>
  <c r="AZ571" i="3"/>
  <c r="AZ575" i="3"/>
  <c r="AZ579" i="3"/>
  <c r="BA550" i="3"/>
  <c r="BL16" i="3"/>
  <c r="AZ16" i="3" s="1"/>
  <c r="BR5" i="3"/>
  <c r="BQ5" i="3"/>
  <c r="F28" i="6" s="1"/>
  <c r="AZ418" i="3"/>
  <c r="AZ422" i="3"/>
  <c r="AZ434" i="3"/>
  <c r="AZ450" i="3"/>
  <c r="AZ454" i="3"/>
  <c r="AZ459" i="3"/>
  <c r="AZ477" i="3"/>
  <c r="W23" i="37"/>
  <c r="H110" i="9"/>
  <c r="D18" i="53" s="1"/>
  <c r="B35" i="72" s="1"/>
  <c r="S13" i="21"/>
  <c r="AA23" i="37"/>
  <c r="AC17" i="37"/>
  <c r="W30" i="40"/>
  <c r="AB20" i="35"/>
  <c r="AC20" i="36"/>
  <c r="W27" i="40"/>
  <c r="H77" i="43"/>
  <c r="H76" i="43"/>
  <c r="D120" i="9"/>
  <c r="AA33" i="34"/>
  <c r="AA9" i="37"/>
  <c r="U32" i="37"/>
  <c r="AC9" i="37"/>
  <c r="S20" i="35"/>
  <c r="AB20" i="36"/>
  <c r="S15" i="39"/>
  <c r="U25" i="39"/>
  <c r="W39" i="39"/>
  <c r="S30" i="40"/>
  <c r="M6" i="1"/>
  <c r="O6" i="1" s="1"/>
  <c r="P6" i="1" s="1"/>
  <c r="AA12" i="40"/>
  <c r="W37" i="37"/>
  <c r="AZ334" i="3"/>
  <c r="AZ351" i="3"/>
  <c r="AZ329" i="3"/>
  <c r="AZ378" i="3"/>
  <c r="AZ327" i="3"/>
  <c r="W14" i="39"/>
  <c r="AC13" i="40"/>
  <c r="AC12" i="37"/>
  <c r="W40" i="37"/>
  <c r="AC31" i="33"/>
  <c r="AC36" i="34"/>
  <c r="AC32" i="36"/>
  <c r="AZ503" i="3"/>
  <c r="AZ523" i="3"/>
  <c r="AZ531" i="3"/>
  <c r="AZ539" i="3"/>
  <c r="AZ547" i="3"/>
  <c r="AZ553" i="3"/>
  <c r="AZ583" i="3"/>
  <c r="AZ581" i="3"/>
  <c r="AZ526" i="3"/>
  <c r="AZ566" i="3"/>
  <c r="AZ574" i="3"/>
  <c r="AZ582" i="3"/>
  <c r="AZ584" i="3"/>
  <c r="S44" i="34"/>
  <c r="U13" i="33"/>
  <c r="AB45" i="33"/>
  <c r="AA14" i="34"/>
  <c r="AB46" i="34"/>
  <c r="W11" i="36"/>
  <c r="AA14" i="37"/>
  <c r="AB11" i="36"/>
  <c r="AA14" i="33"/>
  <c r="G586" i="3"/>
  <c r="BL586" i="3"/>
  <c r="AZ586" i="3" s="1"/>
  <c r="B71" i="82"/>
  <c r="B60" i="82"/>
  <c r="B49" i="82"/>
  <c r="B67" i="82"/>
  <c r="B77" i="82"/>
  <c r="B56" i="82"/>
  <c r="B65" i="82"/>
  <c r="B74" i="82"/>
  <c r="B54" i="82"/>
  <c r="B73" i="82"/>
  <c r="B63" i="82"/>
  <c r="B52" i="82"/>
  <c r="F34" i="35"/>
  <c r="F9" i="36"/>
  <c r="H9" i="36"/>
  <c r="F23" i="36"/>
  <c r="H23" i="36"/>
  <c r="F40" i="40"/>
  <c r="H40" i="40"/>
  <c r="G578" i="3"/>
  <c r="G562" i="3"/>
  <c r="BL548" i="3"/>
  <c r="M20" i="15"/>
  <c r="F34" i="81"/>
  <c r="F62" i="81" s="1"/>
  <c r="M20" i="81"/>
  <c r="F34" i="80"/>
  <c r="F62" i="80" s="1"/>
  <c r="M20" i="80"/>
  <c r="G41" i="82"/>
  <c r="G41" i="43"/>
  <c r="A15" i="62"/>
  <c r="B61" i="72" s="1"/>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AZ467" i="3" s="1"/>
  <c r="BA468" i="3"/>
  <c r="AZ468" i="3" s="1"/>
  <c r="BA469" i="3"/>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BL215" i="3"/>
  <c r="AZ215" i="3" s="1"/>
  <c r="BA216" i="3"/>
  <c r="AZ216" i="3" s="1"/>
  <c r="BL218" i="3"/>
  <c r="AZ218" i="3" s="1"/>
  <c r="G220" i="3"/>
  <c r="BL220" i="3"/>
  <c r="G222" i="3"/>
  <c r="G223" i="3"/>
  <c r="G224" i="3"/>
  <c r="G225" i="3"/>
  <c r="BL225" i="3"/>
  <c r="AZ225"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G13" i="1"/>
  <c r="BL51" i="3"/>
  <c r="AZ51" i="3" s="1"/>
  <c r="BA52" i="3"/>
  <c r="AZ52" i="3" s="1"/>
  <c r="BA53" i="3"/>
  <c r="AZ53" i="3" s="1"/>
  <c r="BL55" i="3"/>
  <c r="AZ55" i="3" s="1"/>
  <c r="BA56" i="3"/>
  <c r="AZ56"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C36" i="71"/>
  <c r="D35" i="71"/>
  <c r="BL101" i="3"/>
  <c r="AZ101" i="3" s="1"/>
  <c r="G104" i="3"/>
  <c r="BL104" i="3"/>
  <c r="AZ104" i="3" s="1"/>
  <c r="BA106" i="3"/>
  <c r="AZ106" i="3" s="1"/>
  <c r="BA107" i="3"/>
  <c r="AZ107" i="3" s="1"/>
  <c r="BL109" i="3"/>
  <c r="AZ109" i="3" s="1"/>
  <c r="BL111" i="3"/>
  <c r="AZ111" i="3" s="1"/>
  <c r="BA112" i="3"/>
  <c r="AZ112" i="3" s="1"/>
  <c r="G19" i="82"/>
  <c r="J51" i="81"/>
  <c r="J51" i="80"/>
  <c r="M100" i="43"/>
  <c r="I100" i="43"/>
  <c r="E100" i="43"/>
  <c r="D100" i="43"/>
  <c r="I10" i="66"/>
  <c r="AB21" i="33"/>
  <c r="AA15" i="71"/>
  <c r="AA18" i="71"/>
  <c r="P74" i="67"/>
  <c r="B75" i="82"/>
  <c r="B55" i="82"/>
  <c r="B66" i="82"/>
  <c r="U25" i="71"/>
  <c r="M19" i="82"/>
  <c r="F16" i="71"/>
  <c r="F17" i="71" s="1"/>
  <c r="V17" i="71" s="1"/>
  <c r="X14" i="71"/>
  <c r="AB16" i="71"/>
  <c r="F20" i="71"/>
  <c r="F21" i="71" s="1"/>
  <c r="V21" i="71" s="1"/>
  <c r="X18" i="71"/>
  <c r="AB20" i="71"/>
  <c r="F24" i="71"/>
  <c r="F25" i="71" s="1"/>
  <c r="V25" i="71" s="1"/>
  <c r="J1" i="73"/>
  <c r="G1" i="81"/>
  <c r="G1" i="80"/>
  <c r="G7" i="1"/>
  <c r="K4" i="4"/>
  <c r="B46" i="48" s="1"/>
  <c r="B4" i="72" s="1"/>
  <c r="M8" i="1"/>
  <c r="C36" i="68" s="1"/>
  <c r="AP8" i="1"/>
  <c r="C36" i="69" s="1"/>
  <c r="G28" i="6"/>
  <c r="G30" i="6" s="1"/>
  <c r="G31" i="6" s="1"/>
  <c r="H52" i="43"/>
  <c r="G52" i="43" s="1"/>
  <c r="H50" i="43"/>
  <c r="G50" i="43" s="1"/>
  <c r="H51" i="43"/>
  <c r="G51" i="43" s="1"/>
  <c r="H55" i="43"/>
  <c r="G55" i="43" s="1"/>
  <c r="H56" i="43"/>
  <c r="G56" i="43" s="1"/>
  <c r="H54" i="43"/>
  <c r="G54" i="43" s="1"/>
  <c r="C16" i="43"/>
  <c r="B4" i="62"/>
  <c r="B71" i="72" s="1"/>
  <c r="F81" i="39"/>
  <c r="G81" i="39" s="1"/>
  <c r="H81" i="39" s="1"/>
  <c r="I81" i="39" s="1"/>
  <c r="J81" i="39" s="1"/>
  <c r="K81" i="39" s="1"/>
  <c r="L81" i="39" s="1"/>
  <c r="M81" i="39" s="1"/>
  <c r="AC38" i="39"/>
  <c r="S38" i="39"/>
  <c r="E11" i="43"/>
  <c r="E9" i="43"/>
  <c r="E10" i="43"/>
  <c r="E8" i="43"/>
  <c r="C7" i="43" s="1"/>
  <c r="H71" i="43"/>
  <c r="H78" i="43"/>
  <c r="H53" i="43"/>
  <c r="G53" i="43" s="1"/>
  <c r="H48" i="43"/>
  <c r="G48" i="43" s="1"/>
  <c r="H74" i="43"/>
  <c r="F32" i="67"/>
  <c r="F60" i="67" s="1"/>
  <c r="F28" i="15"/>
  <c r="C28" i="15" s="1"/>
  <c r="F31" i="12"/>
  <c r="C31" i="12" s="1"/>
  <c r="D68" i="9"/>
  <c r="F32" i="15"/>
  <c r="F60" i="15" s="1"/>
  <c r="F30" i="11"/>
  <c r="F54" i="9"/>
  <c r="M18" i="15"/>
  <c r="F30" i="69"/>
  <c r="C30" i="69" s="1"/>
  <c r="M18" i="67"/>
  <c r="F52" i="9"/>
  <c r="F28" i="67"/>
  <c r="C28" i="67" s="1"/>
  <c r="F30" i="68"/>
  <c r="C48" i="68" s="1"/>
  <c r="C40" i="69"/>
  <c r="H14" i="74"/>
  <c r="B7" i="74" s="1"/>
  <c r="D10" i="52"/>
  <c r="D125" i="9"/>
  <c r="D11" i="52" s="1"/>
  <c r="D20" i="53"/>
  <c r="B40" i="72" s="1"/>
  <c r="D17" i="53"/>
  <c r="B36" i="72" s="1"/>
  <c r="F65" i="40"/>
  <c r="G63" i="40"/>
  <c r="D58" i="33"/>
  <c r="E58" i="33" s="1"/>
  <c r="F58" i="33" s="1"/>
  <c r="G58" i="33" s="1"/>
  <c r="H58" i="33" s="1"/>
  <c r="I58" i="33" s="1"/>
  <c r="J58" i="33" s="1"/>
  <c r="K58" i="33" s="1"/>
  <c r="L58" i="33" s="1"/>
  <c r="M58" i="33" s="1"/>
  <c r="N58" i="33" s="1"/>
  <c r="O58" i="33" s="1"/>
  <c r="C24" i="12"/>
  <c r="C77" i="9"/>
  <c r="C74" i="9" s="1"/>
  <c r="D68" i="39"/>
  <c r="F29" i="6"/>
  <c r="BE5" i="3"/>
  <c r="E11" i="6" s="1"/>
  <c r="I4" i="6"/>
  <c r="G3" i="82" s="1"/>
  <c r="E5" i="6"/>
  <c r="D9" i="11" s="1"/>
  <c r="C9" i="11" s="1"/>
  <c r="T10" i="1"/>
  <c r="E8" i="6"/>
  <c r="AR12" i="1"/>
  <c r="G14" i="3"/>
  <c r="T13" i="1"/>
  <c r="AQ13" i="1"/>
  <c r="T12" i="1"/>
  <c r="AZ13" i="3"/>
  <c r="T9" i="1"/>
  <c r="AR11" i="1"/>
  <c r="T11" i="1"/>
  <c r="AR10" i="1"/>
  <c r="E14" i="6"/>
  <c r="E64" i="39" s="1"/>
  <c r="M7" i="1"/>
  <c r="AQ9" i="1"/>
  <c r="BL15" i="3"/>
  <c r="AZ15" i="3" s="1"/>
  <c r="Q16" i="1"/>
  <c r="F28" i="12" s="1"/>
  <c r="AZ14" i="3"/>
  <c r="E12" i="6"/>
  <c r="O11" i="1"/>
  <c r="P11" i="1" s="1"/>
  <c r="I14" i="74"/>
  <c r="B8" i="74" s="1"/>
  <c r="D127" i="9"/>
  <c r="D13" i="52" s="1"/>
  <c r="D12" i="52"/>
  <c r="J59" i="34"/>
  <c r="K59" i="34" s="1"/>
  <c r="L59" i="34" s="1"/>
  <c r="M59" i="34" s="1"/>
  <c r="N59" i="34" s="1"/>
  <c r="O59" i="34" s="1"/>
  <c r="H52" i="37"/>
  <c r="I52" i="37" s="1"/>
  <c r="J52" i="37" s="1"/>
  <c r="K52" i="37" s="1"/>
  <c r="L52" i="37" s="1"/>
  <c r="M52" i="37" s="1"/>
  <c r="N52" i="37" s="1"/>
  <c r="O52" i="37" s="1"/>
  <c r="I58" i="21"/>
  <c r="J58" i="21" s="1"/>
  <c r="K58" i="21" s="1"/>
  <c r="L58" i="21" s="1"/>
  <c r="M58" i="21" s="1"/>
  <c r="N58" i="21" s="1"/>
  <c r="O58" i="21" s="1"/>
  <c r="J46" i="36"/>
  <c r="K46" i="36" s="1"/>
  <c r="L46" i="36" s="1"/>
  <c r="M46" i="36" s="1"/>
  <c r="N46" i="36" s="1"/>
  <c r="O46" i="36" s="1"/>
  <c r="F7" i="36"/>
  <c r="E48" i="35"/>
  <c r="AZ557" i="3"/>
  <c r="AA12" i="21"/>
  <c r="S12" i="21"/>
  <c r="D5" i="43"/>
  <c r="P9" i="1"/>
  <c r="E29" i="6"/>
  <c r="L21" i="6" s="1"/>
  <c r="L27" i="6" s="1"/>
  <c r="H23" i="35"/>
  <c r="J23" i="35"/>
  <c r="F38" i="40"/>
  <c r="J38" i="40"/>
  <c r="H38" i="40"/>
  <c r="BL550" i="3"/>
  <c r="O8" i="1"/>
  <c r="AZ409" i="3"/>
  <c r="AZ425" i="3"/>
  <c r="AZ432" i="3"/>
  <c r="AZ474" i="3"/>
  <c r="AZ482" i="3"/>
  <c r="AZ486" i="3"/>
  <c r="AZ488" i="3"/>
  <c r="H49" i="43"/>
  <c r="G49" i="43" s="1"/>
  <c r="AA25" i="21"/>
  <c r="W47" i="34"/>
  <c r="AB28" i="37"/>
  <c r="U35" i="35"/>
  <c r="AZ548" i="3"/>
  <c r="W31" i="34"/>
  <c r="AB30" i="21"/>
  <c r="AA13" i="35"/>
  <c r="H12" i="21"/>
  <c r="J12" i="21"/>
  <c r="J12" i="36"/>
  <c r="H12" i="36"/>
  <c r="J24" i="36"/>
  <c r="H24" i="36"/>
  <c r="J39" i="40"/>
  <c r="H39" i="40"/>
  <c r="BA551" i="3"/>
  <c r="AZ399" i="3"/>
  <c r="AZ404" i="3"/>
  <c r="AZ414" i="3"/>
  <c r="AZ421" i="3"/>
  <c r="AZ430" i="3"/>
  <c r="AZ440" i="3"/>
  <c r="AZ449" i="3"/>
  <c r="AZ453" i="3"/>
  <c r="AZ455" i="3"/>
  <c r="AZ460" i="3"/>
  <c r="AZ471" i="3"/>
  <c r="AZ476" i="3"/>
  <c r="AZ211" i="3"/>
  <c r="AZ220" i="3"/>
  <c r="AZ228" i="3"/>
  <c r="AZ247" i="3"/>
  <c r="AZ255" i="3"/>
  <c r="AZ260" i="3"/>
  <c r="AZ274" i="3"/>
  <c r="AZ298" i="3"/>
  <c r="AZ301" i="3"/>
  <c r="AZ122" i="3"/>
  <c r="AZ125" i="3"/>
  <c r="AZ22" i="3"/>
  <c r="AZ54" i="3"/>
  <c r="AZ57" i="3"/>
  <c r="AZ108" i="3"/>
  <c r="AZ60" i="3"/>
  <c r="AZ73" i="3"/>
  <c r="AZ78" i="3"/>
  <c r="AZ87" i="3"/>
  <c r="AZ91" i="3"/>
  <c r="AZ95" i="3"/>
  <c r="D20" i="71"/>
  <c r="C21" i="71"/>
  <c r="C24" i="71"/>
  <c r="D23" i="71"/>
  <c r="C28" i="71"/>
  <c r="D27" i="71"/>
  <c r="D36" i="71"/>
  <c r="C37" i="71"/>
  <c r="D22" i="67"/>
  <c r="AC21" i="34"/>
  <c r="U21" i="34"/>
  <c r="D40" i="71"/>
  <c r="C41" i="71"/>
  <c r="D44" i="71"/>
  <c r="C45" i="71"/>
  <c r="D12" i="71"/>
  <c r="D13" i="71"/>
  <c r="U13" i="71" s="1"/>
  <c r="AA12" i="71"/>
  <c r="AA10" i="71"/>
  <c r="AB12" i="71"/>
  <c r="S13" i="71"/>
  <c r="Q52" i="71"/>
  <c r="Q50" i="71"/>
  <c r="D19" i="71"/>
  <c r="X12" i="71"/>
  <c r="Y3" i="71"/>
  <c r="Z3" i="71" s="1"/>
  <c r="X20" i="71"/>
  <c r="X19" i="71"/>
  <c r="AA17" i="71"/>
  <c r="AA16" i="71"/>
  <c r="AB14" i="71"/>
  <c r="AA22" i="71"/>
  <c r="S53" i="71"/>
  <c r="B52" i="71"/>
  <c r="C7" i="71"/>
  <c r="D7" i="71" s="1"/>
  <c r="D8" i="71"/>
  <c r="AA7" i="71"/>
  <c r="X6" i="71"/>
  <c r="X8" i="71"/>
  <c r="Y9" i="71"/>
  <c r="Z9" i="71" s="1"/>
  <c r="Y8" i="71"/>
  <c r="Z8" i="71" s="1"/>
  <c r="AA8" i="71"/>
  <c r="AB8" i="71"/>
  <c r="Y7" i="71"/>
  <c r="Z7" i="71" s="1"/>
  <c r="AB7" i="71"/>
  <c r="Y6" i="71"/>
  <c r="Z6" i="71" s="1"/>
  <c r="AB6" i="71"/>
  <c r="AA6" i="71"/>
  <c r="AA9" i="71"/>
  <c r="AB9" i="71"/>
  <c r="D9" i="71"/>
  <c r="U9" i="71" s="1"/>
  <c r="S9" i="71"/>
  <c r="T9" i="71"/>
  <c r="X7" i="71"/>
  <c r="AB5" i="71"/>
  <c r="X9" i="71"/>
  <c r="X5" i="71"/>
  <c r="AA5" i="71"/>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B14" i="49"/>
  <c r="B16" i="49"/>
  <c r="E13" i="49"/>
  <c r="E15" i="49"/>
  <c r="E9" i="49"/>
  <c r="B22" i="49"/>
  <c r="F71" i="67"/>
  <c r="F66" i="15"/>
  <c r="B10" i="70"/>
  <c r="F68" i="67"/>
  <c r="N59" i="15"/>
  <c r="L59" i="15"/>
  <c r="M59" i="15"/>
  <c r="B13" i="70"/>
  <c r="B20" i="31"/>
  <c r="F65" i="67"/>
  <c r="B11" i="70"/>
  <c r="I1" i="73"/>
  <c r="B39" i="1" s="1"/>
  <c r="C27" i="15"/>
  <c r="F51" i="15"/>
  <c r="F64" i="15"/>
  <c r="I54" i="67"/>
  <c r="J57" i="67"/>
  <c r="J55" i="67" s="1"/>
  <c r="J58" i="67" s="1"/>
  <c r="Q50" i="67" s="1"/>
  <c r="L56" i="67"/>
  <c r="B12" i="70"/>
  <c r="B9" i="70"/>
  <c r="K1" i="73"/>
  <c r="F31" i="15"/>
  <c r="F31" i="67"/>
  <c r="F59" i="67"/>
  <c r="M17" i="67"/>
  <c r="M17" i="15"/>
  <c r="F59" i="15"/>
  <c r="M6" i="80"/>
  <c r="F36" i="67"/>
  <c r="M23" i="81"/>
  <c r="F8" i="67"/>
  <c r="M29" i="80"/>
  <c r="M24" i="15"/>
  <c r="J15" i="81"/>
  <c r="F6" i="67"/>
  <c r="M27" i="80"/>
  <c r="F7" i="80"/>
  <c r="F26" i="67"/>
  <c r="L47" i="67"/>
  <c r="F43" i="15"/>
  <c r="F7" i="15"/>
  <c r="C76" i="67"/>
  <c r="F36" i="81"/>
  <c r="M29" i="15"/>
  <c r="F38" i="80"/>
  <c r="F40" i="80"/>
  <c r="F8" i="81"/>
  <c r="C16" i="15"/>
  <c r="F42" i="15"/>
  <c r="F26" i="81"/>
  <c r="F9" i="15"/>
  <c r="M9" i="80"/>
  <c r="F6" i="15"/>
  <c r="F9" i="80"/>
  <c r="M26" i="80"/>
  <c r="F42" i="67"/>
  <c r="M26" i="15"/>
  <c r="M26" i="67"/>
  <c r="L47" i="80"/>
  <c r="J15" i="15"/>
  <c r="F16" i="67"/>
  <c r="F7" i="67"/>
  <c r="M23" i="80"/>
  <c r="F42" i="80"/>
  <c r="M8" i="81"/>
  <c r="F40" i="81"/>
  <c r="M24" i="80"/>
  <c r="M28" i="15"/>
  <c r="F38" i="81"/>
  <c r="F40" i="15"/>
  <c r="M24" i="81"/>
  <c r="F43" i="80"/>
  <c r="F13" i="80"/>
  <c r="F8" i="80"/>
  <c r="J15" i="80"/>
  <c r="L48" i="15"/>
  <c r="C76" i="80"/>
  <c r="M8" i="80"/>
  <c r="M28" i="67"/>
  <c r="L48" i="80"/>
  <c r="M27" i="15"/>
  <c r="F6" i="81"/>
  <c r="M22" i="81"/>
  <c r="M24" i="67"/>
  <c r="F37" i="15"/>
  <c r="M22" i="15"/>
  <c r="F36" i="80"/>
  <c r="F26" i="80"/>
  <c r="M22" i="80"/>
  <c r="F6" i="80"/>
  <c r="F13" i="67"/>
  <c r="F16" i="80"/>
  <c r="M23" i="15"/>
  <c r="M23" i="67"/>
  <c r="M9" i="81"/>
  <c r="F7" i="81"/>
  <c r="F38" i="67"/>
  <c r="C76" i="15"/>
  <c r="M28" i="80"/>
  <c r="M8" i="15"/>
  <c r="M22" i="67"/>
  <c r="F37" i="80"/>
  <c r="P22" i="43" l="1"/>
  <c r="P23" i="43"/>
  <c r="B71" i="39" s="1"/>
  <c r="C6" i="71"/>
  <c r="H7" i="33"/>
  <c r="AZ50" i="3"/>
  <c r="AZ291" i="3"/>
  <c r="AZ277" i="3"/>
  <c r="AZ427" i="3"/>
  <c r="AZ411" i="3"/>
  <c r="AB9" i="33"/>
  <c r="U9" i="33"/>
  <c r="AZ69" i="3"/>
  <c r="AZ33" i="3"/>
  <c r="AZ31" i="3"/>
  <c r="AZ288" i="3"/>
  <c r="AZ286" i="3"/>
  <c r="AA26" i="37"/>
  <c r="S26" i="37"/>
  <c r="AA9" i="34"/>
  <c r="S9" i="34"/>
  <c r="F51" i="67"/>
  <c r="F66" i="67"/>
  <c r="F50" i="67"/>
  <c r="M7" i="67"/>
  <c r="J6" i="67" s="1"/>
  <c r="M59" i="67"/>
  <c r="L58" i="67"/>
  <c r="Q60" i="67" s="1"/>
  <c r="L59" i="67"/>
  <c r="Q61" i="67" s="1"/>
  <c r="N59" i="67"/>
  <c r="C6" i="67"/>
  <c r="AZ469" i="3"/>
  <c r="AZ186" i="3"/>
  <c r="AZ181" i="3"/>
  <c r="AZ271" i="3"/>
  <c r="AZ229" i="3"/>
  <c r="AZ208" i="3"/>
  <c r="AZ462" i="3"/>
  <c r="AZ433" i="3"/>
  <c r="AZ417" i="3"/>
  <c r="AZ406" i="3"/>
  <c r="U12" i="33"/>
  <c r="AB12" i="33"/>
  <c r="AA35" i="39"/>
  <c r="S35" i="39"/>
  <c r="W34" i="36"/>
  <c r="AC34" i="36"/>
  <c r="H7" i="21"/>
  <c r="F7" i="37"/>
  <c r="J7" i="34"/>
  <c r="C16" i="71"/>
  <c r="D15" i="71"/>
  <c r="AA9" i="33"/>
  <c r="S9" i="33"/>
  <c r="S45" i="39"/>
  <c r="AA45" i="39"/>
  <c r="S34" i="36"/>
  <c r="AA34" i="36"/>
  <c r="F27" i="6"/>
  <c r="C27" i="67"/>
  <c r="F68" i="15"/>
  <c r="F65" i="15"/>
  <c r="F70" i="67"/>
  <c r="M7" i="15"/>
  <c r="J6" i="15" s="1"/>
  <c r="F50" i="15"/>
  <c r="C49" i="15" s="1"/>
  <c r="F71" i="15"/>
  <c r="C6" i="15"/>
  <c r="F64" i="67"/>
  <c r="J53" i="15"/>
  <c r="Q52" i="15" s="1"/>
  <c r="J57" i="15"/>
  <c r="J55" i="15" s="1"/>
  <c r="J58" i="15" s="1"/>
  <c r="Q50" i="15" s="1"/>
  <c r="L56" i="15"/>
  <c r="L58" i="15"/>
  <c r="Q73" i="15" s="1"/>
  <c r="I54" i="15"/>
  <c r="Q71" i="15"/>
  <c r="Q71" i="67"/>
  <c r="E28" i="6"/>
  <c r="K14" i="1" s="1"/>
  <c r="F30" i="6"/>
  <c r="I21" i="66"/>
  <c r="D1" i="66" s="1"/>
  <c r="E10" i="66" s="1"/>
  <c r="S40" i="40"/>
  <c r="AA40" i="40"/>
  <c r="AA23" i="36"/>
  <c r="S23" i="36"/>
  <c r="AA9" i="36"/>
  <c r="S9" i="36"/>
  <c r="J7" i="36"/>
  <c r="H7" i="36"/>
  <c r="F7" i="21"/>
  <c r="J7" i="21"/>
  <c r="J7" i="37"/>
  <c r="H7" i="37"/>
  <c r="H7" i="34"/>
  <c r="F7" i="34"/>
  <c r="J7" i="33"/>
  <c r="C36" i="11"/>
  <c r="P21" i="82"/>
  <c r="O19" i="82"/>
  <c r="P24" i="82"/>
  <c r="P23" i="82"/>
  <c r="P25" i="82"/>
  <c r="C19" i="82"/>
  <c r="P22" i="82"/>
  <c r="AZ451" i="3"/>
  <c r="AZ438" i="3"/>
  <c r="AZ435" i="3"/>
  <c r="AZ419" i="3"/>
  <c r="AB40" i="40"/>
  <c r="U40" i="40"/>
  <c r="AB23" i="36"/>
  <c r="U23" i="36"/>
  <c r="U9" i="36"/>
  <c r="AB9" i="36"/>
  <c r="AA34" i="35"/>
  <c r="S34" i="35"/>
  <c r="D121" i="9"/>
  <c r="D7" i="52" s="1"/>
  <c r="K120" i="9"/>
  <c r="A18" i="62" s="1"/>
  <c r="B64" i="72" s="1"/>
  <c r="D6" i="52"/>
  <c r="Q71" i="80"/>
  <c r="F65" i="80"/>
  <c r="F66" i="80"/>
  <c r="F51" i="80"/>
  <c r="F64" i="80"/>
  <c r="C6" i="80"/>
  <c r="F68" i="80"/>
  <c r="C27" i="80"/>
  <c r="N59" i="80"/>
  <c r="L59" i="80"/>
  <c r="Q74" i="80" s="1"/>
  <c r="L58" i="80"/>
  <c r="Q73" i="80" s="1"/>
  <c r="M59" i="80"/>
  <c r="J53" i="80"/>
  <c r="F1" i="80" s="1"/>
  <c r="J57" i="80"/>
  <c r="J55" i="80" s="1"/>
  <c r="J58" i="80" s="1"/>
  <c r="Q50" i="80" s="1"/>
  <c r="L56" i="80"/>
  <c r="I54" i="80"/>
  <c r="F71" i="80"/>
  <c r="F50" i="80"/>
  <c r="C49" i="80" s="1"/>
  <c r="M7" i="80"/>
  <c r="J6" i="80" s="1"/>
  <c r="C27" i="81"/>
  <c r="F66" i="81"/>
  <c r="F68" i="81"/>
  <c r="F51" i="81"/>
  <c r="F64" i="81"/>
  <c r="M7" i="81"/>
  <c r="F50" i="81"/>
  <c r="E13" i="6"/>
  <c r="E10" i="6"/>
  <c r="S2" i="82"/>
  <c r="L101" i="82"/>
  <c r="H101" i="82"/>
  <c r="D101" i="82"/>
  <c r="I101" i="82"/>
  <c r="C23" i="82"/>
  <c r="G22" i="82"/>
  <c r="B113" i="82"/>
  <c r="G101" i="82"/>
  <c r="F22" i="82"/>
  <c r="AH11" i="82"/>
  <c r="AH13" i="82" s="1"/>
  <c r="AD11" i="82"/>
  <c r="AD13" i="82" s="1"/>
  <c r="Z11" i="82"/>
  <c r="Z13" i="82" s="1"/>
  <c r="S7" i="82"/>
  <c r="S6" i="82"/>
  <c r="AA11" i="82"/>
  <c r="AA13" i="82" s="1"/>
  <c r="AI11" i="82"/>
  <c r="AI13" i="82" s="1"/>
  <c r="Y11" i="82"/>
  <c r="Y13" i="82" s="1"/>
  <c r="AG11" i="82"/>
  <c r="AG13" i="82" s="1"/>
  <c r="N101" i="82"/>
  <c r="J101" i="82"/>
  <c r="F101" i="82"/>
  <c r="M101" i="82"/>
  <c r="E101" i="82"/>
  <c r="J22" i="82"/>
  <c r="E22" i="82"/>
  <c r="D22" i="82" s="1"/>
  <c r="C21" i="82" s="1"/>
  <c r="K101" i="82"/>
  <c r="C101" i="82"/>
  <c r="AJ11" i="82"/>
  <c r="AJ13" i="82" s="1"/>
  <c r="AF11" i="82"/>
  <c r="AF13" i="82" s="1"/>
  <c r="AB11" i="82"/>
  <c r="AB13" i="82" s="1"/>
  <c r="Z7" i="82"/>
  <c r="S4" i="82"/>
  <c r="AE11" i="82"/>
  <c r="AE13" i="82" s="1"/>
  <c r="H22" i="82"/>
  <c r="S3" i="82"/>
  <c r="S5" i="82"/>
  <c r="AC11" i="82"/>
  <c r="AC13" i="82" s="1"/>
  <c r="K48" i="43"/>
  <c r="M48" i="43"/>
  <c r="N48" i="43" s="1"/>
  <c r="K54" i="43"/>
  <c r="M54" i="43"/>
  <c r="N54" i="43" s="1"/>
  <c r="M55" i="43"/>
  <c r="N55" i="43" s="1"/>
  <c r="K55" i="43"/>
  <c r="J55" i="43" s="1"/>
  <c r="D55" i="43" s="1"/>
  <c r="K50" i="43"/>
  <c r="M50" i="43"/>
  <c r="N50" i="43" s="1"/>
  <c r="M49" i="43"/>
  <c r="N49" i="43" s="1"/>
  <c r="K49" i="43"/>
  <c r="M53" i="43"/>
  <c r="N53" i="43" s="1"/>
  <c r="K53" i="43"/>
  <c r="M56" i="43"/>
  <c r="N56" i="43" s="1"/>
  <c r="K56" i="43"/>
  <c r="M51" i="43"/>
  <c r="N51" i="43" s="1"/>
  <c r="K51" i="43"/>
  <c r="K52" i="43"/>
  <c r="J52" i="43" s="1"/>
  <c r="M52" i="43"/>
  <c r="N52" i="43" s="1"/>
  <c r="F11" i="81"/>
  <c r="M11" i="81"/>
  <c r="E15" i="6"/>
  <c r="E16" i="6" s="1"/>
  <c r="C5" i="43"/>
  <c r="D19" i="12"/>
  <c r="C19" i="12" s="1"/>
  <c r="O7" i="1"/>
  <c r="P7" i="1" s="1"/>
  <c r="G3" i="43"/>
  <c r="AG11" i="43" s="1"/>
  <c r="AG13" i="43" s="1"/>
  <c r="C11" i="39"/>
  <c r="F1" i="15"/>
  <c r="F11" i="80"/>
  <c r="M11" i="80"/>
  <c r="C30" i="68"/>
  <c r="C48" i="69"/>
  <c r="C48" i="11"/>
  <c r="C30" i="11"/>
  <c r="C29" i="12"/>
  <c r="D28" i="12" s="1"/>
  <c r="F7" i="33"/>
  <c r="G65" i="40"/>
  <c r="H63" i="40"/>
  <c r="D70" i="39"/>
  <c r="E68" i="39"/>
  <c r="E56" i="40"/>
  <c r="E51" i="40"/>
  <c r="D9" i="69"/>
  <c r="C9" i="69" s="1"/>
  <c r="D9" i="68"/>
  <c r="C9" i="68" s="1"/>
  <c r="E59" i="40"/>
  <c r="F31" i="6"/>
  <c r="F27" i="11"/>
  <c r="C29" i="11" s="1"/>
  <c r="D27" i="11" s="1"/>
  <c r="U10" i="39"/>
  <c r="W10" i="39"/>
  <c r="AA10" i="39"/>
  <c r="M14" i="1"/>
  <c r="C34" i="69"/>
  <c r="E58" i="40"/>
  <c r="E57" i="40"/>
  <c r="E62" i="39"/>
  <c r="F27" i="69"/>
  <c r="F27" i="68"/>
  <c r="S10" i="39"/>
  <c r="T45" i="71"/>
  <c r="D45" i="71"/>
  <c r="T41" i="71"/>
  <c r="D41" i="71"/>
  <c r="D28" i="71"/>
  <c r="C29" i="71"/>
  <c r="D24" i="71"/>
  <c r="C25" i="71"/>
  <c r="M19" i="43" s="1"/>
  <c r="AZ551" i="3"/>
  <c r="BA5" i="3"/>
  <c r="E27" i="6" s="1"/>
  <c r="W39" i="40"/>
  <c r="AC39" i="40"/>
  <c r="W24" i="36"/>
  <c r="AC24" i="36"/>
  <c r="W12" i="36"/>
  <c r="AC12" i="36"/>
  <c r="U12" i="21"/>
  <c r="AB12" i="21"/>
  <c r="P8" i="1"/>
  <c r="C13" i="12" s="1"/>
  <c r="U38" i="40"/>
  <c r="AB38" i="40"/>
  <c r="AA38" i="40"/>
  <c r="S38" i="40"/>
  <c r="U23" i="35"/>
  <c r="AB23" i="35"/>
  <c r="F48" i="35"/>
  <c r="W7" i="36"/>
  <c r="AC7" i="36"/>
  <c r="V36" i="36" s="1"/>
  <c r="I36" i="36" s="1"/>
  <c r="AB7" i="36"/>
  <c r="T36" i="36" s="1"/>
  <c r="G36" i="36" s="1"/>
  <c r="U7" i="36"/>
  <c r="S7" i="21"/>
  <c r="AA7" i="21"/>
  <c r="R48" i="21" s="1"/>
  <c r="AC7" i="21"/>
  <c r="V48" i="21" s="1"/>
  <c r="I48" i="21" s="1"/>
  <c r="W7" i="21"/>
  <c r="AC7" i="37"/>
  <c r="V42" i="37" s="1"/>
  <c r="I42" i="37" s="1"/>
  <c r="W7" i="37"/>
  <c r="U7" i="37"/>
  <c r="AB7" i="37"/>
  <c r="T42" i="37" s="1"/>
  <c r="G42" i="37" s="1"/>
  <c r="U7" i="34"/>
  <c r="AB7" i="34"/>
  <c r="T49" i="34" s="1"/>
  <c r="G49" i="34" s="1"/>
  <c r="S7" i="34"/>
  <c r="AA7" i="34"/>
  <c r="R49" i="34" s="1"/>
  <c r="B51" i="71"/>
  <c r="N52" i="71"/>
  <c r="T37" i="71"/>
  <c r="D37" i="71"/>
  <c r="T21" i="71"/>
  <c r="D21" i="71"/>
  <c r="AB39" i="40"/>
  <c r="U39" i="40"/>
  <c r="AB24" i="36"/>
  <c r="U24" i="36"/>
  <c r="AB12" i="36"/>
  <c r="U12" i="36"/>
  <c r="AC12" i="21"/>
  <c r="W12" i="21"/>
  <c r="AZ550" i="3"/>
  <c r="AZ5" i="3" s="1"/>
  <c r="BL5" i="3"/>
  <c r="AC38" i="40"/>
  <c r="W38" i="40"/>
  <c r="W23" i="35"/>
  <c r="AC23" i="35"/>
  <c r="K15" i="1"/>
  <c r="K16" i="1" s="1"/>
  <c r="E30" i="6"/>
  <c r="S7" i="36"/>
  <c r="AA7" i="36"/>
  <c r="R36" i="36" s="1"/>
  <c r="U7" i="21"/>
  <c r="AB7" i="21"/>
  <c r="T48" i="21" s="1"/>
  <c r="G48" i="21" s="1"/>
  <c r="S7" i="37"/>
  <c r="AA7" i="37"/>
  <c r="R42" i="37" s="1"/>
  <c r="AC7" i="34"/>
  <c r="V49" i="34" s="1"/>
  <c r="I49" i="34" s="1"/>
  <c r="W7" i="34"/>
  <c r="C5" i="71"/>
  <c r="D6" i="71"/>
  <c r="P25" i="43"/>
  <c r="C49" i="67"/>
  <c r="M11" i="15"/>
  <c r="F11" i="67"/>
  <c r="F11" i="15"/>
  <c r="M11" i="67"/>
  <c r="J10" i="67" s="1"/>
  <c r="Q73" i="67"/>
  <c r="Q74" i="15"/>
  <c r="Q61" i="15"/>
  <c r="C16" i="80"/>
  <c r="L47" i="81"/>
  <c r="F37" i="81"/>
  <c r="M27" i="81"/>
  <c r="D7" i="73"/>
  <c r="AE7" i="1"/>
  <c r="F41" i="80"/>
  <c r="F43" i="81"/>
  <c r="F13" i="81"/>
  <c r="AE6" i="1"/>
  <c r="C76" i="81"/>
  <c r="M6" i="81"/>
  <c r="D4" i="73"/>
  <c r="M28" i="81"/>
  <c r="M29" i="81"/>
  <c r="C16" i="67"/>
  <c r="D6" i="73"/>
  <c r="D3" i="73"/>
  <c r="F42" i="81"/>
  <c r="F16" i="81"/>
  <c r="M26" i="81"/>
  <c r="L48" i="81"/>
  <c r="D5" i="73"/>
  <c r="F9" i="81"/>
  <c r="AB7" i="33" l="1"/>
  <c r="T48" i="33" s="1"/>
  <c r="G48" i="33" s="1"/>
  <c r="G52" i="33" s="1"/>
  <c r="H52" i="33" s="1"/>
  <c r="U7" i="33"/>
  <c r="J5" i="67"/>
  <c r="J24" i="67" s="1"/>
  <c r="Q74" i="67"/>
  <c r="D16" i="71"/>
  <c r="C17" i="71"/>
  <c r="Q60" i="15"/>
  <c r="J10" i="15"/>
  <c r="J5" i="15" s="1"/>
  <c r="J18" i="15" s="1"/>
  <c r="Y11" i="43"/>
  <c r="Y13" i="43" s="1"/>
  <c r="Q61" i="80"/>
  <c r="E20" i="82"/>
  <c r="E20" i="43"/>
  <c r="F65" i="81"/>
  <c r="Q71" i="81"/>
  <c r="L58" i="81"/>
  <c r="Q60" i="81" s="1"/>
  <c r="M59" i="81"/>
  <c r="L59" i="81"/>
  <c r="Q74" i="81" s="1"/>
  <c r="N59" i="81"/>
  <c r="C6" i="81"/>
  <c r="F39" i="66" s="1"/>
  <c r="F71" i="81"/>
  <c r="L60" i="81"/>
  <c r="Q66" i="81" s="1"/>
  <c r="J57" i="81"/>
  <c r="J55" i="81" s="1"/>
  <c r="J58" i="81" s="1"/>
  <c r="Q50" i="81" s="1"/>
  <c r="J53" i="81"/>
  <c r="Q52" i="81" s="1"/>
  <c r="W7" i="33"/>
  <c r="AC7" i="33"/>
  <c r="V48" i="33" s="1"/>
  <c r="I48" i="33" s="1"/>
  <c r="J6" i="81"/>
  <c r="J10" i="80"/>
  <c r="J5" i="80" s="1"/>
  <c r="J26" i="80" s="1"/>
  <c r="J29" i="80" s="1"/>
  <c r="Q52" i="80"/>
  <c r="Q60" i="80"/>
  <c r="J10" i="81"/>
  <c r="J5" i="81" s="1"/>
  <c r="J24" i="81" s="1"/>
  <c r="C49" i="81"/>
  <c r="G101" i="43"/>
  <c r="Q57" i="81"/>
  <c r="F69" i="80"/>
  <c r="K109" i="82"/>
  <c r="K106" i="82"/>
  <c r="K104" i="82"/>
  <c r="K102" i="82"/>
  <c r="K107" i="82"/>
  <c r="K105" i="82"/>
  <c r="K103" i="82"/>
  <c r="M109" i="82"/>
  <c r="M107" i="82"/>
  <c r="M105" i="82"/>
  <c r="M103" i="82"/>
  <c r="M106" i="82"/>
  <c r="M104" i="82"/>
  <c r="M102" i="82"/>
  <c r="J109" i="82"/>
  <c r="J107" i="82"/>
  <c r="J105" i="82"/>
  <c r="J103" i="82"/>
  <c r="J106" i="82"/>
  <c r="J104" i="82"/>
  <c r="J102" i="82"/>
  <c r="G109" i="82"/>
  <c r="G107" i="82"/>
  <c r="G105" i="82"/>
  <c r="G103" i="82"/>
  <c r="G106" i="82"/>
  <c r="G104" i="82"/>
  <c r="G102" i="82"/>
  <c r="I109" i="82"/>
  <c r="I106" i="82"/>
  <c r="I104" i="82"/>
  <c r="I102" i="82"/>
  <c r="I107" i="82"/>
  <c r="I105" i="82"/>
  <c r="I103" i="82"/>
  <c r="H106" i="82"/>
  <c r="H104" i="82"/>
  <c r="H102" i="82"/>
  <c r="H109" i="82"/>
  <c r="H107" i="82"/>
  <c r="H105" i="82"/>
  <c r="H103" i="82"/>
  <c r="C109" i="82"/>
  <c r="C106" i="82"/>
  <c r="C104" i="82"/>
  <c r="C102" i="82"/>
  <c r="C107" i="82"/>
  <c r="C105" i="82"/>
  <c r="C103" i="82"/>
  <c r="E109" i="82"/>
  <c r="E107" i="82"/>
  <c r="E105" i="82"/>
  <c r="E103" i="82"/>
  <c r="E106" i="82"/>
  <c r="E104" i="82"/>
  <c r="E102" i="82"/>
  <c r="F109" i="82"/>
  <c r="F107" i="82"/>
  <c r="F105" i="82"/>
  <c r="F103" i="82"/>
  <c r="F106" i="82"/>
  <c r="F104" i="82"/>
  <c r="F102" i="82"/>
  <c r="N109" i="82"/>
  <c r="N107" i="82"/>
  <c r="N105" i="82"/>
  <c r="N103" i="82"/>
  <c r="N106" i="82"/>
  <c r="N104" i="82"/>
  <c r="N102" i="82"/>
  <c r="I118" i="82"/>
  <c r="J118" i="82" s="1"/>
  <c r="K118" i="82" s="1"/>
  <c r="L118" i="82" s="1"/>
  <c r="M118" i="82" s="1"/>
  <c r="I117" i="82"/>
  <c r="J117" i="82" s="1"/>
  <c r="K117" i="82" s="1"/>
  <c r="L117" i="82" s="1"/>
  <c r="M117" i="82" s="1"/>
  <c r="I115" i="82"/>
  <c r="J115" i="82" s="1"/>
  <c r="K115" i="82" s="1"/>
  <c r="L115" i="82" s="1"/>
  <c r="M115" i="82" s="1"/>
  <c r="D117" i="82"/>
  <c r="E117" i="82" s="1"/>
  <c r="F117" i="82" s="1"/>
  <c r="G117" i="82" s="1"/>
  <c r="H117" i="82" s="1"/>
  <c r="D115" i="82"/>
  <c r="E115" i="82" s="1"/>
  <c r="F115" i="82" s="1"/>
  <c r="G115" i="82" s="1"/>
  <c r="H115" i="82" s="1"/>
  <c r="B117" i="82"/>
  <c r="C117" i="82" s="1"/>
  <c r="B115" i="82"/>
  <c r="G118" i="82"/>
  <c r="H118" i="82" s="1"/>
  <c r="I116" i="82"/>
  <c r="J116" i="82" s="1"/>
  <c r="K116" i="82" s="1"/>
  <c r="L116" i="82" s="1"/>
  <c r="M116" i="82" s="1"/>
  <c r="D118" i="82"/>
  <c r="E118" i="82" s="1"/>
  <c r="F118" i="82" s="1"/>
  <c r="D116" i="82"/>
  <c r="E116" i="82" s="1"/>
  <c r="F116" i="82" s="1"/>
  <c r="G116" i="82" s="1"/>
  <c r="H116" i="82" s="1"/>
  <c r="B118" i="82"/>
  <c r="C118" i="82" s="1"/>
  <c r="B116" i="82"/>
  <c r="C116" i="82" s="1"/>
  <c r="D106" i="82"/>
  <c r="D104" i="82"/>
  <c r="D102" i="82"/>
  <c r="D109" i="82"/>
  <c r="D107" i="82"/>
  <c r="D105" i="82"/>
  <c r="D103" i="82"/>
  <c r="L106" i="82"/>
  <c r="L104" i="82"/>
  <c r="L102" i="82"/>
  <c r="L109" i="82"/>
  <c r="L107" i="82"/>
  <c r="L105" i="82"/>
  <c r="L103" i="82"/>
  <c r="D51" i="43"/>
  <c r="J51" i="43"/>
  <c r="J56" i="43"/>
  <c r="D56" i="43"/>
  <c r="D53" i="43"/>
  <c r="J53" i="43"/>
  <c r="D49" i="43"/>
  <c r="J49" i="43"/>
  <c r="J50" i="43"/>
  <c r="D50" i="43"/>
  <c r="J54" i="43"/>
  <c r="D54" i="43"/>
  <c r="J48" i="43"/>
  <c r="D48" i="43"/>
  <c r="C53" i="81"/>
  <c r="G104" i="43"/>
  <c r="C47" i="11"/>
  <c r="D45" i="11" s="1"/>
  <c r="G102" i="43"/>
  <c r="E65" i="39"/>
  <c r="E60" i="40"/>
  <c r="G109" i="43"/>
  <c r="G107" i="43"/>
  <c r="G106" i="43"/>
  <c r="AA11" i="43"/>
  <c r="AA13" i="43" s="1"/>
  <c r="N104" i="46"/>
  <c r="AD11" i="43"/>
  <c r="AD13" i="43" s="1"/>
  <c r="J101" i="43"/>
  <c r="F101" i="43"/>
  <c r="I101" i="43"/>
  <c r="G22" i="43"/>
  <c r="AI11" i="43"/>
  <c r="AI13" i="43" s="1"/>
  <c r="L101" i="43"/>
  <c r="AB11" i="43"/>
  <c r="AB13" i="43" s="1"/>
  <c r="E22" i="43"/>
  <c r="D101" i="43"/>
  <c r="D109" i="43" s="1"/>
  <c r="J22" i="43"/>
  <c r="H22" i="43"/>
  <c r="AH11" i="43"/>
  <c r="AH13" i="43" s="1"/>
  <c r="Z11" i="43"/>
  <c r="Z13" i="43" s="1"/>
  <c r="AE11" i="43"/>
  <c r="AE13" i="43" s="1"/>
  <c r="N101" i="43"/>
  <c r="E101" i="43"/>
  <c r="AJ11" i="43"/>
  <c r="AJ13" i="43" s="1"/>
  <c r="B113" i="43"/>
  <c r="C101" i="43"/>
  <c r="F22" i="43"/>
  <c r="D22" i="43" s="1"/>
  <c r="AF11" i="43"/>
  <c r="AF13" i="43" s="1"/>
  <c r="AC11" i="43"/>
  <c r="AC13" i="43" s="1"/>
  <c r="K101" i="43"/>
  <c r="M101" i="43"/>
  <c r="H101" i="43"/>
  <c r="Z7" i="43"/>
  <c r="J11" i="39"/>
  <c r="H11" i="39"/>
  <c r="F11" i="39"/>
  <c r="C53" i="80"/>
  <c r="C48" i="80" s="1"/>
  <c r="C10" i="80"/>
  <c r="C5" i="80" s="1"/>
  <c r="F68" i="39"/>
  <c r="E70" i="39"/>
  <c r="H65" i="40"/>
  <c r="I63" i="40"/>
  <c r="S7" i="33"/>
  <c r="AA7" i="33"/>
  <c r="R48" i="33" s="1"/>
  <c r="AB10" i="39"/>
  <c r="D106" i="43"/>
  <c r="AC10" i="39"/>
  <c r="E66" i="39"/>
  <c r="C38" i="69"/>
  <c r="C35" i="69"/>
  <c r="M16" i="1"/>
  <c r="O14" i="1"/>
  <c r="C29" i="68"/>
  <c r="D27" i="68" s="1"/>
  <c r="C47" i="68"/>
  <c r="D45" i="68" s="1"/>
  <c r="C47" i="69"/>
  <c r="D45" i="69" s="1"/>
  <c r="C29" i="69"/>
  <c r="D27" i="69" s="1"/>
  <c r="S2" i="43"/>
  <c r="S6" i="43"/>
  <c r="S7" i="43"/>
  <c r="S3" i="43"/>
  <c r="S5" i="43"/>
  <c r="S4" i="43"/>
  <c r="C23" i="43"/>
  <c r="E3" i="6"/>
  <c r="E42" i="37"/>
  <c r="I47" i="37" s="1"/>
  <c r="J47" i="37" s="1"/>
  <c r="R43" i="37"/>
  <c r="I53" i="34"/>
  <c r="J53" i="34" s="1"/>
  <c r="G52" i="21"/>
  <c r="H52" i="21" s="1"/>
  <c r="G53" i="21"/>
  <c r="H53" i="21" s="1"/>
  <c r="E36" i="36"/>
  <c r="I41" i="36" s="1"/>
  <c r="J41" i="36" s="1"/>
  <c r="R37" i="36"/>
  <c r="N50" i="71"/>
  <c r="N51" i="71"/>
  <c r="I46" i="37"/>
  <c r="J46" i="37" s="1"/>
  <c r="E48" i="21"/>
  <c r="I53" i="21" s="1"/>
  <c r="J53" i="21" s="1"/>
  <c r="R49" i="21"/>
  <c r="I40" i="36"/>
  <c r="J40" i="36" s="1"/>
  <c r="G48" i="35"/>
  <c r="R50" i="34"/>
  <c r="E49" i="34"/>
  <c r="G53" i="34"/>
  <c r="H53" i="34" s="1"/>
  <c r="G54" i="34"/>
  <c r="H54" i="34" s="1"/>
  <c r="G46" i="37"/>
  <c r="H46" i="37" s="1"/>
  <c r="G47" i="37"/>
  <c r="H47" i="37" s="1"/>
  <c r="I52" i="21"/>
  <c r="J52" i="21" s="1"/>
  <c r="G40" i="36"/>
  <c r="H40" i="36" s="1"/>
  <c r="G41" i="36"/>
  <c r="H41" i="36" s="1"/>
  <c r="E31" i="6"/>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29" i="71"/>
  <c r="D29" i="71"/>
  <c r="D5" i="71"/>
  <c r="C53" i="67"/>
  <c r="C48" i="67" s="1"/>
  <c r="C10" i="67"/>
  <c r="C5" i="67" s="1"/>
  <c r="C53" i="15"/>
  <c r="C48" i="15" s="1"/>
  <c r="C10" i="15"/>
  <c r="C5" i="15" s="1"/>
  <c r="F41" i="15"/>
  <c r="C16" i="81"/>
  <c r="F41" i="67"/>
  <c r="G1" i="73"/>
  <c r="J26" i="67" l="1"/>
  <c r="J29" i="67" s="1"/>
  <c r="J18" i="67"/>
  <c r="J24" i="15"/>
  <c r="M20" i="82"/>
  <c r="D17" i="71"/>
  <c r="T17" i="71"/>
  <c r="J26" i="15"/>
  <c r="J29" i="15" s="1"/>
  <c r="B40" i="1"/>
  <c r="F24" i="81" s="1"/>
  <c r="C24" i="81" s="1"/>
  <c r="Q61" i="81"/>
  <c r="F22" i="11"/>
  <c r="C44" i="11" s="1"/>
  <c r="D41" i="11" s="1"/>
  <c r="C10" i="81"/>
  <c r="C5" i="81" s="1"/>
  <c r="C38" i="81" s="1"/>
  <c r="L56" i="81"/>
  <c r="F1" i="81"/>
  <c r="Q73" i="81"/>
  <c r="I52" i="33"/>
  <c r="J52" i="33" s="1"/>
  <c r="G53" i="33"/>
  <c r="H53" i="33" s="1"/>
  <c r="P17" i="43"/>
  <c r="N17" i="43"/>
  <c r="M17" i="43"/>
  <c r="G20" i="43" s="1"/>
  <c r="H6" i="1" s="1"/>
  <c r="O17" i="43"/>
  <c r="E48" i="43"/>
  <c r="B46" i="43" s="1"/>
  <c r="C24" i="43" s="1"/>
  <c r="N17" i="82"/>
  <c r="O17" i="82"/>
  <c r="G20" i="82" s="1"/>
  <c r="C20" i="82" s="1"/>
  <c r="T13" i="82" s="1"/>
  <c r="V13" i="82" s="1"/>
  <c r="P17" i="82"/>
  <c r="M17" i="82"/>
  <c r="J26" i="81"/>
  <c r="F69" i="67"/>
  <c r="J24" i="80"/>
  <c r="J18" i="80"/>
  <c r="J18" i="81"/>
  <c r="C48" i="81"/>
  <c r="C60" i="81" s="1"/>
  <c r="G105" i="43"/>
  <c r="G103" i="43"/>
  <c r="C115" i="82"/>
  <c r="D113" i="82" s="1"/>
  <c r="C21" i="43"/>
  <c r="M21" i="6"/>
  <c r="I21" i="6" s="1"/>
  <c r="S21" i="6" s="1"/>
  <c r="S8" i="1"/>
  <c r="J103" i="43"/>
  <c r="J105" i="43"/>
  <c r="J102" i="43"/>
  <c r="J104" i="43"/>
  <c r="J109" i="43"/>
  <c r="J107" i="43"/>
  <c r="J106" i="43"/>
  <c r="I106" i="43"/>
  <c r="I107" i="43"/>
  <c r="I102" i="43"/>
  <c r="I103" i="43"/>
  <c r="I104" i="43"/>
  <c r="I105" i="43"/>
  <c r="I109" i="43"/>
  <c r="L102" i="43"/>
  <c r="L109" i="43"/>
  <c r="L105" i="43"/>
  <c r="L106" i="43"/>
  <c r="L103" i="43"/>
  <c r="L104" i="43"/>
  <c r="L107" i="43"/>
  <c r="F107" i="43"/>
  <c r="F105" i="43"/>
  <c r="F104" i="43"/>
  <c r="F106" i="43"/>
  <c r="F109" i="43"/>
  <c r="F102" i="43"/>
  <c r="F103" i="43"/>
  <c r="N106" i="43"/>
  <c r="N109" i="43"/>
  <c r="N105" i="43"/>
  <c r="N104" i="43"/>
  <c r="N102" i="43"/>
  <c r="N103" i="43"/>
  <c r="N107" i="43"/>
  <c r="D104" i="43"/>
  <c r="D103" i="43"/>
  <c r="D105" i="43"/>
  <c r="D107" i="43"/>
  <c r="D102" i="43"/>
  <c r="E106" i="43"/>
  <c r="E109" i="43"/>
  <c r="E107" i="43"/>
  <c r="E102" i="43"/>
  <c r="E103" i="43"/>
  <c r="E105" i="43"/>
  <c r="E104" i="43"/>
  <c r="AA11" i="39"/>
  <c r="S11" i="39"/>
  <c r="W11" i="39"/>
  <c r="AC11" i="39"/>
  <c r="M102" i="43"/>
  <c r="M103" i="43"/>
  <c r="M104" i="43"/>
  <c r="M105" i="43"/>
  <c r="M106" i="43"/>
  <c r="M109" i="43"/>
  <c r="M107" i="43"/>
  <c r="U11" i="39"/>
  <c r="AB11" i="39"/>
  <c r="H103" i="43"/>
  <c r="H107" i="43"/>
  <c r="H105" i="43"/>
  <c r="H102" i="43"/>
  <c r="H104" i="43"/>
  <c r="H106" i="43"/>
  <c r="H109" i="43"/>
  <c r="K107" i="43"/>
  <c r="K105" i="43"/>
  <c r="K103" i="43"/>
  <c r="K106" i="43"/>
  <c r="K104" i="43"/>
  <c r="K109" i="43"/>
  <c r="K102" i="43"/>
  <c r="C104" i="43"/>
  <c r="C105" i="43"/>
  <c r="C103" i="43"/>
  <c r="C109" i="43"/>
  <c r="C106" i="43"/>
  <c r="C107" i="43"/>
  <c r="C102" i="43"/>
  <c r="E6" i="70"/>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D118" i="43"/>
  <c r="E118" i="43" s="1"/>
  <c r="F118" i="43" s="1"/>
  <c r="B118" i="43"/>
  <c r="C118" i="43" s="1"/>
  <c r="B115" i="43"/>
  <c r="C115" i="43" s="1"/>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F69" i="15"/>
  <c r="C66" i="80"/>
  <c r="C60" i="80"/>
  <c r="C38" i="80"/>
  <c r="C32" i="80"/>
  <c r="R49" i="33"/>
  <c r="E48" i="33"/>
  <c r="I65" i="40"/>
  <c r="J63" i="40"/>
  <c r="G68" i="39"/>
  <c r="F70" i="39"/>
  <c r="AQ6" i="1"/>
  <c r="T6" i="1"/>
  <c r="AR6" i="1"/>
  <c r="M20" i="6"/>
  <c r="I20" i="6" s="1"/>
  <c r="S20" i="6" s="1"/>
  <c r="S7" i="1"/>
  <c r="C34" i="68"/>
  <c r="N16" i="1"/>
  <c r="L16" i="1"/>
  <c r="C34" i="11"/>
  <c r="P14" i="1"/>
  <c r="P16" i="1" s="1"/>
  <c r="C11" i="12" s="1"/>
  <c r="O16" i="1"/>
  <c r="M20" i="43"/>
  <c r="C19" i="43" s="1"/>
  <c r="C50" i="34"/>
  <c r="C49" i="34"/>
  <c r="H48" i="35"/>
  <c r="E52" i="21"/>
  <c r="F52" i="21" s="1"/>
  <c r="E53" i="21"/>
  <c r="F53" i="21" s="1"/>
  <c r="E40" i="36"/>
  <c r="F40" i="36" s="1"/>
  <c r="E41" i="36"/>
  <c r="F41" i="36" s="1"/>
  <c r="E47" i="37"/>
  <c r="F47" i="37" s="1"/>
  <c r="E46" i="37"/>
  <c r="F46" i="37" s="1"/>
  <c r="K27" i="6"/>
  <c r="M19" i="6"/>
  <c r="E54" i="34"/>
  <c r="F54" i="34" s="1"/>
  <c r="E53" i="34"/>
  <c r="F53" i="34" s="1"/>
  <c r="C48" i="21"/>
  <c r="C49" i="21"/>
  <c r="C36" i="36"/>
  <c r="C37" i="36"/>
  <c r="B2" i="36" s="1"/>
  <c r="B3" i="36" s="1"/>
  <c r="I54" i="34"/>
  <c r="J54" i="34" s="1"/>
  <c r="C42" i="37"/>
  <c r="C43" i="37"/>
  <c r="D3" i="21"/>
  <c r="D19" i="11"/>
  <c r="C19" i="11" s="1"/>
  <c r="D37" i="11"/>
  <c r="C37" i="11" s="1"/>
  <c r="D14" i="12"/>
  <c r="M18" i="9"/>
  <c r="B118" i="9" s="1"/>
  <c r="B14" i="74" s="1"/>
  <c r="B1" i="74" s="1"/>
  <c r="D3" i="33"/>
  <c r="E6" i="6"/>
  <c r="C17" i="4"/>
  <c r="B4" i="52" s="1"/>
  <c r="B43" i="72" s="1"/>
  <c r="L18" i="9"/>
  <c r="D3" i="34"/>
  <c r="D3" i="37"/>
  <c r="C38" i="15"/>
  <c r="C32" i="15"/>
  <c r="C66" i="15"/>
  <c r="C60" i="15"/>
  <c r="C60" i="67"/>
  <c r="C66" i="67"/>
  <c r="C38" i="67"/>
  <c r="C32" i="67"/>
  <c r="C17" i="81"/>
  <c r="C17" i="15"/>
  <c r="C17" i="67"/>
  <c r="C14" i="67"/>
  <c r="C17" i="80"/>
  <c r="AE8" i="1"/>
  <c r="C66" i="81" l="1"/>
  <c r="G6" i="1"/>
  <c r="G16" i="1" s="1"/>
  <c r="H16" i="1"/>
  <c r="F24" i="15"/>
  <c r="C24" i="15" s="1"/>
  <c r="F22" i="68"/>
  <c r="C44" i="68" s="1"/>
  <c r="D41" i="68" s="1"/>
  <c r="F25" i="12"/>
  <c r="C26" i="12" s="1"/>
  <c r="D25" i="12" s="1"/>
  <c r="F22" i="69"/>
  <c r="C44" i="69" s="1"/>
  <c r="D41" i="69" s="1"/>
  <c r="F24" i="67"/>
  <c r="C24" i="67" s="1"/>
  <c r="F24" i="80"/>
  <c r="C24" i="80" s="1"/>
  <c r="C23" i="11"/>
  <c r="C26" i="68"/>
  <c r="D22" i="68" s="1"/>
  <c r="C24" i="11"/>
  <c r="C26" i="11"/>
  <c r="D22" i="11" s="1"/>
  <c r="C32" i="81"/>
  <c r="C26" i="69"/>
  <c r="D22" i="69" s="1"/>
  <c r="T8" i="82"/>
  <c r="V8" i="82" s="1"/>
  <c r="T2" i="82"/>
  <c r="V2" i="82" s="1"/>
  <c r="T3" i="82"/>
  <c r="V3" i="82" s="1"/>
  <c r="C34" i="82"/>
  <c r="E34" i="82" s="1"/>
  <c r="T16" i="82"/>
  <c r="V16" i="82" s="1"/>
  <c r="C36" i="82"/>
  <c r="E36" i="82" s="1"/>
  <c r="T7" i="82"/>
  <c r="V7" i="82" s="1"/>
  <c r="C29" i="82"/>
  <c r="E29" i="82" s="1"/>
  <c r="C33" i="82"/>
  <c r="G33" i="82" s="1"/>
  <c r="I33" i="82" s="1"/>
  <c r="T6" i="82"/>
  <c r="V6" i="82" s="1"/>
  <c r="T15" i="82"/>
  <c r="V15" i="82" s="1"/>
  <c r="C35" i="82"/>
  <c r="E35" i="82" s="1"/>
  <c r="T11" i="82"/>
  <c r="V11" i="82" s="1"/>
  <c r="T5" i="82"/>
  <c r="V5" i="82" s="1"/>
  <c r="T12" i="82"/>
  <c r="V12" i="82" s="1"/>
  <c r="T14" i="82"/>
  <c r="V14" i="82" s="1"/>
  <c r="C37" i="82"/>
  <c r="G37" i="82" s="1"/>
  <c r="I37" i="82" s="1"/>
  <c r="T4" i="82"/>
  <c r="V4" i="82" s="1"/>
  <c r="T10" i="82"/>
  <c r="V10" i="82" s="1"/>
  <c r="T9" i="82"/>
  <c r="V9" i="82" s="1"/>
  <c r="E41" i="82"/>
  <c r="C41" i="82" s="1"/>
  <c r="C38" i="82" s="1"/>
  <c r="G38" i="82" s="1"/>
  <c r="I38" i="82" s="1"/>
  <c r="E41" i="43"/>
  <c r="C41" i="43" s="1"/>
  <c r="C39" i="43" s="1"/>
  <c r="G39" i="43" s="1"/>
  <c r="I39" i="43" s="1"/>
  <c r="C20" i="43"/>
  <c r="T14" i="43" s="1"/>
  <c r="V14" i="43" s="1"/>
  <c r="C18" i="67"/>
  <c r="C15" i="67"/>
  <c r="E8" i="70"/>
  <c r="C39" i="82"/>
  <c r="E39" i="82" s="1"/>
  <c r="G35" i="82"/>
  <c r="I35" i="82" s="1"/>
  <c r="J59" i="81"/>
  <c r="J60" i="81" s="1"/>
  <c r="AR8" i="1"/>
  <c r="AQ8" i="1"/>
  <c r="T8" i="1"/>
  <c r="S16" i="1"/>
  <c r="E7" i="70"/>
  <c r="D113" i="43"/>
  <c r="J65" i="40"/>
  <c r="K63" i="40"/>
  <c r="E52" i="33"/>
  <c r="F52" i="33" s="1"/>
  <c r="I53" i="33"/>
  <c r="J53" i="33" s="1"/>
  <c r="E53" i="33"/>
  <c r="F53" i="33" s="1"/>
  <c r="H68" i="39"/>
  <c r="G70" i="39"/>
  <c r="C48" i="33"/>
  <c r="C49" i="33"/>
  <c r="B2" i="33" s="1"/>
  <c r="B3" i="33" s="1"/>
  <c r="AR7" i="1"/>
  <c r="T7" i="1"/>
  <c r="AQ7" i="1"/>
  <c r="C35" i="11"/>
  <c r="C38" i="11"/>
  <c r="F50" i="69"/>
  <c r="F50" i="11"/>
  <c r="F50" i="68"/>
  <c r="C15" i="12"/>
  <c r="C12" i="12"/>
  <c r="C35" i="68"/>
  <c r="C38" i="68"/>
  <c r="D10" i="68"/>
  <c r="D10" i="11"/>
  <c r="C10" i="11" s="1"/>
  <c r="D20" i="12"/>
  <c r="C20" i="12" s="1"/>
  <c r="D10" i="69"/>
  <c r="B2" i="21"/>
  <c r="B3" i="21" s="1"/>
  <c r="D17" i="12"/>
  <c r="C17" i="12" s="1"/>
  <c r="C14" i="12"/>
  <c r="C20" i="11"/>
  <c r="C25" i="11" s="1"/>
  <c r="B2" i="37"/>
  <c r="B3" i="37" s="1"/>
  <c r="I48" i="35"/>
  <c r="B2" i="34"/>
  <c r="B3" i="34" s="1"/>
  <c r="C7" i="74"/>
  <c r="C8" i="74"/>
  <c r="M27" i="6"/>
  <c r="I19" i="6"/>
  <c r="C33" i="80"/>
  <c r="C14" i="15"/>
  <c r="F41" i="81"/>
  <c r="C14" i="81"/>
  <c r="C14" i="80"/>
  <c r="H10" i="40" l="1"/>
  <c r="F10" i="40"/>
  <c r="J10" i="40"/>
  <c r="F69" i="81"/>
  <c r="J29" i="81"/>
  <c r="T10" i="43"/>
  <c r="V10" i="43" s="1"/>
  <c r="C22" i="11"/>
  <c r="C30" i="82"/>
  <c r="E30" i="82" s="1"/>
  <c r="C38" i="43"/>
  <c r="E38" i="43" s="1"/>
  <c r="G34" i="82"/>
  <c r="I34" i="82" s="1"/>
  <c r="G36" i="82"/>
  <c r="I36" i="82" s="1"/>
  <c r="T8" i="43"/>
  <c r="V8" i="43" s="1"/>
  <c r="C33" i="43"/>
  <c r="G33" i="43" s="1"/>
  <c r="I33" i="43" s="1"/>
  <c r="E33" i="82"/>
  <c r="C34" i="43"/>
  <c r="G34" i="43" s="1"/>
  <c r="I34" i="43" s="1"/>
  <c r="T7" i="43"/>
  <c r="V7" i="43" s="1"/>
  <c r="T16" i="43"/>
  <c r="V16" i="43" s="1"/>
  <c r="T5" i="43"/>
  <c r="V5" i="43" s="1"/>
  <c r="C35" i="43"/>
  <c r="G35" i="43" s="1"/>
  <c r="I35" i="43" s="1"/>
  <c r="E37" i="82"/>
  <c r="C29" i="43"/>
  <c r="E29" i="43" s="1"/>
  <c r="T3" i="43"/>
  <c r="V3" i="43" s="1"/>
  <c r="E38" i="82"/>
  <c r="T4" i="43"/>
  <c r="V4" i="43" s="1"/>
  <c r="T11" i="43"/>
  <c r="V11" i="43" s="1"/>
  <c r="T12" i="43"/>
  <c r="V12" i="43" s="1"/>
  <c r="T9" i="43"/>
  <c r="V9" i="43" s="1"/>
  <c r="T15" i="43"/>
  <c r="V15" i="43" s="1"/>
  <c r="T13" i="43"/>
  <c r="V13" i="43" s="1"/>
  <c r="T2" i="43"/>
  <c r="V2" i="43" s="1"/>
  <c r="T6" i="43"/>
  <c r="V6" i="43" s="1"/>
  <c r="C37" i="43"/>
  <c r="G37" i="43" s="1"/>
  <c r="I37" i="43" s="1"/>
  <c r="C36" i="43"/>
  <c r="E36" i="43" s="1"/>
  <c r="C19" i="67"/>
  <c r="C20" i="67" s="1"/>
  <c r="C26" i="67" s="1"/>
  <c r="C15" i="15"/>
  <c r="C18" i="15"/>
  <c r="E2" i="70"/>
  <c r="C18" i="81"/>
  <c r="C15" i="81"/>
  <c r="G39" i="82"/>
  <c r="I39" i="82" s="1"/>
  <c r="Q48" i="81"/>
  <c r="L46" i="81"/>
  <c r="T16" i="1"/>
  <c r="C18" i="80"/>
  <c r="C15" i="80"/>
  <c r="E39" i="43"/>
  <c r="L63" i="40"/>
  <c r="K65" i="40"/>
  <c r="I68" i="39"/>
  <c r="H70" i="39"/>
  <c r="C33" i="11"/>
  <c r="C39" i="11" s="1"/>
  <c r="C43" i="11" s="1"/>
  <c r="C28" i="11"/>
  <c r="C27" i="11" s="1"/>
  <c r="C16" i="12"/>
  <c r="S19" i="6"/>
  <c r="S27" i="6" s="1"/>
  <c r="I27" i="6"/>
  <c r="C10" i="69"/>
  <c r="C8" i="69" s="1"/>
  <c r="C5" i="69" s="1"/>
  <c r="D19" i="69"/>
  <c r="J48" i="35"/>
  <c r="C10" i="68"/>
  <c r="B29" i="1" s="1"/>
  <c r="C8" i="68" s="1"/>
  <c r="D19" i="68"/>
  <c r="S10" i="40" l="1"/>
  <c r="AA10" i="40"/>
  <c r="AC10" i="40"/>
  <c r="W10" i="40"/>
  <c r="AB10" i="40"/>
  <c r="U10" i="40"/>
  <c r="E34" i="43"/>
  <c r="G38" i="43"/>
  <c r="I38" i="43" s="1"/>
  <c r="C31" i="11"/>
  <c r="E33" i="43"/>
  <c r="E35" i="43"/>
  <c r="C27" i="82"/>
  <c r="G36" i="43"/>
  <c r="I36" i="43" s="1"/>
  <c r="C30" i="43"/>
  <c r="E30" i="43" s="1"/>
  <c r="C26" i="82"/>
  <c r="B2" i="82" s="1"/>
  <c r="E37" i="43"/>
  <c r="C19" i="15"/>
  <c r="C20" i="15" s="1"/>
  <c r="C23" i="67"/>
  <c r="C29" i="67" s="1"/>
  <c r="C19" i="81"/>
  <c r="C20" i="81" s="1"/>
  <c r="C19" i="80"/>
  <c r="C20" i="80" s="1"/>
  <c r="C26" i="80" s="1"/>
  <c r="C18" i="12"/>
  <c r="C21" i="12" s="1"/>
  <c r="C22" i="12" s="1"/>
  <c r="C27" i="12" s="1"/>
  <c r="C25" i="12" s="1"/>
  <c r="J68" i="39"/>
  <c r="I70" i="39"/>
  <c r="L65" i="40"/>
  <c r="M63" i="40"/>
  <c r="C42" i="11"/>
  <c r="C41" i="11" s="1"/>
  <c r="C46" i="11"/>
  <c r="C45" i="11" s="1"/>
  <c r="C19" i="68"/>
  <c r="D37" i="68"/>
  <c r="C37" i="68" s="1"/>
  <c r="C33" i="68" s="1"/>
  <c r="K48" i="35"/>
  <c r="C19" i="69"/>
  <c r="C24" i="69" s="1"/>
  <c r="D37" i="69"/>
  <c r="C37" i="69" s="1"/>
  <c r="C33" i="69" s="1"/>
  <c r="C23" i="69"/>
  <c r="B7" i="76"/>
  <c r="E7" i="76"/>
  <c r="C26" i="43" l="1"/>
  <c r="B2" i="43" s="1"/>
  <c r="C27" i="43"/>
  <c r="C23" i="15"/>
  <c r="C26" i="15"/>
  <c r="C33" i="67"/>
  <c r="C57" i="67"/>
  <c r="J19" i="67"/>
  <c r="C36" i="67"/>
  <c r="J14" i="67"/>
  <c r="C13" i="67"/>
  <c r="Q49" i="67"/>
  <c r="J59" i="67"/>
  <c r="J60" i="67" s="1"/>
  <c r="C26" i="81"/>
  <c r="C23" i="81"/>
  <c r="B3" i="82"/>
  <c r="C23" i="80"/>
  <c r="C29" i="80" s="1"/>
  <c r="J14" i="80" s="1"/>
  <c r="L57" i="80"/>
  <c r="L60" i="80" s="1"/>
  <c r="C30" i="12"/>
  <c r="C28" i="12" s="1"/>
  <c r="C32" i="12" s="1"/>
  <c r="B2" i="12" s="1"/>
  <c r="B3" i="12" s="1"/>
  <c r="M65" i="40"/>
  <c r="N63" i="40"/>
  <c r="J70" i="39"/>
  <c r="K68" i="39"/>
  <c r="C49" i="11"/>
  <c r="C51" i="11" s="1"/>
  <c r="C52" i="11" s="1"/>
  <c r="B2" i="11" s="1"/>
  <c r="B3" i="11" s="1"/>
  <c r="C20" i="69"/>
  <c r="C25" i="69" s="1"/>
  <c r="C22" i="69" s="1"/>
  <c r="C39" i="68"/>
  <c r="C43" i="68" s="1"/>
  <c r="C42" i="68"/>
  <c r="C39" i="69"/>
  <c r="C42" i="69"/>
  <c r="L48" i="35"/>
  <c r="C24" i="68"/>
  <c r="E6" i="76"/>
  <c r="B6" i="76"/>
  <c r="E2" i="76" l="1"/>
  <c r="C29" i="15"/>
  <c r="L46" i="67"/>
  <c r="Q48" i="67"/>
  <c r="C37" i="67"/>
  <c r="C56" i="67"/>
  <c r="C65" i="67" s="1"/>
  <c r="Q70" i="67"/>
  <c r="C75" i="67"/>
  <c r="C64" i="67"/>
  <c r="C61" i="67"/>
  <c r="J22" i="67"/>
  <c r="J13" i="67"/>
  <c r="J23" i="67" s="1"/>
  <c r="C29" i="81"/>
  <c r="C33" i="81" s="1"/>
  <c r="B2" i="76"/>
  <c r="B3" i="43"/>
  <c r="J59" i="80"/>
  <c r="J60" i="80" s="1"/>
  <c r="Q48" i="80" s="1"/>
  <c r="J19" i="80"/>
  <c r="Q49" i="80"/>
  <c r="C36" i="80"/>
  <c r="C13" i="80"/>
  <c r="C75" i="80" s="1"/>
  <c r="C57" i="80"/>
  <c r="C64" i="80" s="1"/>
  <c r="Q49" i="15"/>
  <c r="J13" i="80"/>
  <c r="J23" i="80" s="1"/>
  <c r="J22" i="80"/>
  <c r="L57" i="15"/>
  <c r="L60" i="15" s="1"/>
  <c r="Q66" i="80"/>
  <c r="Q57" i="80"/>
  <c r="L68" i="39"/>
  <c r="K70" i="39"/>
  <c r="O63" i="40"/>
  <c r="O65" i="40" s="1"/>
  <c r="N65" i="40"/>
  <c r="C28" i="69"/>
  <c r="C27" i="69" s="1"/>
  <c r="C31" i="69" s="1"/>
  <c r="C56" i="11"/>
  <c r="C57" i="11" s="1"/>
  <c r="C41" i="68"/>
  <c r="M48" i="35"/>
  <c r="N48" i="35" s="1"/>
  <c r="O48" i="35" s="1"/>
  <c r="H7" i="35"/>
  <c r="F7" i="35"/>
  <c r="C46" i="69"/>
  <c r="C45" i="69" s="1"/>
  <c r="C43" i="69"/>
  <c r="C41" i="69" s="1"/>
  <c r="J7" i="35"/>
  <c r="C46" i="68"/>
  <c r="C45" i="68" s="1"/>
  <c r="J14" i="15" l="1"/>
  <c r="J22" i="15" s="1"/>
  <c r="C33" i="15"/>
  <c r="J59" i="15"/>
  <c r="J60" i="15" s="1"/>
  <c r="Q48" i="15" s="1"/>
  <c r="C13" i="15"/>
  <c r="J19" i="15"/>
  <c r="C57" i="15"/>
  <c r="C61" i="15" s="1"/>
  <c r="C36" i="15"/>
  <c r="C57" i="81"/>
  <c r="C13" i="81"/>
  <c r="C36" i="81"/>
  <c r="Q49" i="81"/>
  <c r="J14" i="81"/>
  <c r="J19" i="81"/>
  <c r="B3" i="76"/>
  <c r="C56" i="80"/>
  <c r="C65" i="80" s="1"/>
  <c r="C61" i="80"/>
  <c r="C37" i="80"/>
  <c r="Q70" i="80"/>
  <c r="J13" i="15"/>
  <c r="J23" i="15" s="1"/>
  <c r="L46" i="80"/>
  <c r="Q66" i="15"/>
  <c r="Q57" i="15"/>
  <c r="H7" i="40"/>
  <c r="F7" i="40"/>
  <c r="J7" i="40"/>
  <c r="L70" i="39"/>
  <c r="M68" i="39"/>
  <c r="C49" i="68"/>
  <c r="C51" i="68" s="1"/>
  <c r="C49" i="69"/>
  <c r="C51" i="69" s="1"/>
  <c r="AA7" i="35"/>
  <c r="R38" i="35" s="1"/>
  <c r="S7" i="35"/>
  <c r="AC7" i="35"/>
  <c r="V38" i="35" s="1"/>
  <c r="I38" i="35" s="1"/>
  <c r="W7" i="35"/>
  <c r="AB7" i="35"/>
  <c r="T38" i="35" s="1"/>
  <c r="G38" i="35" s="1"/>
  <c r="U7" i="35"/>
  <c r="C37" i="15" l="1"/>
  <c r="F35" i="9"/>
  <c r="C64" i="15"/>
  <c r="L46" i="15"/>
  <c r="C75" i="15"/>
  <c r="Q70" i="15"/>
  <c r="C56" i="15"/>
  <c r="C65" i="15" s="1"/>
  <c r="J13" i="81"/>
  <c r="J23" i="81" s="1"/>
  <c r="J22" i="81"/>
  <c r="C64" i="81"/>
  <c r="C61" i="81"/>
  <c r="C75" i="81"/>
  <c r="C56" i="81"/>
  <c r="C65" i="81" s="1"/>
  <c r="Q70" i="81"/>
  <c r="C37" i="81"/>
  <c r="M70" i="39"/>
  <c r="N68" i="39"/>
  <c r="S7" i="40"/>
  <c r="AA7" i="40"/>
  <c r="R42" i="40" s="1"/>
  <c r="AC7" i="40"/>
  <c r="V42" i="40" s="1"/>
  <c r="I42" i="40" s="1"/>
  <c r="I46" i="40" s="1"/>
  <c r="J46" i="40" s="1"/>
  <c r="W7" i="40"/>
  <c r="U7" i="40"/>
  <c r="AB7" i="40"/>
  <c r="T42" i="40" s="1"/>
  <c r="G42" i="40" s="1"/>
  <c r="G42" i="35"/>
  <c r="H42" i="35" s="1"/>
  <c r="G43" i="35"/>
  <c r="H43" i="35" s="1"/>
  <c r="I42" i="35"/>
  <c r="J42" i="35" s="1"/>
  <c r="E38" i="35"/>
  <c r="I43" i="35" s="1"/>
  <c r="J43" i="35" s="1"/>
  <c r="R39" i="35"/>
  <c r="C52" i="69"/>
  <c r="B2" i="69" s="1"/>
  <c r="B3" i="69" s="1"/>
  <c r="O68" i="39" l="1"/>
  <c r="O70" i="39" s="1"/>
  <c r="N70" i="39"/>
  <c r="G47" i="40"/>
  <c r="H47" i="40" s="1"/>
  <c r="G46" i="40"/>
  <c r="H46" i="40" s="1"/>
  <c r="R43" i="40"/>
  <c r="E42" i="40"/>
  <c r="C57" i="69"/>
  <c r="C56" i="69" s="1"/>
  <c r="C38" i="35"/>
  <c r="C39" i="35"/>
  <c r="B2" i="35" s="1"/>
  <c r="B3" i="35" s="1"/>
  <c r="E43" i="35"/>
  <c r="F43" i="35" s="1"/>
  <c r="E42" i="35"/>
  <c r="F42" i="35" s="1"/>
  <c r="C43" i="40" l="1"/>
  <c r="C42" i="40"/>
  <c r="I47" i="40"/>
  <c r="J47" i="40" s="1"/>
  <c r="E46" i="40"/>
  <c r="F46" i="40" s="1"/>
  <c r="E47" i="40"/>
  <c r="F47" i="40" s="1"/>
  <c r="H7" i="39"/>
  <c r="F7" i="39"/>
  <c r="J7" i="39"/>
  <c r="AC7" i="39" l="1"/>
  <c r="V47" i="39" s="1"/>
  <c r="I47" i="39" s="1"/>
  <c r="W7" i="39"/>
  <c r="U7" i="39"/>
  <c r="AB7" i="39"/>
  <c r="T47" i="39" s="1"/>
  <c r="G47" i="39" s="1"/>
  <c r="S7" i="39"/>
  <c r="AA7" i="39"/>
  <c r="R47" i="39" s="1"/>
  <c r="B58" i="40"/>
  <c r="F58" i="40" s="1"/>
  <c r="B60" i="40"/>
  <c r="F60" i="40" s="1"/>
  <c r="B59" i="40"/>
  <c r="F59" i="40" s="1"/>
  <c r="B54" i="40"/>
  <c r="F54" i="40" s="1"/>
  <c r="B52" i="40"/>
  <c r="F52" i="40" s="1"/>
  <c r="B55" i="40"/>
  <c r="F55" i="40" s="1"/>
  <c r="B57" i="40"/>
  <c r="F57" i="40" s="1"/>
  <c r="B56" i="40"/>
  <c r="F56" i="40" s="1"/>
  <c r="B53" i="40"/>
  <c r="F53" i="40" s="1"/>
  <c r="B51" i="40"/>
  <c r="F51" i="40" s="1"/>
  <c r="I51" i="39" l="1"/>
  <c r="J51" i="39" s="1"/>
  <c r="R48" i="39"/>
  <c r="E47" i="39"/>
  <c r="G51" i="39"/>
  <c r="H51" i="39" s="1"/>
  <c r="G52" i="39"/>
  <c r="H52" i="39" s="1"/>
  <c r="C47" i="39" l="1"/>
  <c r="C48" i="39"/>
  <c r="E52" i="39"/>
  <c r="F52" i="39" s="1"/>
  <c r="E51" i="39"/>
  <c r="F51"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C6" i="68" s="1"/>
  <c r="B3" i="39" l="1"/>
  <c r="C7" i="68" l="1"/>
  <c r="C5" i="68" s="1"/>
  <c r="C23" i="68" l="1"/>
  <c r="C20" i="68"/>
  <c r="C25" i="68" s="1"/>
  <c r="C28" i="68" l="1"/>
  <c r="C27" i="68" s="1"/>
  <c r="C22" i="68"/>
  <c r="C31" i="68" l="1"/>
  <c r="C52" i="68" s="1"/>
  <c r="B2" i="68" s="1"/>
  <c r="C19" i="9"/>
  <c r="B3" i="68" l="1"/>
  <c r="C102" i="9"/>
  <c r="C57" i="68"/>
  <c r="C56" i="68" s="1"/>
  <c r="R46" i="78"/>
  <c r="B46" i="78" s="1"/>
  <c r="W56" i="78"/>
  <c r="W59" i="78" s="1"/>
  <c r="AN15" i="3"/>
  <c r="AC15" i="3"/>
  <c r="AC5" i="3" s="1"/>
  <c r="C20" i="9"/>
  <c r="C103" i="9" l="1"/>
  <c r="G15" i="3"/>
  <c r="AN5" i="3"/>
  <c r="R56" i="78"/>
  <c r="B56" i="78" l="1"/>
  <c r="B59" i="78" s="1"/>
  <c r="R59" i="78"/>
  <c r="G5" i="3"/>
  <c r="B3" i="3" s="1"/>
  <c r="E96" i="3" l="1"/>
  <c r="J6" i="3"/>
  <c r="AA6" i="3"/>
  <c r="E345" i="3"/>
  <c r="L6" i="3"/>
  <c r="E35" i="3"/>
  <c r="E242" i="3"/>
  <c r="E216" i="3"/>
  <c r="E425" i="3"/>
  <c r="E129" i="3"/>
  <c r="E419" i="3"/>
  <c r="E324" i="3"/>
  <c r="E538" i="3"/>
  <c r="E412" i="3"/>
  <c r="E372" i="3"/>
  <c r="E284" i="3"/>
  <c r="E119" i="3"/>
  <c r="E175" i="3"/>
  <c r="E445" i="3"/>
  <c r="E78" i="3"/>
  <c r="E391" i="3"/>
  <c r="E498" i="3"/>
  <c r="E271" i="3"/>
  <c r="E399" i="3"/>
  <c r="E66" i="3"/>
  <c r="E547" i="3"/>
  <c r="E535" i="3"/>
  <c r="E85" i="3"/>
  <c r="E411" i="3"/>
  <c r="AP6" i="3"/>
  <c r="E60" i="3"/>
  <c r="E323" i="3"/>
  <c r="E276" i="3"/>
  <c r="E401" i="3"/>
  <c r="E71" i="3"/>
  <c r="E507" i="3"/>
  <c r="E403" i="3"/>
  <c r="AL6" i="3"/>
  <c r="E493" i="3"/>
  <c r="Y6" i="3"/>
  <c r="E278" i="3"/>
  <c r="U6" i="3"/>
  <c r="E435" i="3"/>
  <c r="E56" i="3"/>
  <c r="E132" i="3"/>
  <c r="AR6" i="3"/>
  <c r="E18" i="3"/>
  <c r="AH6" i="3"/>
  <c r="E347" i="3"/>
  <c r="E485" i="3"/>
  <c r="E157" i="3"/>
  <c r="E566" i="3"/>
  <c r="E90" i="3"/>
  <c r="E259" i="3"/>
  <c r="E504" i="3"/>
  <c r="E521" i="3"/>
  <c r="E248" i="3"/>
  <c r="E181" i="3"/>
  <c r="E558" i="3"/>
  <c r="E88" i="3"/>
  <c r="E316" i="3"/>
  <c r="E467" i="3"/>
  <c r="E492" i="3"/>
  <c r="E355" i="3"/>
  <c r="E309" i="3"/>
  <c r="E268" i="3"/>
  <c r="E567" i="3"/>
  <c r="E311" i="3"/>
  <c r="AB6" i="3"/>
  <c r="E189" i="3"/>
  <c r="E77" i="3"/>
  <c r="E519" i="3"/>
  <c r="E458" i="3"/>
  <c r="E457" i="3"/>
  <c r="E571" i="3"/>
  <c r="E433" i="3"/>
  <c r="E111" i="3"/>
  <c r="E279" i="3"/>
  <c r="E392" i="3"/>
  <c r="E170" i="3"/>
  <c r="E75" i="3"/>
  <c r="E318" i="3"/>
  <c r="E139" i="3"/>
  <c r="E452" i="3"/>
  <c r="E512" i="3"/>
  <c r="E164" i="3"/>
  <c r="E321" i="3"/>
  <c r="E246" i="3"/>
  <c r="E319" i="3"/>
  <c r="E87" i="3"/>
  <c r="E44" i="3"/>
  <c r="E476" i="3"/>
  <c r="E431" i="3"/>
  <c r="E370" i="3"/>
  <c r="E213" i="3"/>
  <c r="E574" i="3"/>
  <c r="E314" i="3"/>
  <c r="E434" i="3"/>
  <c r="E136" i="3"/>
  <c r="E45" i="3"/>
  <c r="E575" i="3"/>
  <c r="E442" i="3"/>
  <c r="E449" i="3"/>
  <c r="E263" i="3"/>
  <c r="E229" i="3"/>
  <c r="E415" i="3"/>
  <c r="AF6" i="3"/>
  <c r="E20" i="3"/>
  <c r="E267" i="3"/>
  <c r="E488" i="3"/>
  <c r="E422" i="3"/>
  <c r="E530" i="3"/>
  <c r="E172" i="3"/>
  <c r="E585" i="3"/>
  <c r="E413" i="3"/>
  <c r="E187" i="3"/>
  <c r="E363" i="3"/>
  <c r="E76" i="3"/>
  <c r="E98" i="3"/>
  <c r="E563" i="3"/>
  <c r="E576" i="3"/>
  <c r="E531" i="3"/>
  <c r="E182" i="3"/>
  <c r="E572" i="3"/>
  <c r="E200" i="3"/>
  <c r="E67" i="3"/>
  <c r="E63" i="3"/>
  <c r="E125" i="3"/>
  <c r="N6" i="3"/>
  <c r="E352" i="3"/>
  <c r="E559" i="3"/>
  <c r="E320" i="3"/>
  <c r="E254" i="3"/>
  <c r="E167" i="3"/>
  <c r="Q6" i="3"/>
  <c r="E481" i="3"/>
  <c r="E344" i="3"/>
  <c r="E429" i="3"/>
  <c r="E55" i="3"/>
  <c r="E203" i="3"/>
  <c r="E274" i="3"/>
  <c r="E299" i="3"/>
  <c r="E79" i="3"/>
  <c r="E580" i="3"/>
  <c r="E243" i="3"/>
  <c r="E26" i="3"/>
  <c r="E360" i="3"/>
  <c r="E534" i="3"/>
  <c r="E61" i="3"/>
  <c r="S6" i="3"/>
  <c r="E426" i="3"/>
  <c r="E51" i="3"/>
  <c r="E142" i="3"/>
  <c r="E162" i="3"/>
  <c r="E327" i="3"/>
  <c r="E218" i="3"/>
  <c r="E528" i="3"/>
  <c r="E388" i="3"/>
  <c r="E143" i="3"/>
  <c r="E549" i="3"/>
  <c r="E196" i="3"/>
  <c r="E120" i="3"/>
  <c r="E312" i="3"/>
  <c r="E464" i="3"/>
  <c r="E459" i="3"/>
  <c r="E382" i="3"/>
  <c r="E396" i="3"/>
  <c r="E114" i="3"/>
  <c r="E80" i="3"/>
  <c r="E176" i="3"/>
  <c r="E86" i="3"/>
  <c r="E226" i="3"/>
  <c r="E185" i="3"/>
  <c r="E103" i="3"/>
  <c r="E247" i="3"/>
  <c r="E548" i="3"/>
  <c r="E491" i="3"/>
  <c r="E37" i="3"/>
  <c r="E192" i="3"/>
  <c r="E19" i="3"/>
  <c r="E42" i="3"/>
  <c r="E543" i="3"/>
  <c r="E179" i="3"/>
  <c r="E102" i="3"/>
  <c r="E105" i="3"/>
  <c r="E582" i="3"/>
  <c r="E131" i="3"/>
  <c r="E348" i="3"/>
  <c r="E58" i="3"/>
  <c r="E47" i="3"/>
  <c r="E326" i="3"/>
  <c r="E173" i="3"/>
  <c r="E581" i="3"/>
  <c r="E121" i="3"/>
  <c r="E334" i="3"/>
  <c r="E160" i="3"/>
  <c r="E84" i="3"/>
  <c r="E68" i="3"/>
  <c r="E21" i="3"/>
  <c r="E322" i="3"/>
  <c r="E461" i="3"/>
  <c r="E514" i="3"/>
  <c r="E387" i="3"/>
  <c r="E134" i="3"/>
  <c r="E253" i="3"/>
  <c r="E532" i="3"/>
  <c r="E474" i="3"/>
  <c r="E288" i="3"/>
  <c r="E537" i="3"/>
  <c r="E475" i="3"/>
  <c r="E168" i="3"/>
  <c r="E257" i="3"/>
  <c r="E339" i="3"/>
  <c r="E38" i="3"/>
  <c r="E93" i="3"/>
  <c r="E357" i="3"/>
  <c r="E115" i="3"/>
  <c r="E13" i="3"/>
  <c r="E456" i="3"/>
  <c r="E252" i="3"/>
  <c r="E418" i="3"/>
  <c r="X6" i="3"/>
  <c r="E373" i="3"/>
  <c r="E584" i="3"/>
  <c r="E331" i="3"/>
  <c r="E505" i="3"/>
  <c r="E123" i="3"/>
  <c r="E237" i="3"/>
  <c r="E17" i="3"/>
  <c r="E359" i="3"/>
  <c r="E511" i="3"/>
  <c r="E306" i="3"/>
  <c r="E236" i="3"/>
  <c r="E224" i="3"/>
  <c r="E499" i="3"/>
  <c r="E466" i="3"/>
  <c r="E255" i="3"/>
  <c r="E423" i="3"/>
  <c r="E569" i="3"/>
  <c r="E495" i="3"/>
  <c r="E346" i="3"/>
  <c r="E207" i="3"/>
  <c r="E354" i="3"/>
  <c r="E275" i="3"/>
  <c r="E40" i="3"/>
  <c r="E428" i="3"/>
  <c r="E440" i="3"/>
  <c r="E343" i="3"/>
  <c r="E99" i="3"/>
  <c r="E333" i="3"/>
  <c r="E145" i="3"/>
  <c r="E108" i="3"/>
  <c r="E291" i="3"/>
  <c r="E376" i="3"/>
  <c r="E393" i="3"/>
  <c r="E342" i="3"/>
  <c r="E380" i="3"/>
  <c r="AM6" i="3"/>
  <c r="E383" i="3"/>
  <c r="E94" i="3"/>
  <c r="E178" i="3"/>
  <c r="E486" i="3"/>
  <c r="E439" i="3"/>
  <c r="E82" i="3"/>
  <c r="E317" i="3"/>
  <c r="E62" i="3"/>
  <c r="E303" i="3"/>
  <c r="E379" i="3"/>
  <c r="E432" i="3"/>
  <c r="E517" i="3"/>
  <c r="E427" i="3"/>
  <c r="E34" i="3"/>
  <c r="E174" i="3"/>
  <c r="E270" i="3"/>
  <c r="E43" i="3"/>
  <c r="E280" i="3"/>
  <c r="E220" i="3"/>
  <c r="E463" i="3"/>
  <c r="E533" i="3"/>
  <c r="E92" i="3"/>
  <c r="E228" i="3"/>
  <c r="E367" i="3"/>
  <c r="E417" i="3"/>
  <c r="E95" i="3"/>
  <c r="E258" i="3"/>
  <c r="E126" i="3"/>
  <c r="E332" i="3"/>
  <c r="E161" i="3"/>
  <c r="E307" i="3"/>
  <c r="E579" i="3"/>
  <c r="E515" i="3"/>
  <c r="E460" i="3"/>
  <c r="E155" i="3"/>
  <c r="E378" i="3"/>
  <c r="E110" i="3"/>
  <c r="E65" i="3"/>
  <c r="E509" i="3"/>
  <c r="AG6" i="3"/>
  <c r="E444" i="3"/>
  <c r="E166" i="3"/>
  <c r="E30" i="3"/>
  <c r="E249" i="3"/>
  <c r="E33" i="3"/>
  <c r="E81" i="3"/>
  <c r="E217" i="3"/>
  <c r="AJ6" i="3"/>
  <c r="E227" i="3"/>
  <c r="E570" i="3"/>
  <c r="E335" i="3"/>
  <c r="E91" i="3"/>
  <c r="E199" i="3"/>
  <c r="E573" i="3"/>
  <c r="E527" i="3"/>
  <c r="E562" i="3"/>
  <c r="E450" i="3"/>
  <c r="E72" i="3"/>
  <c r="E150" i="3"/>
  <c r="E112" i="3"/>
  <c r="E219" i="3"/>
  <c r="E455" i="3"/>
  <c r="E31" i="3"/>
  <c r="E351" i="3"/>
  <c r="E104" i="3"/>
  <c r="E556" i="3"/>
  <c r="T6" i="3"/>
  <c r="E290" i="3"/>
  <c r="E523" i="3"/>
  <c r="E328" i="3"/>
  <c r="E154" i="3"/>
  <c r="E266" i="3"/>
  <c r="E186" i="3"/>
  <c r="AO6" i="3"/>
  <c r="E50" i="3"/>
  <c r="E304" i="3"/>
  <c r="E302" i="3"/>
  <c r="E285" i="3"/>
  <c r="E16" i="3"/>
  <c r="E296" i="3"/>
  <c r="E269" i="3"/>
  <c r="E193" i="3"/>
  <c r="R6" i="3"/>
  <c r="E541" i="3"/>
  <c r="I3" i="6"/>
  <c r="AI6" i="3"/>
  <c r="E239" i="3"/>
  <c r="E340" i="3"/>
  <c r="E287" i="3"/>
  <c r="E135" i="3"/>
  <c r="E522" i="3"/>
  <c r="E202" i="3"/>
  <c r="E231" i="3"/>
  <c r="E29" i="3"/>
  <c r="E159" i="3"/>
  <c r="E477" i="3"/>
  <c r="E39" i="3"/>
  <c r="E241" i="3"/>
  <c r="E389" i="3"/>
  <c r="E462" i="3"/>
  <c r="E163" i="3"/>
  <c r="E301" i="3"/>
  <c r="E443" i="3"/>
  <c r="E28" i="3"/>
  <c r="E273" i="3"/>
  <c r="E484" i="3"/>
  <c r="E310" i="3"/>
  <c r="E233" i="3"/>
  <c r="E283" i="3"/>
  <c r="E553" i="3"/>
  <c r="E545" i="3"/>
  <c r="E128" i="3"/>
  <c r="V6" i="3"/>
  <c r="E230" i="3"/>
  <c r="E149" i="3"/>
  <c r="E330" i="3"/>
  <c r="E437" i="3"/>
  <c r="E424" i="3"/>
  <c r="AE6" i="3"/>
  <c r="E496" i="3"/>
  <c r="E73" i="3"/>
  <c r="E256" i="3"/>
  <c r="AQ6" i="3"/>
  <c r="E137" i="3"/>
  <c r="E32" i="3"/>
  <c r="E394" i="3"/>
  <c r="E198" i="3"/>
  <c r="E494" i="3"/>
  <c r="E469" i="3"/>
  <c r="E204" i="3"/>
  <c r="E338" i="3"/>
  <c r="E336" i="3"/>
  <c r="E53" i="3"/>
  <c r="E24" i="3"/>
  <c r="E384" i="3"/>
  <c r="AS6" i="3"/>
  <c r="E69" i="3"/>
  <c r="E113" i="3"/>
  <c r="E361" i="3"/>
  <c r="E410" i="3"/>
  <c r="E568" i="3"/>
  <c r="E368" i="3"/>
  <c r="E148" i="3"/>
  <c r="E177" i="3"/>
  <c r="E552" i="3"/>
  <c r="E398" i="3"/>
  <c r="E188" i="3"/>
  <c r="E518" i="3"/>
  <c r="E550" i="3"/>
  <c r="E365" i="3"/>
  <c r="E83" i="3"/>
  <c r="E48" i="3"/>
  <c r="E482" i="3"/>
  <c r="E490" i="3"/>
  <c r="E305" i="3"/>
  <c r="E197" i="3"/>
  <c r="E116" i="3"/>
  <c r="E554" i="3"/>
  <c r="E479" i="3"/>
  <c r="E152" i="3"/>
  <c r="E564" i="3"/>
  <c r="E235" i="3"/>
  <c r="E25" i="3"/>
  <c r="E561" i="3"/>
  <c r="E272" i="3"/>
  <c r="E402" i="3"/>
  <c r="E414" i="3"/>
  <c r="E436" i="3"/>
  <c r="E297" i="3"/>
  <c r="E375" i="3"/>
  <c r="E540" i="3"/>
  <c r="E195" i="3"/>
  <c r="E586" i="3"/>
  <c r="P6" i="3"/>
  <c r="E404" i="3"/>
  <c r="E295" i="3"/>
  <c r="E480" i="3"/>
  <c r="E371" i="3"/>
  <c r="E184" i="3"/>
  <c r="E264" i="3"/>
  <c r="E526" i="3"/>
  <c r="E539" i="3"/>
  <c r="E165" i="3"/>
  <c r="M6" i="3"/>
  <c r="E215" i="3"/>
  <c r="E180" i="3"/>
  <c r="E313" i="3"/>
  <c r="E529" i="3"/>
  <c r="E438" i="3"/>
  <c r="W6" i="3"/>
  <c r="E471" i="3"/>
  <c r="E54" i="3"/>
  <c r="E208" i="3"/>
  <c r="E52" i="3"/>
  <c r="E194" i="3"/>
  <c r="E473" i="3"/>
  <c r="E14" i="3"/>
  <c r="E281" i="3"/>
  <c r="E420" i="3"/>
  <c r="E451" i="3"/>
  <c r="E525" i="3"/>
  <c r="E169" i="3"/>
  <c r="E390" i="3"/>
  <c r="E153" i="3"/>
  <c r="E341" i="3"/>
  <c r="E64" i="3"/>
  <c r="E27" i="3"/>
  <c r="E140" i="3"/>
  <c r="E101" i="3"/>
  <c r="E565" i="3"/>
  <c r="O6" i="3"/>
  <c r="E97" i="3"/>
  <c r="AK6" i="3"/>
  <c r="E262" i="3"/>
  <c r="E89" i="3"/>
  <c r="E286" i="3"/>
  <c r="E502" i="3"/>
  <c r="E430" i="3"/>
  <c r="E191" i="3"/>
  <c r="E385" i="3"/>
  <c r="E260" i="3"/>
  <c r="E232" i="3"/>
  <c r="E206" i="3"/>
  <c r="E289" i="3"/>
  <c r="Z6" i="3"/>
  <c r="E356" i="3"/>
  <c r="E107" i="3"/>
  <c r="E127" i="3"/>
  <c r="E353" i="3"/>
  <c r="E478" i="3"/>
  <c r="E520" i="3"/>
  <c r="E240" i="3"/>
  <c r="E349" i="3"/>
  <c r="E59" i="3"/>
  <c r="E138" i="3"/>
  <c r="E201" i="3"/>
  <c r="E448" i="3"/>
  <c r="E489" i="3"/>
  <c r="E211" i="3"/>
  <c r="E109" i="3"/>
  <c r="E300" i="3"/>
  <c r="E144" i="3"/>
  <c r="E118" i="3"/>
  <c r="E366" i="3"/>
  <c r="E329" i="3"/>
  <c r="E205" i="3"/>
  <c r="E551" i="3"/>
  <c r="E294" i="3"/>
  <c r="E221" i="3"/>
  <c r="E141" i="3"/>
  <c r="E560" i="3"/>
  <c r="E406" i="3"/>
  <c r="E587" i="3"/>
  <c r="E468" i="3"/>
  <c r="E106" i="3"/>
  <c r="E171" i="3"/>
  <c r="E36" i="3"/>
  <c r="E234" i="3"/>
  <c r="E409" i="3"/>
  <c r="E362" i="3"/>
  <c r="E225" i="3"/>
  <c r="E470" i="3"/>
  <c r="E408" i="3"/>
  <c r="E369" i="3"/>
  <c r="E298" i="3"/>
  <c r="E293" i="3"/>
  <c r="E501" i="3"/>
  <c r="E250" i="3"/>
  <c r="E441" i="3"/>
  <c r="E447" i="3"/>
  <c r="E350" i="3"/>
  <c r="E49" i="3"/>
  <c r="E183" i="3"/>
  <c r="E555" i="3"/>
  <c r="E397" i="3"/>
  <c r="E453" i="3"/>
  <c r="E156" i="3"/>
  <c r="E277" i="3"/>
  <c r="E542" i="3"/>
  <c r="E487" i="3"/>
  <c r="E374" i="3"/>
  <c r="E578" i="3"/>
  <c r="E516" i="3"/>
  <c r="E308" i="3"/>
  <c r="E251" i="3"/>
  <c r="E364" i="3"/>
  <c r="AD6" i="3"/>
  <c r="E158" i="3"/>
  <c r="E265" i="3"/>
  <c r="E508" i="3"/>
  <c r="E190" i="3"/>
  <c r="E483" i="3"/>
  <c r="E124" i="3"/>
  <c r="E546" i="3"/>
  <c r="E238" i="3"/>
  <c r="E500" i="3"/>
  <c r="E57" i="3"/>
  <c r="E292" i="3"/>
  <c r="E544" i="3"/>
  <c r="E446" i="3"/>
  <c r="E209" i="3"/>
  <c r="E223" i="3"/>
  <c r="E557" i="3"/>
  <c r="E70" i="3"/>
  <c r="E377" i="3"/>
  <c r="E46" i="3"/>
  <c r="E23" i="3"/>
  <c r="E381" i="3"/>
  <c r="E513" i="3"/>
  <c r="E282" i="3"/>
  <c r="E510" i="3"/>
  <c r="E358" i="3"/>
  <c r="E407" i="3"/>
  <c r="E130" i="3"/>
  <c r="E212" i="3"/>
  <c r="K6" i="3"/>
  <c r="E472" i="3"/>
  <c r="E465" i="3"/>
  <c r="E577" i="3"/>
  <c r="E454" i="3"/>
  <c r="E146" i="3"/>
  <c r="E214" i="3"/>
  <c r="E325" i="3"/>
  <c r="E100" i="3"/>
  <c r="E74" i="3"/>
  <c r="E315" i="3"/>
  <c r="E41" i="3"/>
  <c r="E497" i="3"/>
  <c r="E405" i="3"/>
  <c r="E117" i="3"/>
  <c r="E506" i="3"/>
  <c r="E583" i="3"/>
  <c r="E222" i="3"/>
  <c r="E386" i="3"/>
  <c r="E210" i="3"/>
  <c r="E400" i="3"/>
  <c r="E147" i="3"/>
  <c r="E261" i="3"/>
  <c r="E503" i="3"/>
  <c r="E337" i="3"/>
  <c r="E536" i="3"/>
  <c r="E244" i="3"/>
  <c r="E122" i="3"/>
  <c r="E133" i="3"/>
  <c r="E421" i="3"/>
  <c r="E416" i="3"/>
  <c r="E245" i="3"/>
  <c r="E151" i="3"/>
  <c r="E395" i="3"/>
  <c r="E22" i="3"/>
  <c r="E524" i="3"/>
  <c r="I6" i="3"/>
  <c r="AY6" i="3"/>
  <c r="E15" i="3"/>
  <c r="AN6" i="3"/>
  <c r="H6" i="3" l="1"/>
  <c r="AY50" i="3"/>
  <c r="AY289" i="3"/>
  <c r="AY261"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566" i="3"/>
  <c r="AY155" i="3"/>
  <c r="AY268" i="3"/>
  <c r="AY106" i="3"/>
  <c r="AY452" i="3"/>
  <c r="AY77" i="3"/>
  <c r="AY149" i="3"/>
  <c r="AY392" i="3"/>
  <c r="AY197" i="3"/>
  <c r="AY317" i="3"/>
  <c r="AY581" i="3"/>
  <c r="AY514" i="3"/>
  <c r="AY282" i="3"/>
  <c r="AY484" i="3"/>
  <c r="AY502" i="3"/>
  <c r="AY187" i="3"/>
  <c r="AY314" i="3"/>
  <c r="AY70" i="3"/>
  <c r="AY367" i="3"/>
  <c r="AY498" i="3"/>
  <c r="AY42" i="3"/>
  <c r="AY366" i="3"/>
  <c r="AY260" i="3"/>
  <c r="AY549" i="3"/>
  <c r="AY44" i="3"/>
  <c r="AY283" i="3"/>
  <c r="AY360" i="3"/>
  <c r="AY295" i="3"/>
  <c r="AY475" i="3"/>
  <c r="AY534" i="3"/>
  <c r="AY65" i="3"/>
  <c r="AY380" i="3"/>
  <c r="AY426" i="3"/>
  <c r="AY570" i="3"/>
  <c r="AY285" i="3"/>
  <c r="AY437" i="3"/>
  <c r="AY148" i="3"/>
  <c r="AY490"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66" i="3"/>
  <c r="AY276" i="3"/>
  <c r="AY470" i="3"/>
  <c r="AY358" i="3"/>
  <c r="AY541" i="3"/>
  <c r="AY201" i="3"/>
  <c r="AY231" i="3"/>
  <c r="AY104" i="3"/>
  <c r="AY210" i="3"/>
  <c r="AY446" i="3"/>
  <c r="AY510" i="3"/>
  <c r="AY189" i="3"/>
  <c r="AY313" i="3"/>
  <c r="AY579" i="3"/>
  <c r="AY35" i="3"/>
  <c r="AY331" i="3"/>
  <c r="AY86" i="3"/>
  <c r="AY213" i="3"/>
  <c r="AY504" i="3"/>
  <c r="AY95" i="3"/>
  <c r="AY382" i="3"/>
  <c r="AY300" i="3"/>
  <c r="AY401" i="3"/>
  <c r="AY76" i="3"/>
  <c r="AY125" i="3"/>
  <c r="AY374" i="3"/>
  <c r="AY145" i="3"/>
  <c r="AY316" i="3"/>
  <c r="AY585" i="3"/>
  <c r="AY101" i="3"/>
  <c r="AY234" i="3"/>
  <c r="AY458" i="3"/>
  <c r="AY542" i="3"/>
  <c r="AY135" i="3"/>
  <c r="AY456" i="3"/>
  <c r="AY184" i="3"/>
  <c r="AY338" i="3"/>
  <c r="AY196" i="3"/>
  <c r="AY204"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59" i="3"/>
  <c r="AY371" i="3"/>
  <c r="AY245" i="3"/>
  <c r="AY513" i="3"/>
  <c r="AY60" i="3"/>
  <c r="AY299" i="3"/>
  <c r="AY357" i="3"/>
  <c r="AY114" i="3"/>
  <c r="AY491" i="3"/>
  <c r="AY561" i="3"/>
  <c r="AY96" i="3"/>
  <c r="AY223" i="3"/>
  <c r="AY442" i="3"/>
  <c r="BR6" i="3"/>
  <c r="AY127" i="3"/>
  <c r="AY424" i="3"/>
  <c r="AY179" i="3"/>
  <c r="AY306" i="3"/>
  <c r="AY51" i="3"/>
  <c r="AY281" i="3"/>
  <c r="AY473" i="3"/>
  <c r="AY372" i="3"/>
  <c r="AY533" i="3"/>
  <c r="AY190" i="3"/>
  <c r="AY247" i="3"/>
  <c r="AY103" i="3"/>
  <c r="AY160" i="3"/>
  <c r="AY183" i="3"/>
  <c r="AY284" i="3"/>
  <c r="AY139"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3" i="3"/>
  <c r="AY131" i="3"/>
  <c r="AY318" i="3"/>
  <c r="AY395" i="3"/>
  <c r="AY569" i="3"/>
  <c r="AY206" i="3"/>
  <c r="AY263" i="3"/>
  <c r="BJ6" i="3"/>
  <c r="AY274" i="3"/>
  <c r="AY457" i="3"/>
  <c r="AY546" i="3"/>
  <c r="AY37" i="3"/>
  <c r="AY345" i="3"/>
  <c r="AY423" i="3"/>
  <c r="BA6" i="3"/>
  <c r="AY264" i="3"/>
  <c r="AY517" i="3"/>
  <c r="AY119" i="3"/>
  <c r="AY416" i="3"/>
  <c r="AY207" i="3"/>
  <c r="AY168" i="3"/>
  <c r="AY441" i="3"/>
  <c r="AY310" i="3"/>
  <c r="AY97" i="3"/>
  <c r="AY154" i="3"/>
  <c r="AY230" i="3"/>
  <c r="AY56" i="3"/>
  <c r="AY353" i="3"/>
  <c r="AY398" i="3"/>
  <c r="AY501" i="3"/>
  <c r="AY137" i="3"/>
  <c r="AY312" i="3"/>
  <c r="AY14" i="3"/>
  <c r="AY46" i="3"/>
  <c r="AY362" i="3"/>
  <c r="AY91" i="3"/>
  <c r="AY224" i="3"/>
  <c r="AY511"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15" i="3"/>
  <c r="AY225" i="3"/>
  <c r="AY180" i="3"/>
  <c r="AY433" i="3"/>
  <c r="AY45" i="3"/>
  <c r="AY118" i="3"/>
  <c r="AY381" i="3"/>
  <c r="AY177" i="3"/>
  <c r="AY332" i="3"/>
  <c r="BM6" i="3"/>
  <c r="AY519" i="3"/>
  <c r="AY266" i="3"/>
  <c r="AY453" i="3"/>
  <c r="AY531" i="3"/>
  <c r="AY280" i="3"/>
  <c r="AY405" i="3"/>
  <c r="AY159" i="3"/>
  <c r="AY459" i="3"/>
  <c r="AY34" i="3"/>
  <c r="AY111" i="3"/>
  <c r="AY460" i="3"/>
  <c r="AY327" i="3"/>
  <c r="BE6" i="3"/>
  <c r="AY185" i="3"/>
  <c r="AY262" i="3"/>
  <c r="AY73" i="3"/>
  <c r="AY388" i="3"/>
  <c r="AY430" i="3"/>
  <c r="BG6" i="3"/>
  <c r="AY158" i="3"/>
  <c r="AY344" i="3"/>
  <c r="AY506" i="3"/>
  <c r="AY63" i="3"/>
  <c r="AY378" i="3"/>
  <c r="BL6" i="3"/>
  <c r="AY241" i="3"/>
  <c r="BD6" i="3"/>
  <c r="AY74"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23" i="3"/>
  <c r="AY58" i="3"/>
  <c r="AY428" i="3"/>
  <c r="AY342" i="3"/>
  <c r="AY553" i="3"/>
  <c r="AY170" i="3"/>
  <c r="AY246" i="3"/>
  <c r="AY41" i="3"/>
  <c r="AY377" i="3"/>
  <c r="AY414" i="3"/>
  <c r="AY16" i="3"/>
  <c r="AY169" i="3"/>
  <c r="AY328" i="3"/>
  <c r="AY499" i="3"/>
  <c r="AY78" i="3"/>
  <c r="AY376" i="3"/>
  <c r="AY587" i="3"/>
  <c r="AY256" i="3"/>
  <c r="BC6" i="3"/>
  <c r="AY124" i="3"/>
  <c r="AY236" i="3"/>
  <c r="AY26" i="3"/>
  <c r="AY420" i="3"/>
  <c r="AY61" i="3"/>
  <c r="AY133" i="3"/>
  <c r="AY397" i="3"/>
  <c r="AY109" i="3"/>
  <c r="AY242" i="3"/>
  <c r="AY462" i="3"/>
  <c r="AY495" i="3"/>
  <c r="AY194" i="3"/>
  <c r="AY329" i="3"/>
  <c r="AY407" i="3"/>
  <c r="AY99" i="3"/>
  <c r="AY232" i="3"/>
  <c r="AY560" i="3"/>
  <c r="AY277" i="3"/>
  <c r="AY429"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76" i="3"/>
  <c r="AY297" i="3"/>
  <c r="AY409" i="3"/>
  <c r="AY465" i="3"/>
  <c r="AY108" i="3"/>
  <c r="AY138" i="3"/>
  <c r="AY214" i="3"/>
  <c r="AY24" i="3"/>
  <c r="AY349" i="3"/>
  <c r="AY427" i="3"/>
  <c r="AY584" i="3"/>
  <c r="AY129" i="3"/>
  <c r="AY487" i="3"/>
  <c r="AY509" i="3"/>
  <c r="AY167" i="3"/>
  <c r="AY466" i="3"/>
  <c r="AY27" i="3"/>
  <c r="AY323" i="3"/>
  <c r="AY87" i="3"/>
  <c r="AY152" i="3"/>
  <c r="AY303" i="3"/>
  <c r="AY217" i="3"/>
  <c r="AY544" i="3"/>
  <c r="AY33" i="3"/>
  <c r="AY278" i="3"/>
  <c r="BH6" i="3"/>
  <c r="AY259" i="3"/>
  <c r="AY472" i="3"/>
  <c r="AY571" i="3"/>
  <c r="AY48" i="3"/>
  <c r="AY364" i="3"/>
  <c r="AY439" i="3"/>
  <c r="AY578" i="3"/>
  <c r="AY249" i="3"/>
  <c r="AY558" i="3"/>
  <c r="AY128" i="3"/>
  <c r="AY448" i="3"/>
  <c r="AY166" i="3"/>
  <c r="AY348" i="3"/>
  <c r="BQ6" i="3"/>
  <c r="AY582" i="3"/>
  <c r="AY251" i="3"/>
  <c r="AY468" i="3"/>
  <c r="AY565" i="3"/>
  <c r="AY156" i="3"/>
  <c r="AY469" i="3"/>
  <c r="AY38" i="3"/>
  <c r="AY354"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88" i="3"/>
  <c r="AY335" i="3"/>
  <c r="AY228" i="3"/>
  <c r="BK6" i="3"/>
  <c r="AY28" i="3"/>
  <c r="AY294" i="3"/>
  <c r="AY554" i="3"/>
  <c r="AY290" i="3"/>
  <c r="AY488" i="3"/>
  <c r="BF6" i="3"/>
  <c r="AY80" i="3"/>
  <c r="AY369" i="3"/>
  <c r="AY410" i="3"/>
  <c r="AY94" i="3"/>
  <c r="AY221" i="3"/>
  <c r="AY512" i="3"/>
  <c r="AY273" i="3"/>
  <c r="AY550" i="3"/>
  <c r="AY144" i="3"/>
  <c r="AY253" i="3"/>
  <c r="AY529" i="3"/>
  <c r="AY463" i="3"/>
  <c r="AY92" i="3"/>
  <c r="AY165" i="3"/>
  <c r="AY219" i="3"/>
  <c r="AY202" i="3"/>
  <c r="AY333" i="3"/>
  <c r="AY411" i="3"/>
  <c r="AY494" i="3"/>
  <c r="AY287" i="3"/>
  <c r="AY471" i="3"/>
  <c r="AY524" i="3"/>
  <c r="AY192" i="3"/>
  <c r="AY346" i="3"/>
  <c r="AY55" i="3"/>
  <c r="AY391" i="3"/>
  <c r="AY586" i="3"/>
  <c r="D3" i="6"/>
  <c r="AC6" i="3"/>
  <c r="E6" i="3" s="1"/>
  <c r="H23" i="6" l="1"/>
  <c r="H22" i="6"/>
  <c r="H25" i="6"/>
  <c r="D9" i="6"/>
  <c r="D11" i="6"/>
  <c r="D29" i="6"/>
  <c r="D12" i="6"/>
  <c r="D15" i="6"/>
  <c r="D28" i="6"/>
  <c r="D24" i="6"/>
  <c r="D25" i="6"/>
  <c r="M19" i="9"/>
  <c r="C118" i="9" s="1"/>
  <c r="C14" i="74" s="1"/>
  <c r="B2" i="74" s="1"/>
  <c r="D21" i="6"/>
  <c r="D8" i="6"/>
  <c r="D26" i="6"/>
  <c r="D23" i="6"/>
  <c r="D5" i="6"/>
  <c r="D10" i="6"/>
  <c r="D14" i="6"/>
  <c r="H26" i="6"/>
  <c r="H20" i="6"/>
  <c r="D6" i="6"/>
  <c r="H24" i="6"/>
  <c r="D13" i="6"/>
  <c r="H21" i="6"/>
  <c r="C18" i="4"/>
  <c r="H19" i="6"/>
  <c r="D22" i="6"/>
  <c r="R22" i="6" s="1"/>
  <c r="D20" i="6"/>
  <c r="R20" i="6" s="1"/>
  <c r="R7" i="1" s="1"/>
  <c r="E61" i="40"/>
  <c r="F61" i="40" s="1"/>
  <c r="B2" i="40" s="1"/>
  <c r="B3" i="40" s="1"/>
  <c r="L19" i="9"/>
  <c r="C21" i="9" s="1"/>
  <c r="D19" i="6"/>
  <c r="M21" i="80"/>
  <c r="M21" i="67"/>
  <c r="F35" i="80"/>
  <c r="F35" i="67"/>
  <c r="F63" i="67" l="1"/>
  <c r="C62" i="67" s="1"/>
  <c r="C59" i="67" s="1"/>
  <c r="C58" i="67" s="1"/>
  <c r="C67" i="67" s="1"/>
  <c r="C68" i="67" s="1"/>
  <c r="C34" i="67"/>
  <c r="C31" i="67" s="1"/>
  <c r="C30" i="67" s="1"/>
  <c r="C39" i="67" s="1"/>
  <c r="J20" i="67"/>
  <c r="J17" i="67" s="1"/>
  <c r="J16" i="67" s="1"/>
  <c r="J25" i="67" s="1"/>
  <c r="R25" i="6"/>
  <c r="R23" i="6"/>
  <c r="H27" i="6"/>
  <c r="D30" i="6"/>
  <c r="J20" i="80"/>
  <c r="J17" i="80" s="1"/>
  <c r="J16" i="80" s="1"/>
  <c r="J25" i="80" s="1"/>
  <c r="F63" i="80"/>
  <c r="C62" i="80" s="1"/>
  <c r="C59" i="80" s="1"/>
  <c r="C58" i="80" s="1"/>
  <c r="C67" i="80" s="1"/>
  <c r="C68" i="80" s="1"/>
  <c r="C34" i="80"/>
  <c r="C31" i="80" s="1"/>
  <c r="C30" i="80" s="1"/>
  <c r="C39" i="80" s="1"/>
  <c r="D27" i="6"/>
  <c r="D31" i="6" s="1"/>
  <c r="R19" i="6"/>
  <c r="A7" i="51"/>
  <c r="B7" i="72" s="1"/>
  <c r="C4" i="52"/>
  <c r="B45" i="72" s="1"/>
  <c r="A10" i="51"/>
  <c r="B9" i="72" s="1"/>
  <c r="D16" i="6"/>
  <c r="D8" i="74"/>
  <c r="D7" i="74"/>
  <c r="R24" i="6"/>
  <c r="R26" i="6"/>
  <c r="R21" i="6"/>
  <c r="R8" i="1" s="1"/>
  <c r="L51" i="80"/>
  <c r="L51" i="67"/>
  <c r="L57" i="67" l="1"/>
  <c r="L60" i="67" s="1"/>
  <c r="Q67" i="67"/>
  <c r="Q69" i="67"/>
  <c r="Q68" i="67" s="1"/>
  <c r="C40" i="67"/>
  <c r="C45" i="67" s="1"/>
  <c r="C46" i="67" s="1"/>
  <c r="C80" i="67"/>
  <c r="C79" i="67" s="1"/>
  <c r="C71" i="67"/>
  <c r="Q67" i="80"/>
  <c r="I6" i="6"/>
  <c r="I5" i="6"/>
  <c r="C71" i="80"/>
  <c r="R27" i="6"/>
  <c r="R6" i="1"/>
  <c r="Q69" i="80"/>
  <c r="Q68" i="80" s="1"/>
  <c r="C80" i="80"/>
  <c r="C79" i="80" s="1"/>
  <c r="C40" i="80"/>
  <c r="F35" i="81"/>
  <c r="M21" i="15"/>
  <c r="M21" i="81"/>
  <c r="F35" i="15"/>
  <c r="Q47" i="67" l="1"/>
  <c r="Q53" i="67" s="1"/>
  <c r="C43" i="67"/>
  <c r="C83" i="67"/>
  <c r="C82" i="67" s="1"/>
  <c r="Q56" i="67"/>
  <c r="Q65" i="67"/>
  <c r="D2" i="67"/>
  <c r="Q66" i="67"/>
  <c r="Q57" i="67"/>
  <c r="Q62" i="67" s="1"/>
  <c r="J20" i="81"/>
  <c r="J17" i="81" s="1"/>
  <c r="J16" i="81" s="1"/>
  <c r="J25" i="81" s="1"/>
  <c r="F63" i="81"/>
  <c r="C62" i="81" s="1"/>
  <c r="C59" i="81" s="1"/>
  <c r="C58" i="81" s="1"/>
  <c r="C67" i="81" s="1"/>
  <c r="C68" i="81" s="1"/>
  <c r="C34" i="81"/>
  <c r="C31" i="81" s="1"/>
  <c r="C30" i="81" s="1"/>
  <c r="C39" i="81" s="1"/>
  <c r="J20" i="15"/>
  <c r="J17" i="15" s="1"/>
  <c r="J16" i="15" s="1"/>
  <c r="J25" i="15" s="1"/>
  <c r="F63" i="15"/>
  <c r="C62" i="15" s="1"/>
  <c r="C59" i="15" s="1"/>
  <c r="C58" i="15" s="1"/>
  <c r="C67" i="15" s="1"/>
  <c r="C68" i="15" s="1"/>
  <c r="C34" i="15"/>
  <c r="C31" i="15" s="1"/>
  <c r="C30" i="15" s="1"/>
  <c r="C39" i="15" s="1"/>
  <c r="R16" i="1"/>
  <c r="Q65" i="80"/>
  <c r="Q75" i="80" s="1"/>
  <c r="C83" i="80"/>
  <c r="C82" i="80" s="1"/>
  <c r="C43" i="80"/>
  <c r="Q47" i="80"/>
  <c r="Q53" i="80" s="1"/>
  <c r="Q56" i="80"/>
  <c r="Q62" i="80" s="1"/>
  <c r="B2" i="80"/>
  <c r="C46" i="80"/>
  <c r="AO7" i="1"/>
  <c r="L51" i="15"/>
  <c r="Q75" i="67" l="1"/>
  <c r="B2" i="67"/>
  <c r="B3" i="67"/>
  <c r="C71" i="81"/>
  <c r="Q69" i="81"/>
  <c r="Q68" i="81" s="1"/>
  <c r="C40" i="81"/>
  <c r="C80" i="81"/>
  <c r="C79" i="81" s="1"/>
  <c r="B7" i="70"/>
  <c r="Q67" i="15"/>
  <c r="C71" i="15"/>
  <c r="B3" i="80"/>
  <c r="C80" i="15"/>
  <c r="C79" i="15" s="1"/>
  <c r="Q69" i="15"/>
  <c r="Q68" i="15" s="1"/>
  <c r="C40" i="15"/>
  <c r="L51" i="81"/>
  <c r="L57" i="81" l="1"/>
  <c r="Q67" i="81"/>
  <c r="Q47" i="81"/>
  <c r="Q53" i="81" s="1"/>
  <c r="B2" i="81"/>
  <c r="Q65" i="81"/>
  <c r="Q75" i="81" s="1"/>
  <c r="Q56" i="81"/>
  <c r="Q62" i="81" s="1"/>
  <c r="C43" i="81"/>
  <c r="C83" i="81"/>
  <c r="C82" i="81" s="1"/>
  <c r="C46" i="81"/>
  <c r="C43" i="15"/>
  <c r="C83" i="15"/>
  <c r="C82" i="15" s="1"/>
  <c r="Q47" i="15"/>
  <c r="Q53" i="15" s="1"/>
  <c r="Q65" i="15"/>
  <c r="Q75" i="15" s="1"/>
  <c r="Q56" i="15"/>
  <c r="Q62" i="15" s="1"/>
  <c r="B2" i="15"/>
  <c r="C46" i="15"/>
  <c r="AO8" i="1"/>
  <c r="AO6" i="1"/>
  <c r="B8" i="70" l="1"/>
  <c r="B3" i="81"/>
  <c r="B6" i="70"/>
  <c r="B3" i="15"/>
  <c r="B2" i="70" l="1"/>
  <c r="D19" i="9"/>
  <c r="D102" i="9" l="1"/>
  <c r="D22" i="9"/>
  <c r="D21" i="9"/>
  <c r="G19" i="9"/>
  <c r="K27" i="9" s="1"/>
  <c r="K28" i="9" s="1"/>
  <c r="B3" i="70"/>
  <c r="D20" i="9"/>
  <c r="C32" i="9" l="1"/>
  <c r="K25" i="9"/>
  <c r="G21" i="9"/>
  <c r="G20" i="9"/>
  <c r="D103" i="9"/>
  <c r="C35" i="9" l="1"/>
  <c r="F118" i="9" s="1"/>
  <c r="F4" i="52" s="1"/>
  <c r="B51" i="72" s="1"/>
  <c r="F34" i="9"/>
  <c r="H118" i="9"/>
  <c r="C104" i="9" s="1"/>
  <c r="C34" i="9"/>
  <c r="D34" i="9" s="1"/>
  <c r="D35" i="9" l="1"/>
  <c r="F119" i="9"/>
  <c r="F5" i="52" s="1"/>
  <c r="B53" i="72" s="1"/>
  <c r="D118" i="9"/>
  <c r="D4" i="52" s="1"/>
  <c r="B47" i="72" s="1"/>
  <c r="G118" i="9"/>
  <c r="G4" i="52" s="1"/>
  <c r="B52" i="72" s="1"/>
  <c r="I118" i="9"/>
  <c r="I4" i="52" s="1"/>
  <c r="H101" i="9"/>
  <c r="D5" i="53" s="1"/>
  <c r="H119" i="9"/>
  <c r="H5" i="52" s="1"/>
  <c r="H4" i="52"/>
  <c r="D14" i="74"/>
  <c r="E14" i="74" s="1"/>
  <c r="M48" i="9"/>
  <c r="D119" i="9"/>
  <c r="D5" i="52" s="1"/>
  <c r="B49" i="72" s="1"/>
  <c r="D45" i="9" l="1"/>
  <c r="D52" i="9" s="1"/>
  <c r="H107" i="9"/>
  <c r="H108" i="9" s="1"/>
  <c r="D15" i="53" s="1"/>
  <c r="B31" i="72" s="1"/>
  <c r="H102" i="9"/>
  <c r="D7" i="53" s="1"/>
  <c r="B21" i="72" s="1"/>
  <c r="E118" i="9"/>
  <c r="E4" i="52" s="1"/>
  <c r="B48" i="72" s="1"/>
  <c r="F14" i="74"/>
  <c r="C105" i="9"/>
  <c r="B5" i="74"/>
  <c r="C5" i="74" s="1"/>
  <c r="D6" i="53"/>
  <c r="B22" i="72" s="1"/>
  <c r="B20" i="72"/>
  <c r="D13" i="53" l="1"/>
  <c r="B30" i="72" s="1"/>
  <c r="D55" i="9"/>
  <c r="M53" i="9" s="1"/>
  <c r="C64" i="9"/>
  <c r="C63" i="9" s="1"/>
  <c r="C67" i="9" s="1"/>
  <c r="C68" i="9" s="1"/>
  <c r="D54" i="9" s="1"/>
  <c r="C72" i="9"/>
  <c r="C93" i="9"/>
  <c r="C86" i="9" s="1"/>
  <c r="C85" i="9"/>
  <c r="D53" i="9"/>
  <c r="C78" i="9"/>
  <c r="C73" i="9" s="1"/>
  <c r="C79" i="9" s="1"/>
  <c r="C80" i="9" s="1"/>
  <c r="E80" i="9" s="1"/>
  <c r="E81" i="9" s="1"/>
  <c r="M49" i="9"/>
  <c r="L64" i="9" s="1"/>
  <c r="M64" i="9" s="1"/>
  <c r="D122" i="9"/>
  <c r="D8" i="52" s="1"/>
  <c r="D5" i="74"/>
  <c r="D123" i="9" l="1"/>
  <c r="D9" i="52" s="1"/>
  <c r="D14" i="53"/>
  <c r="B32" i="72" s="1"/>
  <c r="C95" i="9"/>
  <c r="C96" i="9" s="1"/>
  <c r="E96" i="9" s="1"/>
  <c r="E97" i="9" s="1"/>
  <c r="L68" i="9"/>
  <c r="M68" i="9" s="1"/>
  <c r="L63" i="9"/>
  <c r="M63" i="9" s="1"/>
  <c r="L66" i="9"/>
  <c r="M66" i="9" s="1"/>
  <c r="L67" i="9"/>
  <c r="M67" i="9" s="1"/>
  <c r="L65" i="9"/>
  <c r="M65" i="9" s="1"/>
  <c r="G14" i="74"/>
  <c r="B6" i="74" s="1"/>
  <c r="D6" i="74" s="1"/>
  <c r="C81" i="9"/>
  <c r="C97" i="9"/>
  <c r="D58" i="9" s="1"/>
  <c r="D56" i="9" s="1"/>
  <c r="M54" i="9" s="1"/>
  <c r="N57" i="9" s="1"/>
  <c r="C6" i="74" l="1"/>
  <c r="M69" i="9"/>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<sst xmlns="http://schemas.openxmlformats.org/spreadsheetml/2006/main" count="9034" uniqueCount="3389">
  <si>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</si>
  <si>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</si>
  <si>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</si>
  <si>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</si>
  <si>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</si>
  <si>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</si>
  <si>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</si>
  <si>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</si>
  <si>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</si>
  <si>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</si>
  <si>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</si>
  <si>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</si>
  <si>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</si>
  <si>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</si>
  <si>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</si>
  <si>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</si>
  <si>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</si>
  <si>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</si>
  <si>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</si>
  <si>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</si>
  <si>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</si>
  <si>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</si>
  <si>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</si>
  <si>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</si>
  <si>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</si>
  <si>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</si>
  <si>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</si>
  <si>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</si>
  <si>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</si>
  <si>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</si>
  <si>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</si>
  <si>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</si>
  <si>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</si>
  <si>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</si>
  <si>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</si>
  <si>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</si>
  <si>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</si>
  <si>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</si>
  <si>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</si>
  <si>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</si>
  <si>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</si>
  <si>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</si>
  <si>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</si>
  <si>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</si>
  <si>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</si>
  <si>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</si>
  <si>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</si>
  <si>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</si>
  <si>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</si>
  <si>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</si>
  <si>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</si>
  <si>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</si>
  <si>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</si>
  <si>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</si>
  <si>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</si>
  <si>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</si>
  <si>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</si>
  <si>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</si>
  <si>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</si>
  <si>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</si>
  <si>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</si>
  <si>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</si>
  <si>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</si>
  <si>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</si>
  <si>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</si>
  <si>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</si>
  <si>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</si>
  <si>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</si>
  <si>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</si>
  <si>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</si>
  <si>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</si>
  <si>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</si>
  <si>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</si>
  <si>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</si>
  <si>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</si>
  <si>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</si>
  <si>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</si>
  <si>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</si>
  <si>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</si>
  <si>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</si>
  <si>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</si>
  <si>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</si>
  <si>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</si>
  <si>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</si>
  <si>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</si>
  <si>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</si>
  <si>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</si>
  <si>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</si>
  <si>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</si>
  <si>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</si>
  <si>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</si>
  <si>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</si>
  <si>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</si>
  <si>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</si>
  <si>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</si>
  <si>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</si>
  <si>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</si>
  <si>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</si>
  <si>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</si>
  <si>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</si>
  <si>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</si>
  <si>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</si>
  <si>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</si>
  <si>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</si>
  <si>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</si>
  <si>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</si>
  <si>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</si>
  <si>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</si>
  <si>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</si>
  <si>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</si>
  <si>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</si>
  <si>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</si>
  <si>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</si>
  <si>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</si>
  <si>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</si>
  <si>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</si>
  <si>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</si>
  <si>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</si>
  <si>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</si>
  <si>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</si>
  <si>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</si>
  <si>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</si>
  <si>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</si>
  <si>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</si>
  <si>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</si>
  <si>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</si>
  <si>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</si>
  <si>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</si>
  <si>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</si>
  <si>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</si>
  <si>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</si>
  <si>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</si>
  <si>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</si>
  <si>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</si>
  <si>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</si>
  <si>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</si>
  <si>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</si>
  <si>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</si>
  <si>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</si>
  <si>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</si>
  <si>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</si>
  <si>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</si>
  <si>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</si>
  <si>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</si>
  <si>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</si>
  <si>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</si>
  <si>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</si>
  <si>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</si>
  <si>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</si>
  <si>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</si>
  <si>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</si>
  <si>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</si>
  <si>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</si>
  <si>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</si>
  <si>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</si>
  <si>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</si>
  <si>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</si>
  <si>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</si>
  <si>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</si>
  <si>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</si>
  <si>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</si>
  <si>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</si>
  <si>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</si>
  <si>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</si>
  <si>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</si>
  <si>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</si>
  <si>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</si>
  <si>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</si>
  <si>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</si>
  <si>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</si>
  <si>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</si>
  <si>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</si>
  <si>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</si>
  <si>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</si>
  <si>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</si>
  <si>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</si>
  <si>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</si>
  <si>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</si>
  <si>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</si>
  <si>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</si>
  <si>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</si>
  <si>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</si>
  <si>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</si>
  <si>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</si>
  <si>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</si>
  <si>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</si>
  <si>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</si>
  <si>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</si>
  <si>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</si>
  <si>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</si>
  <si>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</si>
  <si>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</si>
  <si>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</si>
  <si>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</si>
  <si>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</si>
  <si>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</si>
  <si>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</si>
  <si>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</si>
  <si>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</si>
  <si>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</si>
  <si>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</si>
  <si>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</si>
  <si>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</si>
  <si>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</si>
  <si>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</si>
  <si>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</si>
  <si>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</si>
  <si>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</si>
  <si>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</si>
  <si>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</si>
  <si>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</si>
  <si>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</si>
  <si>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</si>
  <si>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</si>
  <si>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</si>
  <si>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</si>
  <si>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</si>
  <si>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</si>
  <si>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</si>
  <si>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</si>
  <si>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</si>
  <si>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</si>
  <si>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</si>
  <si>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</si>
  <si>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</si>
  <si>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</si>
  <si>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</si>
  <si>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</si>
  <si>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</si>
  <si>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</si>
  <si>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</si>
  <si>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</si>
  <si>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</si>
  <si>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</si>
  <si>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</si>
  <si>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</si>
  <si>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</si>
  <si>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</si>
  <si>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</si>
  <si>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</si>
  <si>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</si>
  <si>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</si>
  <si>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</si>
  <si>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</si>
  <si>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</si>
  <si>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</si>
  <si>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</si>
  <si>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</si>
  <si>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</si>
  <si>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</si>
  <si>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</si>
  <si>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</si>
  <si>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</si>
  <si>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</si>
  <si>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</si>
  <si>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</si>
  <si>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</si>
  <si>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</si>
  <si>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</si>
  <si>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</si>
  <si>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</si>
  <si>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</si>
  <si>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</si>
  <si>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</si>
  <si>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</si>
  <si>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</si>
  <si>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</si>
  <si>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</si>
  <si>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</si>
  <si>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</si>
  <si>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</si>
  <si>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</si>
  <si>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</si>
  <si>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</si>
  <si>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</si>
  <si>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</si>
  <si>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</si>
  <si>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</si>
  <si>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</si>
  <si>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</si>
  <si>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</si>
  <si>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</si>
  <si>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</si>
  <si>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</si>
  <si>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</si>
  <si>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</si>
  <si>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</si>
  <si>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</si>
  <si>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</si>
  <si>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</si>
  <si>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</si>
  <si>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</si>
  <si>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</si>
  <si>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</si>
  <si>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</si>
  <si>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</si>
  <si>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</si>
  <si>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</si>
  <si>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</si>
  <si>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</si>
  <si>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</si>
  <si>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</si>
  <si>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</si>
  <si>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</si>
  <si>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</si>
  <si>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</si>
  <si>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</si>
  <si>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</si>
  <si>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</si>
  <si>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</si>
  <si>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</si>
  <si>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</si>
  <si>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</si>
  <si>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</si>
  <si>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</si>
  <si>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</si>
  <si>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</si>
  <si>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</si>
  <si>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</si>
  <si>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</si>
  <si>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</si>
  <si>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</si>
  <si>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</si>
  <si>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</si>
  <si>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</si>
  <si>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</si>
  <si>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</si>
  <si>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</si>
  <si>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</si>
  <si>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</si>
  <si>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</si>
  <si>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</si>
  <si>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</si>
  <si>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</si>
  <si>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</si>
  <si>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</si>
  <si>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</si>
  <si>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</si>
  <si>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</si>
  <si>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</si>
  <si>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</si>
  <si>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</si>
  <si>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</si>
  <si>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</si>
  <si>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</si>
  <si>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</si>
  <si>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</si>
  <si>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</si>
  <si>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</si>
  <si>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</si>
  <si>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</si>
  <si>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</si>
  <si>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</si>
  <si>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</si>
  <si>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</si>
  <si>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</si>
  <si>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</si>
  <si>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</si>
  <si>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</si>
  <si>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</si>
  <si>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</si>
  <si>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</si>
  <si>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</si>
  <si>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</si>
  <si>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</si>
  <si>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</si>
  <si>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</si>
  <si>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</si>
  <si>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</si>
  <si>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</si>
  <si>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</si>
  <si>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</si>
  <si>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</si>
  <si>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</si>
  <si>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</si>
  <si>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</si>
  <si>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</si>
  <si>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</si>
  <si>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</si>
  <si>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</si>
  <si>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</si>
  <si>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</si>
  <si>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</si>
  <si>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</si>
  <si>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</si>
  <si>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</si>
  <si>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</si>
  <si>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</si>
  <si>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</si>
  <si>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</si>
  <si>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</si>
  <si>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</si>
  <si>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</si>
  <si>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</si>
  <si>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</si>
  <si>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</si>
  <si>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</si>
  <si>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</si>
  <si>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</si>
  <si>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</si>
  <si>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</si>
  <si>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</si>
  <si>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</si>
  <si>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</si>
  <si>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</si>
  <si>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</si>
  <si>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</si>
  <si>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</si>
  <si>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</si>
  <si>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</si>
  <si>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</si>
  <si>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</si>
  <si>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</si>
  <si>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</si>
  <si>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</si>
  <si>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</si>
  <si>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</si>
  <si>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</si>
  <si>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</si>
  <si>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</si>
  <si>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</si>
  <si>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</si>
  <si>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</si>
  <si>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</si>
  <si>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</si>
  <si>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</si>
  <si>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</si>
  <si>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</si>
  <si>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</si>
  <si>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</si>
  <si>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</si>
  <si>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</si>
  <si>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</si>
  <si>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</si>
  <si>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</si>
  <si>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</si>
  <si>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</si>
  <si>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</si>
  <si>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</si>
  <si>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</si>
  <si>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</si>
  <si>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</si>
  <si>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</si>
  <si>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</si>
  <si>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</si>
  <si>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</si>
  <si>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</si>
  <si>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</si>
  <si>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</si>
  <si>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</si>
  <si>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</si>
  <si>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</si>
  <si>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</si>
  <si>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</si>
  <si>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</si>
  <si>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</si>
  <si>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</si>
  <si>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</si>
  <si>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</si>
  <si>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</si>
  <si>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</si>
  <si>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</si>
  <si>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</si>
  <si>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</si>
  <si>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</si>
  <si>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</si>
  <si>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</si>
  <si>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</si>
  <si>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</si>
  <si>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</si>
  <si>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</si>
  <si>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</si>
  <si>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</si>
  <si>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</si>
  <si>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</si>
  <si>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</si>
  <si>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</si>
  <si>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</si>
  <si>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</si>
  <si>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</si>
  <si>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</si>
  <si>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</si>
  <si>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</si>
  <si>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</si>
  <si>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</si>
  <si>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</si>
  <si>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</si>
  <si>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</si>
  <si>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</si>
  <si>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</si>
  <si>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</si>
  <si>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</si>
  <si>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</si>
  <si>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</si>
  <si>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</si>
  <si>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</si>
  <si>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</si>
  <si>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</si>
  <si>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</si>
  <si>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</si>
  <si>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</si>
  <si>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</si>
  <si>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</si>
  <si>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</si>
  <si>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</si>
  <si>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</si>
  <si>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</si>
  <si>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</si>
  <si>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</si>
  <si>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</si>
  <si>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</si>
  <si>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</si>
  <si>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</si>
  <si>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</si>
  <si>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</si>
  <si>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</si>
  <si>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</si>
  <si>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</si>
  <si>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</si>
  <si>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</si>
  <si>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</si>
  <si>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</si>
  <si>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</si>
  <si>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</si>
  <si>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</si>
  <si>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</si>
  <si>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</si>
  <si>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</si>
  <si>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</si>
  <si>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</si>
  <si>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</si>
  <si>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</si>
  <si>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</si>
  <si>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</si>
  <si>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</si>
  <si>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</si>
  <si>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</si>
  <si>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</si>
  <si>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</si>
  <si>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</si>
  <si>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</si>
  <si>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</si>
  <si>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</si>
  <si>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</si>
  <si>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</si>
  <si>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</si>
  <si>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</si>
  <si>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</si>
  <si>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</si>
  <si>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</si>
  <si>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</si>
  <si>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</si>
  <si>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</si>
  <si>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</si>
  <si>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</si>
  <si>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</si>
  <si>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</si>
  <si>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</si>
  <si>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</si>
  <si>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</si>
  <si>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</si>
  <si>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</si>
  <si>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</si>
  <si>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</si>
  <si>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</si>
  <si>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</si>
  <si>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</si>
  <si>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</si>
  <si>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</si>
  <si>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</si>
  <si>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</si>
  <si>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</si>
  <si>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</si>
  <si>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</si>
  <si>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</si>
  <si>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</si>
  <si>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</si>
  <si>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</si>
  <si>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</si>
  <si>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</si>
  <si>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</si>
  <si>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</si>
  <si>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</si>
  <si>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</si>
  <si>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</si>
  <si>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</si>
  <si>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</si>
  <si>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</si>
  <si>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</si>
  <si>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</si>
  <si>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</si>
  <si>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</si>
  <si>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</si>
  <si>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</si>
  <si>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</si>
  <si>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</si>
  <si>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</si>
  <si>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</si>
  <si>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</si>
  <si>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</si>
  <si>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</si>
  <si>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</si>
  <si>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</si>
  <si>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</si>
  <si>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</si>
  <si>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</si>
  <si>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</si>
  <si>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</si>
  <si>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</si>
  <si>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</si>
  <si>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</si>
  <si>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</si>
  <si>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</si>
  <si>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</si>
  <si>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</si>
  <si>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</si>
  <si>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</si>
  <si>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</si>
  <si>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</si>
  <si>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</si>
  <si>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</si>
  <si>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</si>
  <si>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</si>
  <si>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</si>
  <si>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</si>
  <si>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</si>
  <si>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</si>
  <si>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</si>
  <si>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</si>
  <si>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</si>
  <si>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</si>
  <si>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</si>
  <si>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</si>
  <si>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</si>
  <si>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</si>
  <si>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</si>
  <si>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</si>
  <si>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</si>
  <si>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</si>
  <si>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</si>
  <si>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</si>
  <si>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</si>
  <si>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</si>
  <si>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</si>
  <si>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</si>
  <si>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</si>
  <si>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</si>
  <si>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</si>
  <si>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</si>
  <si>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</si>
  <si>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</si>
  <si>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</si>
  <si>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</si>
  <si>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</si>
  <si>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</si>
  <si>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</si>
  <si>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</si>
  <si>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</si>
  <si>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</si>
  <si>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</si>
  <si>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</si>
  <si>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</si>
  <si>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</si>
  <si>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</si>
  <si>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</si>
  <si>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</si>
  <si>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</si>
  <si>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</si>
  <si>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</si>
  <si>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</si>
  <si>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</si>
  <si>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</si>
  <si>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</si>
  <si>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</si>
  <si>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</si>
  <si>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</si>
  <si>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</si>
  <si>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</si>
  <si>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</si>
  <si>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</si>
  <si>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</si>
  <si>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</si>
  <si>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</si>
  <si>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</si>
  <si>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</si>
  <si>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</si>
  <si>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</si>
  <si>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</si>
  <si>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</si>
  <si>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</si>
  <si>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</si>
  <si>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</si>
  <si>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</si>
  <si>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</si>
  <si>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</si>
  <si>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</si>
  <si>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</si>
  <si>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</si>
  <si>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</si>
  <si>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</si>
  <si>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</si>
  <si>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</si>
  <si>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</si>
  <si>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</si>
  <si>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</si>
  <si>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</si>
  <si>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</si>
  <si>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</si>
  <si>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</si>
  <si>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</si>
  <si>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</si>
  <si>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</si>
  <si>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</si>
  <si>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</si>
  <si>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</si>
  <si>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</si>
  <si>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</si>
  <si>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</si>
  <si>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</si>
  <si>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</si>
  <si>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</si>
  <si>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</si>
  <si>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</si>
  <si>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</si>
  <si>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</si>
  <si>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</si>
  <si>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</si>
  <si>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</si>
  <si>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</si>
  <si>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</si>
  <si>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</si>
  <si>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</si>
  <si>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</si>
  <si>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</si>
  <si>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</si>
  <si>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</si>
  <si>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</si>
  <si>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</si>
  <si>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</si>
  <si>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</si>
  <si>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</si>
  <si>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</si>
  <si>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</si>
  <si>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</si>
  <si>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</si>
  <si>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</si>
  <si>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</si>
  <si>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</si>
  <si>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</si>
  <si>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</si>
  <si>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</si>
  <si>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</si>
  <si>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</si>
  <si>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</si>
  <si>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</si>
  <si>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</si>
  <si>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</si>
  <si>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</si>
  <si>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</si>
  <si>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</si>
  <si>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</si>
  <si>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</si>
  <si>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</si>
  <si>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</si>
  <si>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</si>
  <si>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</si>
  <si>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</si>
  <si>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</si>
  <si>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</si>
  <si>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</si>
  <si>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</si>
  <si>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</si>
  <si>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</si>
  <si>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</si>
  <si>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</si>
  <si>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</si>
  <si>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</si>
  <si>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</si>
  <si>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</si>
  <si>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</si>
  <si>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</si>
  <si>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</si>
  <si>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</si>
  <si>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</si>
  <si>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</si>
  <si>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</si>
  <si>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</si>
  <si>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</si>
  <si>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</si>
  <si>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</si>
  <si>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</si>
  <si>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</si>
  <si>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</si>
  <si>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</si>
  <si>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</si>
  <si>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</si>
  <si>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</si>
  <si>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</si>
  <si>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</si>
  <si>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</si>
  <si>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</si>
  <si>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</si>
  <si>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</si>
  <si>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</si>
  <si>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</si>
  <si>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</si>
  <si>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</si>
  <si>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</si>
  <si>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</si>
  <si>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</si>
  <si>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</si>
  <si>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</si>
  <si>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</si>
  <si>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</si>
  <si>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</si>
  <si>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</si>
  <si>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</si>
  <si>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</si>
  <si>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</si>
  <si>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</si>
  <si>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</si>
  <si>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</si>
  <si>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</si>
  <si>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</si>
  <si>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</si>
  <si>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</si>
  <si>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</si>
  <si>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</si>
  <si>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</si>
  <si>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</si>
  <si>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</si>
  <si>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</si>
  <si>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</si>
  <si>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</si>
  <si>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</si>
  <si>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</si>
  <si>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</si>
  <si>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</si>
  <si>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</si>
  <si>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</si>
  <si>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</si>
  <si>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</si>
  <si>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</si>
  <si>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</si>
  <si>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</si>
  <si>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</si>
  <si>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</si>
  <si>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</si>
  <si>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</si>
  <si>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</si>
  <si>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</si>
  <si>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</si>
  <si>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</si>
  <si>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</si>
  <si>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</si>
  <si>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</si>
  <si>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</si>
  <si>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</si>
  <si>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</si>
  <si>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</si>
  <si>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</si>
  <si>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</si>
  <si>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</si>
  <si>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</si>
  <si>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</si>
  <si>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</si>
  <si>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</si>
  <si>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</si>
  <si>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</si>
  <si>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</si>
  <si>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</si>
  <si>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</si>
  <si>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</si>
  <si>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</si>
  <si>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</si>
  <si>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</si>
  <si>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</si>
  <si>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</si>
  <si>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</si>
  <si>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</si>
  <si>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</si>
  <si>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</si>
  <si>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</si>
  <si>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</si>
  <si>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</si>
  <si>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</si>
  <si>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</si>
  <si>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</si>
  <si>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</si>
  <si>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</si>
  <si>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</si>
  <si>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</si>
  <si>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</si>
  <si>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</si>
  <si>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</si>
  <si>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</si>
  <si>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</si>
  <si>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</si>
  <si>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</si>
  <si>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</si>
  <si>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</si>
  <si>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</si>
  <si>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</si>
  <si>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</si>
  <si>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</si>
  <si>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</si>
  <si>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</si>
  <si>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</si>
  <si>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</si>
  <si>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</si>
  <si>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</si>
  <si>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</si>
  <si>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</si>
  <si>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</si>
  <si>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</si>
  <si>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</si>
  <si>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</si>
  <si>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</si>
  <si>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</si>
  <si>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</si>
  <si>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</si>
  <si>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</si>
  <si>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</si>
  <si>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</si>
  <si>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</si>
  <si>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</si>
  <si>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</si>
  <si>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</si>
  <si>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</si>
  <si>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</si>
  <si>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</si>
  <si>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</si>
  <si>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</si>
  <si>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</si>
  <si>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</si>
  <si>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</si>
  <si>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</si>
  <si>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</si>
  <si>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</si>
  <si>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</si>
  <si>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</si>
  <si>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</si>
  <si>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</si>
  <si>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</si>
  <si>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</si>
  <si>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</si>
  <si>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</si>
  <si>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</si>
  <si>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</si>
  <si>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</si>
  <si>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</si>
  <si>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</si>
  <si>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</si>
  <si>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</si>
  <si>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</si>
  <si>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</si>
  <si>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</si>
  <si>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</si>
  <si>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</si>
  <si>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</si>
  <si>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</si>
  <si>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</si>
  <si>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</si>
  <si>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</si>
  <si>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</si>
  <si>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</si>
  <si>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</si>
  <si>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</si>
  <si>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</si>
  <si>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</si>
  <si>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</si>
  <si>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</si>
  <si>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</si>
  <si>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</si>
  <si>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</si>
  <si>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</si>
  <si>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</si>
  <si>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</si>
  <si>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</si>
  <si>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</si>
  <si>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</si>
  <si>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</si>
  <si>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</si>
  <si>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</si>
  <si>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</si>
  <si>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</si>
  <si>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</si>
  <si>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</si>
  <si>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</si>
  <si>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</si>
  <si>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</si>
  <si>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</si>
  <si>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</si>
  <si>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</si>
  <si>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</si>
  <si>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</si>
  <si>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</si>
  <si>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</si>
  <si>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</si>
  <si>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</si>
  <si>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</si>
  <si>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</si>
  <si>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</si>
  <si>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</si>
  <si>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</si>
  <si>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</si>
  <si>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</si>
  <si>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</si>
  <si>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</si>
  <si>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</si>
  <si>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</si>
  <si>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</si>
  <si>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</si>
  <si>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</si>
  <si>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</si>
  <si>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</si>
  <si>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</si>
  <si>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</si>
  <si>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</si>
  <si>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</si>
  <si>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</si>
  <si>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</si>
  <si>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</si>
  <si>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</si>
  <si>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</si>
  <si>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</si>
  <si>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</si>
  <si>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</si>
  <si>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</si>
  <si>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</si>
  <si>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</si>
  <si>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</si>
  <si>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</si>
  <si>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</si>
  <si>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</si>
  <si>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</si>
  <si>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</si>
  <si>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</si>
  <si>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</si>
  <si>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</si>
  <si>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</si>
  <si>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</si>
  <si>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</si>
  <si>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</si>
  <si>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</si>
  <si>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</si>
  <si>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</si>
  <si>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</si>
  <si>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</si>
  <si>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</si>
  <si>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</si>
  <si>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</si>
  <si>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</si>
  <si>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</si>
  <si>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</si>
  <si>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</si>
  <si>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</si>
  <si>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</si>
  <si>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</si>
  <si>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</si>
  <si>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</si>
  <si>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</si>
  <si>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</si>
  <si>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</si>
  <si>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</si>
  <si>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</si>
  <si>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</si>
  <si>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</si>
  <si>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</si>
  <si>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</si>
  <si>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</si>
  <si>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</si>
  <si>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</si>
  <si>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</si>
  <si>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</si>
  <si>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</si>
  <si>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</si>
  <si>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</si>
  <si>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</si>
  <si>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</si>
  <si>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</si>
  <si>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</si>
  <si>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</si>
  <si>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</si>
  <si>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</si>
  <si>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</si>
  <si>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</si>
  <si>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</si>
  <si>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</si>
  <si>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</si>
  <si>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</si>
  <si>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</si>
  <si>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</si>
  <si>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</si>
  <si>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</si>
  <si>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</si>
  <si>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</si>
  <si>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</si>
  <si>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</si>
  <si>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</si>
  <si>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</si>
  <si>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</si>
  <si>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</si>
  <si>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</si>
  <si>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</si>
  <si>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</si>
  <si>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</si>
  <si>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</si>
  <si>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</si>
  <si>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</si>
  <si>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</si>
  <si>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</si>
  <si>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</si>
  <si>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</si>
  <si>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</si>
  <si>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</si>
  <si>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</si>
  <si>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</si>
  <si>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</si>
  <si>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</si>
  <si>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</si>
  <si>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</si>
  <si>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</si>
  <si>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</si>
  <si>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</si>
  <si>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</si>
  <si>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</si>
  <si>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</si>
  <si>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</si>
  <si>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</si>
  <si>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</si>
  <si>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</si>
  <si>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</si>
  <si>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</si>
  <si>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</si>
  <si>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</si>
  <si>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</si>
  <si>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</si>
  <si>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</si>
  <si>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</si>
  <si>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</si>
  <si>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</si>
  <si>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</si>
  <si>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</si>
  <si>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</si>
  <si>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</si>
  <si>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</si>
  <si>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</si>
  <si>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</si>
  <si>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</si>
  <si>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</si>
  <si>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</si>
  <si>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</si>
  <si>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</si>
  <si>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</si>
  <si>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</si>
  <si>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</si>
  <si>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</si>
  <si>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</si>
  <si>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</si>
  <si>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</si>
  <si>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</si>
  <si>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</si>
  <si>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</si>
  <si>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</si>
  <si>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</si>
  <si>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</si>
  <si>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</si>
  <si>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</si>
  <si>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</si>
  <si>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</si>
  <si>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</si>
  <si>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</si>
  <si>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</si>
  <si>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</si>
  <si>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</si>
  <si>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</si>
  <si>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</si>
  <si>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</si>
  <si>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</si>
  <si>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</si>
  <si>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</si>
  <si>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</si>
  <si>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</si>
  <si>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</si>
  <si>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</si>
  <si>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</si>
  <si>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</si>
  <si>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</si>
  <si>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</si>
  <si>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</si>
  <si>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</si>
  <si>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</si>
  <si>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</si>
  <si>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</si>
  <si>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</si>
  <si>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</si>
  <si>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</si>
  <si>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</si>
  <si>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</si>
  <si>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</si>
  <si>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</si>
  <si>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</si>
  <si>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</si>
  <si>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</si>
  <si>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</si>
  <si>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</si>
  <si>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</si>
  <si>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</si>
  <si>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</si>
  <si>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</si>
  <si>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</si>
  <si>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</si>
  <si>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</si>
  <si>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</si>
  <si>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</si>
  <si>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</si>
  <si>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</si>
  <si>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</si>
  <si>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</si>
  <si>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</si>
  <si>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</si>
  <si>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</si>
  <si>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</si>
  <si>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</si>
  <si>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</si>
  <si>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</si>
  <si>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</si>
  <si>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</si>
  <si>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</si>
  <si>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</si>
  <si>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</si>
  <si>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</si>
  <si>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</si>
  <si>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</si>
  <si>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</si>
  <si>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</si>
  <si>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</si>
  <si>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</si>
  <si>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</si>
  <si>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</si>
  <si>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</si>
  <si>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</si>
  <si>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</si>
  <si>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</si>
  <si>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</si>
  <si>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</si>
  <si>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</si>
  <si>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</si>
  <si>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</si>
  <si>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</si>
  <si>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</si>
  <si>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</si>
  <si>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</si>
  <si>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</si>
  <si>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</si>
  <si>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</si>
  <si>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</si>
  <si>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</si>
  <si>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</si>
  <si>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</si>
  <si>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</si>
  <si>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</si>
  <si>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</si>
  <si>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</si>
  <si>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</si>
  <si>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</si>
  <si>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</si>
  <si>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</si>
  <si>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</si>
  <si>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</si>
  <si>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</si>
  <si>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</si>
  <si>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</si>
  <si>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</si>
  <si>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</si>
  <si>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</si>
  <si>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</si>
  <si>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</si>
  <si>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</si>
  <si>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</si>
  <si>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</si>
  <si>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</si>
  <si>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</si>
  <si>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</si>
  <si>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</si>
  <si>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</si>
  <si>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</si>
  <si>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</si>
  <si>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</si>
  <si>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</si>
  <si>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</si>
  <si>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</si>
  <si>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</si>
  <si>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</si>
  <si>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</si>
  <si>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</si>
  <si>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</si>
  <si>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</si>
  <si>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</si>
  <si>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</si>
  <si>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</si>
  <si>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</si>
  <si>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</si>
  <si>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</si>
  <si>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</si>
  <si>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</si>
  <si>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</si>
  <si>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</si>
  <si>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</si>
  <si>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</si>
  <si>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</si>
  <si>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</si>
  <si>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</si>
  <si>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</si>
  <si>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</si>
  <si>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</si>
  <si>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</si>
  <si>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</si>
  <si>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</si>
  <si>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</si>
  <si>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</si>
  <si>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</si>
  <si>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</si>
  <si>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</si>
  <si>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</si>
  <si>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</si>
  <si>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</si>
  <si>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</si>
  <si>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</si>
  <si>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</si>
  <si>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</si>
  <si>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</si>
  <si>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</si>
  <si>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</si>
  <si>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</si>
  <si>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</si>
  <si>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</si>
  <si>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</si>
  <si>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</si>
  <si>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</si>
  <si>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</si>
  <si>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</si>
  <si>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</si>
  <si>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</si>
  <si>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</si>
  <si>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</si>
  <si>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</si>
  <si>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</si>
  <si>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</si>
  <si>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</si>
  <si>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</si>
  <si>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</si>
  <si>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</si>
  <si>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</si>
  <si>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</si>
  <si>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</si>
  <si>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</si>
  <si>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</si>
  <si>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</si>
  <si>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</si>
  <si>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</si>
  <si>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</si>
  <si>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</si>
  <si>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</si>
  <si>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</si>
  <si>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</si>
  <si>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</si>
  <si>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</si>
  <si>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</si>
  <si>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</si>
  <si>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</si>
  <si>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</si>
  <si>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</si>
  <si>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</si>
  <si>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</si>
  <si>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</si>
  <si>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</si>
  <si>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</si>
  <si>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</si>
  <si>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</si>
  <si>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</si>
  <si>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</si>
  <si>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</si>
  <si>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</si>
  <si>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</si>
  <si>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</si>
  <si>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</si>
  <si>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</si>
  <si>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</si>
  <si>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</si>
  <si>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</si>
  <si>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</si>
  <si>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</si>
  <si>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</si>
  <si>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</si>
  <si>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</si>
  <si>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</si>
  <si>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</si>
  <si>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</si>
  <si>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</si>
  <si>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</si>
  <si>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</si>
  <si>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</si>
  <si>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</si>
  <si>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</si>
  <si>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</si>
  <si>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</si>
  <si>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</si>
  <si>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</si>
  <si>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</si>
  <si>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</si>
  <si>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</si>
  <si>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</si>
  <si>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</si>
  <si>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</si>
  <si>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</si>
  <si>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</si>
  <si>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</si>
  <si>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</si>
  <si>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</si>
  <si>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</si>
  <si>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</si>
  <si>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</si>
  <si>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</si>
  <si>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</si>
  <si>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</si>
  <si>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</si>
  <si>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</si>
  <si>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</si>
  <si>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</si>
  <si>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</si>
  <si>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</si>
  <si>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</si>
  <si>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</si>
  <si>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</si>
  <si>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</si>
  <si>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</si>
  <si>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</si>
  <si>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</si>
  <si>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</si>
  <si>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</si>
  <si>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</si>
  <si>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</si>
  <si>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</si>
  <si>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</si>
  <si>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</si>
  <si>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</si>
  <si>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</si>
  <si>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</si>
  <si>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</si>
  <si>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</si>
  <si>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</si>
  <si>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</si>
  <si>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</si>
  <si>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</si>
  <si>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</si>
  <si>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</si>
  <si>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</si>
  <si>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</si>
  <si>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</si>
  <si>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</si>
  <si>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</si>
  <si>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</si>
  <si>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</si>
  <si>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</si>
  <si>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</si>
  <si>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</si>
  <si>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</si>
  <si>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</si>
  <si>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</si>
  <si>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</si>
  <si>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</si>
  <si>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</si>
  <si>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</si>
  <si>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</si>
  <si>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</si>
  <si>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</si>
  <si>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</si>
  <si>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</si>
  <si>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</si>
  <si>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</si>
  <si>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</si>
  <si>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</si>
  <si>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</si>
  <si>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</si>
  <si>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</si>
  <si>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</si>
  <si>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</si>
  <si>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</si>
  <si>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</si>
  <si>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</si>
  <si>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</si>
  <si>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</si>
  <si>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</si>
  <si>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</si>
  <si>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</si>
  <si>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</si>
  <si>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</si>
  <si>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</si>
  <si>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</si>
  <si>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</si>
  <si>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</si>
  <si>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</si>
  <si>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</si>
  <si>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</si>
  <si>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</si>
  <si>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</si>
  <si>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</si>
  <si>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</si>
  <si>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</si>
  <si>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</si>
  <si>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</si>
  <si>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</si>
  <si>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</si>
  <si>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</si>
  <si>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</si>
  <si>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</si>
  <si>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</si>
  <si>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</si>
  <si>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</si>
  <si>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</si>
  <si>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</si>
  <si>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</si>
  <si>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</si>
  <si>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</si>
  <si>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</si>
  <si>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</si>
  <si>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</si>
  <si>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</si>
  <si>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</si>
  <si>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</si>
  <si>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</si>
  <si>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</si>
  <si>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</si>
  <si>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</si>
  <si>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</si>
  <si>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</si>
  <si>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</si>
  <si>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</si>
  <si>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</si>
  <si>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</si>
  <si>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</si>
  <si>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</si>
  <si>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</si>
  <si>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</si>
  <si>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</si>
  <si>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</si>
  <si>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</si>
  <si>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</si>
  <si>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</si>
  <si>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</si>
  <si>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</si>
  <si>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</si>
  <si>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</si>
  <si>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</si>
  <si>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</si>
  <si>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</si>
  <si>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</si>
  <si>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</si>
  <si>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</si>
  <si>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</si>
  <si>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</si>
  <si>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</si>
  <si>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</si>
  <si>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</si>
  <si>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</si>
  <si>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</si>
  <si>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</si>
  <si>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</si>
  <si>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</si>
  <si>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</si>
  <si>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</si>
  <si>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</si>
  <si>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</si>
  <si>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</si>
  <si>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</si>
  <si>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</si>
  <si>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</si>
  <si>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</si>
  <si>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</si>
  <si>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</si>
  <si>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</si>
  <si>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</si>
  <si>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</si>
  <si>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</si>
  <si>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</si>
  <si>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</si>
  <si>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</si>
  <si>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</si>
  <si>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</si>
  <si>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</si>
  <si>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</si>
  <si>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</si>
  <si>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</si>
  <si>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</si>
  <si>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</si>
  <si>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</si>
  <si>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</si>
  <si>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</si>
  <si>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</si>
  <si>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</si>
  <si>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</si>
  <si>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</si>
  <si>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</si>
  <si>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</si>
  <si>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</si>
  <si>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</si>
  <si>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</si>
  <si>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</si>
  <si>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</si>
  <si>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</si>
  <si>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</si>
  <si>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</si>
  <si>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</si>
  <si>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</si>
  <si>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</si>
  <si>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</si>
  <si>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</si>
  <si>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</si>
  <si>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</si>
  <si>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</si>
  <si>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</si>
  <si>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</si>
  <si>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</si>
  <si>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</si>
  <si>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</si>
  <si>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</si>
  <si>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</si>
  <si>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</si>
  <si>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</si>
  <si>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</si>
  <si>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</si>
  <si>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</si>
  <si>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</si>
  <si>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</si>
  <si>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</si>
  <si>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</si>
  <si>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</si>
  <si>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</si>
  <si>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</si>
  <si>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</si>
  <si>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</si>
  <si>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</si>
  <si>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</si>
  <si>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</si>
  <si>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</si>
  <si>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</si>
  <si>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</si>
  <si>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</si>
  <si>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</si>
  <si>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</si>
  <si>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</si>
  <si>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</si>
  <si>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</si>
  <si>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</si>
  <si>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</si>
  <si>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</si>
  <si>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</si>
  <si>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</si>
  <si>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</si>
  <si>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</si>
  <si>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</si>
  <si>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</si>
  <si>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</si>
  <si>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</si>
  <si>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</si>
  <si>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</si>
  <si>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</si>
  <si>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</si>
  <si>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</si>
  <si>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</si>
  <si>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</si>
  <si>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</si>
  <si>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</si>
  <si>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</si>
  <si>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</si>
  <si>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</si>
  <si>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</si>
  <si>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</si>
  <si>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</si>
  <si>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</si>
  <si>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</si>
  <si>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</si>
  <si>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</si>
  <si>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</si>
  <si>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</si>
  <si>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</si>
  <si>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</si>
  <si>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</si>
  <si>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</si>
  <si>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</si>
  <si>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</si>
  <si>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</si>
  <si>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</si>
  <si>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</si>
  <si>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</si>
  <si>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</si>
  <si>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</si>
  <si>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</si>
  <si>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</si>
  <si>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</si>
  <si>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</si>
  <si>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</si>
  <si>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</si>
  <si>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</si>
  <si>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</si>
  <si>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</si>
  <si>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</si>
  <si>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</si>
  <si>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</si>
  <si>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</si>
  <si>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</si>
  <si>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</si>
  <si>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</si>
  <si>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</si>
  <si>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</si>
  <si>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</si>
  <si>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</si>
  <si>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</si>
  <si>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</si>
  <si>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</si>
  <si>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</si>
  <si>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</si>
  <si>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</si>
  <si>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</si>
  <si>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</si>
  <si>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</si>
  <si>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</si>
  <si>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</si>
  <si>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</si>
  <si>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</si>
  <si>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</si>
  <si>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</si>
  <si>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</si>
  <si>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</si>
  <si>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</si>
  <si>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</si>
  <si>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</si>
  <si>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</si>
  <si>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</si>
  <si>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</si>
  <si>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</si>
  <si>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</si>
  <si>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</si>
  <si>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</si>
  <si>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</si>
  <si>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</si>
  <si>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</si>
  <si>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</si>
  <si>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</si>
  <si>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</si>
  <si>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</si>
  <si>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</si>
  <si>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</si>
  <si>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</si>
  <si>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</si>
  <si>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</si>
  <si>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</si>
  <si>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</si>
  <si>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</si>
  <si>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</si>
  <si>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</si>
  <si>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</si>
  <si>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</si>
  <si>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</si>
  <si>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</si>
  <si>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</si>
  <si>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</si>
  <si>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</si>
  <si>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</si>
  <si>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</si>
  <si>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</si>
  <si>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</si>
  <si>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</si>
  <si>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</si>
  <si>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</si>
  <si>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</si>
  <si>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</si>
  <si>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</si>
  <si>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</si>
  <si>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</si>
  <si>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</si>
  <si>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</si>
  <si>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</si>
  <si>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</si>
  <si>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</si>
  <si>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</si>
  <si>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</si>
  <si>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</si>
  <si>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</si>
  <si>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</si>
  <si>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</si>
  <si>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</si>
  <si>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</si>
  <si>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</si>
  <si>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</si>
  <si>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</si>
  <si>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</si>
  <si>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</si>
  <si>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</si>
  <si>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</si>
  <si>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</si>
  <si>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</si>
  <si>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</si>
  <si>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</si>
  <si>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</si>
  <si>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</si>
  <si>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</si>
  <si>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</si>
  <si>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</si>
  <si>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</si>
  <si>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</si>
  <si>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</si>
  <si>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</si>
  <si>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</si>
  <si>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</si>
  <si>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</si>
  <si>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</si>
  <si>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</si>
  <si>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</si>
  <si>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</si>
  <si>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</si>
  <si>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</si>
  <si>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</si>
  <si>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</si>
  <si>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</si>
  <si>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</si>
  <si>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</si>
  <si>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</si>
  <si>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</si>
  <si>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</si>
  <si>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</si>
  <si>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</si>
  <si>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</si>
  <si>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</si>
  <si>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</si>
  <si>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</si>
  <si>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</si>
  <si>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</si>
  <si>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</si>
  <si>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</si>
  <si>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</si>
  <si>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</si>
  <si>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</si>
  <si>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</si>
  <si>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</si>
  <si>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</si>
  <si>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</si>
  <si>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</si>
  <si>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</si>
  <si>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</si>
  <si>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</si>
  <si>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</si>
  <si>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</si>
  <si>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</si>
  <si>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</si>
  <si>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</si>
  <si>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</si>
  <si>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</si>
  <si>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</si>
  <si>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</si>
  <si>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</si>
  <si>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</si>
  <si>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</si>
  <si>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</si>
  <si>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</si>
  <si>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</si>
  <si>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</si>
  <si>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</si>
  <si>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</si>
  <si>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</si>
  <si>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</si>
  <si>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</si>
  <si>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</si>
  <si>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</si>
  <si>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</si>
  <si>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</si>
  <si>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</si>
  <si>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</si>
  <si>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</si>
  <si>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</si>
  <si>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</si>
  <si>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</si>
  <si>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</si>
  <si>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</si>
  <si>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</si>
  <si>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</si>
  <si>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</si>
  <si>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</si>
  <si>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</si>
  <si>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</si>
  <si>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</si>
  <si>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</si>
  <si>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</si>
  <si>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</si>
  <si>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</si>
  <si>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</si>
  <si>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</si>
  <si>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</si>
  <si>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</si>
  <si>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</si>
  <si>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</si>
  <si>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</si>
  <si>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</si>
  <si>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</si>
  <si>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</si>
  <si>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</si>
  <si>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</si>
  <si>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</si>
  <si>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</si>
  <si>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</si>
  <si>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</si>
  <si>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</si>
  <si>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</si>
  <si>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</si>
  <si>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</si>
  <si>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</si>
  <si>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</si>
  <si>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</si>
  <si>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</si>
  <si>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</si>
  <si>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</si>
  <si>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</si>
  <si>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</si>
  <si>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</si>
  <si>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</si>
  <si>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</si>
  <si>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</si>
  <si>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</si>
  <si>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</si>
  <si>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</si>
  <si>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</si>
  <si>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</si>
  <si>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</si>
  <si>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</si>
  <si>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</si>
  <si>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</si>
  <si>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</si>
  <si>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</si>
  <si>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</si>
  <si>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</si>
  <si>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</si>
  <si>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</si>
  <si>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</si>
  <si>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</si>
  <si>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</si>
  <si>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</si>
  <si>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</si>
  <si>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</si>
  <si>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</si>
  <si>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</si>
  <si>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</si>
  <si>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</si>
  <si>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</si>
  <si>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</si>
  <si>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</si>
  <si>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</si>
  <si>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</si>
  <si>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</si>
  <si>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</si>
  <si>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</si>
  <si>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</si>
  <si>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</si>
  <si>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</si>
  <si>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</si>
  <si>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</si>
  <si>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</si>
  <si>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</si>
  <si>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</si>
  <si>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</si>
  <si>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</si>
  <si>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</si>
  <si>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</si>
  <si>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</si>
  <si>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</si>
  <si>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</si>
  <si>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</si>
  <si>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</si>
  <si>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</si>
  <si>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</si>
  <si>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</si>
  <si>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</si>
  <si>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</si>
  <si>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</si>
  <si>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</si>
  <si>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</si>
  <si>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</si>
  <si>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</si>
  <si>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</si>
  <si>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</si>
  <si>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</si>
  <si>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</si>
  <si>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</si>
  <si>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</si>
  <si>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</si>
  <si>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</si>
  <si>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</si>
  <si>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</si>
  <si>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</si>
  <si>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</si>
  <si>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</si>
  <si>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</si>
  <si>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</si>
  <si>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</si>
  <si>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</si>
  <si>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</si>
  <si>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</si>
  <si>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</si>
  <si>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</si>
  <si>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</si>
  <si>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</si>
  <si>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</si>
  <si>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</si>
  <si>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</si>
  <si>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</si>
  <si>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</si>
  <si>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</si>
  <si>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</si>
  <si>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</si>
  <si>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</si>
  <si>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</si>
  <si>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</si>
  <si>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</si>
  <si>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</si>
  <si>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</si>
  <si>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</si>
  <si>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</si>
  <si>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</si>
  <si>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</si>
  <si>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</si>
  <si>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</si>
  <si>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</si>
  <si>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</si>
  <si>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</si>
  <si>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</si>
  <si>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</si>
  <si>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</si>
  <si>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</si>
  <si>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</si>
  <si>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</si>
  <si>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</si>
  <si>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</si>
  <si>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</si>
  <si>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</si>
  <si>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</si>
  <si>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</si>
  <si>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</si>
  <si>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</si>
  <si>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</si>
  <si>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</si>
  <si>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</si>
  <si>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</si>
  <si>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</si>
  <si>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</si>
  <si>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</si>
  <si>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</si>
  <si>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</si>
  <si>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</si>
  <si>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</si>
  <si>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</si>
  <si>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</si>
  <si>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</si>
  <si>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</si>
  <si>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</si>
  <si>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</si>
  <si>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</si>
  <si>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</si>
  <si>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</si>
  <si>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</si>
  <si>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</si>
  <si>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</si>
  <si>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</si>
  <si>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</si>
  <si>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</si>
  <si>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</si>
  <si>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</si>
  <si>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</si>
  <si>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</si>
  <si>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</si>
  <si>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</si>
  <si>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</si>
  <si>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</si>
  <si>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</si>
  <si>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</si>
  <si>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</si>
  <si>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</si>
  <si>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</si>
  <si>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</si>
  <si>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</si>
  <si>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</si>
  <si>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</si>
  <si>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</si>
  <si>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</si>
  <si>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</si>
  <si>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</si>
  <si>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</si>
  <si>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</si>
  <si>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</si>
  <si>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</si>
  <si>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</si>
  <si>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</si>
  <si>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</si>
  <si>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</si>
  <si>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</si>
  <si>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</si>
  <si>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</si>
  <si>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</si>
  <si>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</si>
  <si>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</si>
  <si>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</si>
  <si>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</si>
  <si>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</si>
  <si>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</si>
  <si>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</si>
  <si>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</si>
  <si>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</si>
  <si>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</si>
  <si>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</si>
  <si>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</si>
  <si>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</si>
  <si>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</si>
  <si>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</si>
  <si>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</si>
  <si>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</si>
  <si>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</si>
  <si>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</si>
  <si>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</si>
  <si>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</si>
  <si>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</si>
  <si>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</si>
  <si>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</si>
  <si>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</si>
  <si>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</si>
  <si>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</si>
  <si>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</si>
  <si>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</si>
  <si>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</si>
  <si>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</si>
  <si>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</si>
  <si>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</si>
  <si>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</si>
  <si>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</si>
  <si>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</si>
  <si>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</si>
  <si>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</si>
  <si>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</si>
  <si>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</si>
  <si>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</si>
  <si>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</si>
  <si>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</si>
  <si>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</si>
  <si>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</si>
  <si>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</si>
  <si>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</si>
  <si>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</si>
  <si>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</si>
  <si>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</si>
  <si>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</si>
  <si>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</si>
  <si>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</si>
  <si>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</si>
  <si>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</si>
  <si>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</si>
  <si>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</si>
  <si>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</si>
  <si>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</si>
  <si>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</si>
  <si>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</si>
  <si>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</si>
  <si>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</si>
  <si>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</si>
  <si>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</si>
  <si>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</si>
  <si>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</si>
  <si>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</si>
  <si>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</si>
  <si>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</si>
  <si>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</si>
  <si>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</si>
  <si>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</si>
  <si>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</si>
  <si>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</si>
  <si>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</si>
  <si>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</si>
  <si>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</si>
  <si>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</si>
  <si>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</si>
  <si>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</si>
  <si>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</si>
  <si>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</si>
  <si>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</si>
  <si>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</si>
  <si>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</si>
  <si>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</si>
  <si>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</si>
  <si>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</si>
  <si>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</si>
  <si>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</si>
  <si>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</si>
  <si>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</si>
  <si>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</si>
  <si>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</si>
  <si>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</si>
  <si>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</si>
  <si>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</si>
  <si>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</si>
  <si>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</si>
  <si>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</si>
  <si>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</si>
  <si>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</si>
  <si>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</si>
  <si>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</si>
  <si>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</si>
  <si>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</si>
  <si>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</si>
  <si>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</si>
  <si>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</si>
  <si>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</si>
  <si>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</si>
  <si>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</si>
  <si>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</si>
  <si>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</si>
  <si>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</si>
  <si>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</si>
  <si>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</si>
  <si>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</si>
  <si>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</si>
  <si>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</si>
  <si>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</si>
  <si>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</si>
  <si>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</si>
  <si>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</si>
  <si>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</si>
  <si>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</si>
  <si>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</si>
  <si>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</si>
  <si>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</si>
  <si>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</si>
  <si>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</si>
  <si>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</si>
  <si>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</si>
  <si>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</si>
  <si>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</si>
  <si>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</si>
  <si>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</si>
  <si>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</si>
  <si>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</si>
  <si>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</si>
  <si>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</si>
  <si>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</si>
  <si>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</si>
  <si>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</si>
  <si>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</si>
  <si>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</si>
  <si>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</si>
  <si>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</si>
  <si>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</si>
  <si>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</si>
  <si>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</si>
  <si>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</si>
  <si>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</si>
  <si>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</si>
  <si>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</si>
  <si>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</si>
  <si>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</si>
  <si>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</si>
  <si>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</si>
  <si>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</si>
  <si>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</si>
  <si>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</si>
  <si>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</si>
  <si>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</si>
  <si>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</si>
  <si>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</si>
  <si>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</si>
  <si>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</si>
  <si>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</si>
  <si>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</si>
  <si>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</si>
  <si>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</si>
  <si>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</si>
  <si>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</si>
  <si>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</si>
  <si>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</si>
  <si>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</si>
  <si>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</si>
  <si>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</si>
  <si>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</si>
  <si>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</si>
  <si>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</si>
  <si>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</si>
  <si>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</si>
  <si>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</si>
  <si>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</si>
  <si>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</si>
  <si>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</si>
  <si>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</si>
  <si>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</si>
  <si>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</si>
  <si>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</si>
  <si>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</si>
  <si>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</si>
  <si>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</si>
  <si>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</si>
  <si>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</si>
  <si>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</si>
  <si>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</si>
  <si>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</si>
  <si>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</si>
  <si>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</si>
  <si>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</si>
  <si>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</si>
  <si>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</si>
  <si>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</si>
  <si>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</si>
  <si>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</si>
  <si>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</si>
  <si>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</si>
  <si>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</si>
  <si>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</si>
  <si>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</si>
  <si>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</si>
  <si>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</si>
  <si>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</si>
  <si>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</si>
  <si>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</si>
  <si>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</si>
  <si>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</si>
  <si>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</si>
  <si>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</si>
  <si>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</si>
  <si>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</si>
  <si>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</si>
  <si>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</si>
  <si>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</si>
  <si>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</si>
  <si>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</si>
  <si>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</si>
  <si>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</si>
  <si>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</si>
  <si>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</si>
  <si>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</si>
  <si>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</si>
  <si>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</si>
  <si>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</si>
  <si>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</si>
  <si>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</si>
  <si>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</si>
  <si>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</si>
  <si>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</si>
  <si>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</si>
  <si>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</si>
  <si>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</si>
  <si>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</si>
  <si>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</si>
  <si>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</si>
  <si>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</si>
  <si>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</si>
  <si>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</si>
  <si>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</si>
  <si>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</si>
  <si>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</si>
  <si>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</si>
  <si>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</si>
  <si>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</si>
  <si>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</si>
  <si>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</si>
  <si>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</si>
  <si>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</si>
  <si>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</si>
  <si>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</si>
  <si>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</si>
  <si>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</si>
  <si>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</si>
  <si>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</si>
  <si>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</si>
  <si>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</si>
  <si>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</si>
  <si>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</si>
  <si>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</si>
  <si>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</si>
  <si>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</si>
  <si>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</si>
  <si>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</si>
  <si>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</si>
  <si>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</si>
  <si>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</si>
  <si>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</si>
  <si>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</si>
  <si>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</si>
  <si>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</si>
  <si>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</si>
  <si>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</si>
  <si>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</si>
  <si>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</si>
  <si>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</si>
  <si>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</si>
  <si>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</si>
  <si>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</si>
  <si>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</si>
  <si>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</si>
  <si>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</si>
  <si>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</si>
  <si>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</si>
  <si>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</si>
  <si>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</si>
  <si>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</si>
  <si>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</si>
  <si>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</si>
  <si>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</si>
  <si>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</si>
  <si>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</si>
  <si>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</si>
  <si>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</si>
  <si>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</si>
  <si>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</si>
  <si>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</si>
  <si>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</si>
  <si>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</si>
  <si>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</si>
  <si>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</si>
  <si>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</si>
  <si>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</si>
  <si>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</si>
  <si>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</si>
  <si>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</si>
  <si>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</si>
  <si>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</si>
  <si>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</si>
  <si>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</si>
  <si>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</si>
  <si>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</si>
  <si>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</si>
  <si>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</si>
  <si>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</si>
  <si>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</si>
  <si>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</si>
  <si>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</si>
  <si>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</si>
  <si>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</si>
  <si>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</si>
  <si>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</si>
  <si>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</si>
  <si>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</si>
  <si>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</si>
  <si>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</si>
  <si>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</si>
  <si>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</si>
  <si>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</si>
  <si>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</si>
  <si>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</si>
  <si>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</si>
  <si>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</si>
  <si>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</si>
  <si>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</si>
  <si>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</si>
  <si>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</si>
  <si>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</si>
  <si>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</si>
  <si>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</si>
  <si>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</si>
  <si>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</si>
  <si>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</si>
  <si>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</si>
  <si>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</si>
  <si>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</si>
  <si>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</si>
  <si>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</si>
  <si>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</si>
  <si>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</si>
  <si>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</si>
  <si>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</si>
  <si>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</si>
  <si>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</si>
  <si>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</si>
  <si>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</si>
  <si>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</si>
  <si>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</si>
  <si>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</si>
  <si>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</si>
  <si>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</si>
  <si>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</si>
  <si>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</si>
  <si>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</si>
  <si>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</si>
  <si>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</si>
  <si>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</si>
  <si>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</si>
  <si>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</si>
  <si>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</si>
  <si>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</si>
  <si>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</si>
  <si>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</si>
  <si>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</si>
  <si>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</si>
  <si>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</si>
  <si>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</si>
  <si>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</si>
  <si>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</si>
  <si>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</si>
  <si>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</si>
  <si>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</si>
  <si>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</si>
  <si>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</si>
  <si>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</si>
  <si>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</si>
  <si>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</si>
  <si>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</si>
  <si>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</si>
  <si>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</si>
  <si>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</si>
  <si>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</si>
  <si>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</si>
  <si>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</si>
  <si>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</si>
  <si>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</si>
  <si>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</si>
  <si>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</si>
  <si>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</si>
  <si>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</si>
  <si>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</si>
  <si>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</si>
  <si>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</si>
  <si>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</si>
  <si>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</si>
  <si>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</si>
  <si>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</si>
  <si>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</si>
  <si>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</si>
  <si>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</si>
  <si>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</si>
  <si>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</si>
  <si>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</si>
  <si>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</si>
  <si>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</si>
  <si>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</si>
  <si>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</si>
  <si>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</si>
  <si>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</si>
  <si>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</si>
  <si>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</si>
  <si>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</si>
  <si>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</si>
  <si>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</si>
  <si>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</si>
  <si>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</si>
  <si>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</si>
  <si>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</si>
  <si>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</si>
  <si>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</si>
  <si>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</si>
  <si>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</si>
  <si>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</si>
  <si>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</si>
  <si>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</si>
  <si>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</si>
  <si>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</si>
  <si>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</si>
  <si>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</si>
  <si>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</si>
  <si>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</si>
  <si>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</si>
  <si>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</si>
  <si>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</si>
  <si>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</si>
  <si>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</si>
  <si>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</si>
  <si>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</si>
  <si>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</si>
  <si>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</si>
  <si>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</si>
  <si>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</si>
  <si>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</si>
  <si>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</si>
  <si>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</si>
  <si>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</si>
  <si>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</si>
  <si>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</si>
  <si>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</si>
  <si>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</si>
  <si>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</si>
  <si>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</si>
  <si>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</si>
  <si>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</si>
  <si>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</si>
  <si>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</si>
  <si>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</si>
  <si>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</si>
  <si>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</si>
  <si>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</si>
  <si>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</si>
  <si>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</si>
  <si>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</si>
  <si>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</si>
  <si>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</si>
  <si>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</si>
  <si>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</si>
  <si>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</si>
  <si>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</si>
  <si>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</si>
  <si>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</si>
  <si>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</si>
  <si>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</si>
  <si>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</si>
  <si>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</si>
  <si>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</si>
  <si>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</si>
  <si>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</si>
  <si>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</si>
  <si>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</si>
  <si>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</si>
  <si>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</si>
  <si>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</si>
  <si>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</si>
  <si>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</si>
  <si>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</si>
  <si>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</si>
  <si>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</si>
  <si>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</si>
  <si>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</si>
  <si>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</si>
  <si>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</si>
  <si>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</si>
  <si>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</si>
  <si>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</si>
  <si>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</si>
  <si>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</si>
  <si>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</si>
  <si>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</si>
  <si>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</si>
  <si>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</si>
  <si>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</si>
  <si>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</si>
  <si>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</si>
  <si>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</si>
  <si>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</si>
  <si>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</si>
  <si>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</si>
  <si>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</si>
  <si>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</si>
  <si>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</si>
  <si>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</si>
  <si>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</si>
  <si>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</si>
  <si>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</si>
  <si>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</si>
  <si>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</si>
  <si>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</si>
  <si>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</si>
  <si>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</si>
  <si>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</si>
  <si>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</si>
  <si>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</si>
  <si>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</si>
  <si>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</si>
  <si>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</si>
  <si>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</si>
  <si>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</si>
  <si>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</si>
  <si>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</si>
  <si>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</si>
  <si>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</si>
  <si>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</si>
  <si>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</si>
  <si>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</si>
  <si>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</si>
  <si>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</si>
  <si>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</si>
  <si>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</si>
  <si>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</si>
  <si>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</si>
  <si>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</si>
  <si>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</si>
  <si>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</si>
  <si>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</si>
  <si>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</si>
  <si>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</si>
  <si>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</si>
  <si>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</si>
  <si>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</si>
  <si>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</si>
  <si>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</si>
  <si>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</si>
  <si>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</si>
  <si>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</si>
  <si>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</si>
  <si>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</si>
  <si>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</si>
  <si>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</si>
  <si>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</si>
  <si>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</si>
  <si>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</si>
  <si>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</si>
  <si>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</si>
  <si>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</si>
  <si>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</si>
  <si>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</si>
  <si>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</si>
  <si>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</si>
  <si>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</si>
  <si>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</si>
  <si>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</si>
  <si>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</si>
  <si>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</si>
  <si>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</si>
  <si>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</si>
  <si>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</si>
  <si>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</si>
  <si>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</si>
  <si>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</si>
  <si>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</si>
  <si>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</si>
  <si>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</si>
  <si>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</si>
  <si>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</si>
  <si>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</si>
  <si>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</si>
  <si>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</si>
  <si>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</si>
  <si>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</si>
  <si>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</si>
  <si>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</si>
  <si>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</si>
  <si>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</si>
  <si>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</si>
  <si>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</si>
  <si>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</si>
  <si>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</si>
  <si>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</si>
  <si>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</si>
  <si>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</si>
  <si>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</si>
  <si>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</si>
  <si>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</si>
  <si>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</si>
  <si>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</si>
  <si>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</si>
  <si>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</si>
  <si>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</si>
  <si>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</si>
  <si>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</si>
  <si>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</si>
  <si>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</si>
  <si>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</si>
  <si>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</si>
  <si>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</si>
  <si>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</si>
  <si>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</si>
  <si>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</si>
  <si>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</si>
  <si>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</si>
  <si>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</si>
  <si>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</si>
  <si>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</si>
  <si>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</si>
  <si>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</si>
  <si>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</si>
  <si>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</si>
  <si>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</si>
  <si>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</si>
  <si>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</si>
  <si>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</si>
  <si>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</si>
  <si>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</si>
  <si>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</si>
  <si>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</si>
  <si>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</si>
  <si>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</si>
  <si>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</si>
  <si>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</si>
  <si>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</si>
  <si>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</si>
  <si>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</si>
  <si>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</si>
  <si>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</si>
  <si>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</si>
  <si>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</si>
  <si>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</si>
  <si>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</si>
  <si>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</si>
  <si>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</si>
  <si>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</si>
  <si>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</si>
  <si>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</si>
  <si>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</si>
  <si>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</si>
  <si>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</si>
  <si>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</si>
  <si>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</si>
  <si>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</si>
  <si>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</si>
  <si>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</si>
  <si>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</si>
  <si>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</si>
  <si>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</si>
  <si>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</si>
  <si>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</si>
  <si>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</si>
  <si>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</si>
  <si>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</si>
  <si>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</si>
  <si>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</si>
  <si>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</si>
  <si>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</si>
  <si>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</si>
  <si>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</si>
  <si>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</si>
  <si>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</si>
  <si>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</si>
  <si>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</si>
  <si>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</si>
  <si>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</si>
  <si>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</si>
  <si>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</si>
  <si>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</si>
  <si>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</si>
  <si>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</si>
  <si>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</si>
  <si>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</si>
  <si>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</si>
  <si>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</si>
  <si>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</si>
  <si>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</si>
  <si>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</si>
  <si>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</si>
  <si>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</si>
  <si>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</si>
  <si>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</si>
  <si>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</si>
  <si>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</si>
  <si>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</si>
  <si>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</si>
  <si>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</si>
  <si>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</si>
  <si>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</si>
  <si>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</si>
  <si>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</si>
  <si>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</si>
  <si>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</si>
  <si>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</si>
  <si>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</si>
  <si>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</si>
  <si>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</si>
  <si>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</si>
  <si>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</si>
  <si>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</si>
  <si>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</si>
  <si>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</si>
  <si>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</si>
  <si>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</si>
  <si>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</si>
  <si>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</si>
  <si>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</si>
  <si>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</si>
  <si>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</si>
  <si>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</si>
  <si>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</si>
  <si>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</si>
  <si>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</si>
  <si>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</si>
  <si>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</si>
  <si>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</si>
  <si>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</si>
  <si>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</si>
  <si>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</si>
  <si>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</si>
  <si>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</si>
  <si>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</si>
  <si>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</si>
  <si>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</si>
  <si>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</si>
  <si>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</si>
  <si>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</si>
  <si>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</si>
  <si>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</si>
  <si>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</si>
  <si>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</si>
  <si>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</si>
  <si>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</si>
  <si>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</si>
  <si>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</si>
  <si>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</si>
  <si>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</si>
  <si>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</si>
  <si>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</si>
  <si>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</si>
  <si>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</si>
  <si>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</si>
  <si>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</si>
  <si>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</si>
  <si>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</si>
  <si>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</si>
  <si>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</si>
  <si>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</si>
  <si>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</si>
  <si>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</si>
  <si>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</si>
  <si>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</si>
  <si>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</si>
  <si>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</si>
  <si>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</si>
  <si>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</si>
  <si>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</si>
  <si>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</si>
  <si>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</si>
  <si>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</si>
  <si>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</si>
  <si>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</si>
  <si>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</si>
  <si>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</si>
  <si>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</si>
  <si>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</si>
  <si>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</si>
  <si>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</si>
  <si>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</si>
  <si>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</si>
  <si>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</si>
  <si>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</si>
  <si>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</si>
  <si>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</si>
  <si>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</si>
  <si>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</si>
  <si>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</si>
  <si>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</si>
  <si>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</si>
  <si>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</si>
  <si>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</si>
  <si>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</si>
  <si>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</si>
  <si>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</si>
  <si>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</si>
  <si>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</si>
  <si>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</si>
  <si>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</si>
  <si>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</si>
  <si>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</si>
  <si>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</si>
  <si>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</si>
  <si>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</si>
  <si>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</si>
  <si>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</si>
  <si>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</si>
  <si>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</si>
  <si>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</si>
  <si>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</si>
  <si>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</si>
  <si>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</si>
  <si>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</si>
  <si>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</si>
  <si>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</si>
  <si>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</si>
  <si>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</si>
  <si>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</si>
  <si>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</si>
  <si>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</si>
  <si>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</si>
  <si>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</si>
  <si>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</si>
  <si>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</si>
  <si>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</si>
  <si>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</si>
  <si>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</si>
  <si>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</si>
  <si>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</si>
  <si>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</si>
  <si>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</si>
  <si>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</si>
  <si>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</si>
  <si>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</si>
  <si>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</si>
  <si>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</si>
  <si>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</si>
  <si>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</si>
  <si>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</si>
  <si>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</si>
  <si>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</si>
  <si>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</si>
  <si>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</si>
  <si>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</si>
  <si>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</si>
  <si>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</si>
  <si>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</si>
  <si>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</si>
  <si>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</si>
  <si>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</si>
  <si>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</si>
  <si>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</si>
  <si>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</si>
  <si>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</si>
  <si>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</si>
  <si>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</si>
  <si>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</si>
  <si>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</si>
  <si>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</si>
  <si>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</si>
  <si>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</si>
  <si>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</si>
  <si>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</si>
  <si>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</si>
  <si>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</si>
  <si>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</si>
  <si>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</si>
  <si>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</si>
  <si>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</si>
  <si>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</si>
  <si>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</si>
  <si>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</si>
  <si>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</si>
  <si>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</si>
  <si>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</si>
  <si>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</si>
  <si>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</si>
  <si>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</si>
  <si>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</si>
  <si>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</si>
  <si>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</si>
  <si>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</si>
  <si>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</si>
  <si>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</si>
  <si>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</si>
  <si>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</si>
  <si>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</si>
  <si>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</si>
  <si>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</si>
  <si>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</si>
  <si>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</si>
  <si>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</si>
  <si>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</si>
  <si>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</si>
  <si>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</si>
  <si>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</si>
  <si>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</si>
  <si>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</si>
  <si>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</si>
  <si>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</si>
  <si>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</si>
  <si>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</si>
  <si>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</si>
  <si>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</si>
  <si>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</si>
  <si>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</si>
  <si>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</si>
  <si>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</si>
  <si>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</si>
  <si>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</si>
  <si>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</si>
  <si>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</si>
  <si>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</si>
  <si>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</si>
  <si>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</si>
  <si>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</si>
  <si>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</si>
  <si>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</si>
  <si>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营业收入</t>
    <phoneticPr fontId="144" type="noConversion"/>
  </si>
  <si>
    <t>营业成本</t>
    <phoneticPr fontId="144" type="noConversion"/>
  </si>
  <si>
    <t>管理费用</t>
    <phoneticPr fontId="144" type="noConversion"/>
  </si>
  <si>
    <t>税金及附加</t>
    <phoneticPr fontId="144" type="noConversion"/>
  </si>
  <si>
    <t>财务费用</t>
    <phoneticPr fontId="144" type="noConversion"/>
  </si>
  <si>
    <t>一期</t>
    <phoneticPr fontId="4" type="noConversion"/>
  </si>
  <si>
    <t>二期</t>
    <phoneticPr fontId="4" type="noConversion"/>
  </si>
  <si>
    <t>三期</t>
    <phoneticPr fontId="4" type="noConversion"/>
  </si>
  <si>
    <t>否</t>
    <phoneticPr fontId="4" type="noConversion"/>
  </si>
  <si>
    <t>地上</t>
  </si>
  <si>
    <t>地下</t>
  </si>
  <si>
    <t>车库</t>
  </si>
  <si>
    <t>住宅</t>
  </si>
  <si>
    <t>住宅</t>
    <phoneticPr fontId="144" type="noConversion"/>
  </si>
  <si>
    <t>地下车库</t>
    <phoneticPr fontId="144" type="noConversion"/>
  </si>
  <si>
    <t>地下设备</t>
    <phoneticPr fontId="144" type="noConversion"/>
  </si>
  <si>
    <r>
      <t>1</t>
    </r>
    <r>
      <rPr>
        <sz val="11"/>
        <color theme="1"/>
        <rFont val="宋体"/>
        <family val="3"/>
        <charset val="134"/>
        <scheme val="minor"/>
      </rPr>
      <t>#地下车库</t>
    </r>
    <phoneticPr fontId="144" type="noConversion"/>
  </si>
  <si>
    <r>
      <t>2#地下车库</t>
    </r>
    <r>
      <rPr>
        <sz val="11"/>
        <color theme="1"/>
        <rFont val="宋体"/>
        <family val="3"/>
        <charset val="134"/>
        <scheme val="minor"/>
      </rPr>
      <t/>
    </r>
  </si>
  <si>
    <r>
      <t>4</t>
    </r>
    <r>
      <rPr>
        <sz val="11"/>
        <color theme="1"/>
        <rFont val="宋体"/>
        <family val="3"/>
        <charset val="134"/>
        <scheme val="minor"/>
      </rPr>
      <t>#住宅楼</t>
    </r>
    <phoneticPr fontId="144" type="noConversion"/>
  </si>
  <si>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</si>
  <si>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</si>
  <si>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</si>
  <si>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</si>
  <si>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</si>
  <si>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t>物业用房</t>
  </si>
  <si>
    <t>地下物业用房</t>
    <phoneticPr fontId="144" type="noConversion"/>
  </si>
  <si>
    <t>18#公共服务设施楼</t>
    <phoneticPr fontId="144" type="noConversion"/>
  </si>
  <si>
    <t>19#公共服务设施楼</t>
  </si>
  <si>
    <t>商业</t>
    <phoneticPr fontId="144" type="noConversion"/>
  </si>
  <si>
    <t>配套</t>
    <phoneticPr fontId="144" type="noConversion"/>
  </si>
  <si>
    <t>地上设备</t>
    <phoneticPr fontId="144" type="noConversion"/>
  </si>
  <si>
    <t>二期面积清单</t>
    <phoneticPr fontId="144" type="noConversion"/>
  </si>
  <si>
    <t>合计</t>
    <phoneticPr fontId="144" type="noConversion"/>
  </si>
  <si>
    <t>地上建筑面积</t>
  </si>
  <si>
    <r>
      <t>3</t>
    </r>
    <r>
      <rPr>
        <sz val="11"/>
        <color theme="1"/>
        <rFont val="宋体"/>
        <family val="3"/>
        <charset val="134"/>
        <scheme val="minor"/>
      </rPr>
      <t>#酒店</t>
    </r>
    <phoneticPr fontId="144" type="noConversion"/>
  </si>
  <si>
    <t>三期</t>
    <phoneticPr fontId="144" type="noConversion"/>
  </si>
  <si>
    <t>一期</t>
    <phoneticPr fontId="144" type="noConversion"/>
  </si>
  <si>
    <t>总规</t>
    <phoneticPr fontId="144" type="noConversion"/>
  </si>
  <si>
    <t>住宅</t>
    <phoneticPr fontId="144" type="noConversion"/>
  </si>
  <si>
    <t>商业</t>
    <phoneticPr fontId="144" type="noConversion"/>
  </si>
  <si>
    <t>社区服务中心</t>
  </si>
  <si>
    <t>社区服务中心</t>
    <phoneticPr fontId="144" type="noConversion"/>
  </si>
  <si>
    <t>地上物业</t>
    <phoneticPr fontId="144" type="noConversion"/>
  </si>
  <si>
    <t>文体</t>
    <phoneticPr fontId="144" type="noConversion"/>
  </si>
  <si>
    <t>社区委员会</t>
    <phoneticPr fontId="144" type="noConversion"/>
  </si>
  <si>
    <t>垃圾回收站</t>
    <phoneticPr fontId="144" type="noConversion"/>
  </si>
  <si>
    <t>公厕</t>
  </si>
  <si>
    <t>公厕</t>
    <phoneticPr fontId="144" type="noConversion"/>
  </si>
  <si>
    <t>地下车库</t>
    <phoneticPr fontId="144" type="noConversion"/>
  </si>
  <si>
    <t>地下其他</t>
    <phoneticPr fontId="144" type="noConversion"/>
  </si>
  <si>
    <t>公厕</t>
    <phoneticPr fontId="144" type="noConversion"/>
  </si>
  <si>
    <t>社区居委会</t>
    <phoneticPr fontId="144" type="noConversion"/>
  </si>
  <si>
    <t>社区服务</t>
    <phoneticPr fontId="144" type="noConversion"/>
  </si>
  <si>
    <t>文体</t>
    <phoneticPr fontId="144" type="noConversion"/>
  </si>
  <si>
    <t>北京市昌平区中关村科技园昌平园东区三期0303-03地块住宅混合公建用地项目一期、二期、三期整体指标情况</t>
    <phoneticPr fontId="4" type="noConversion"/>
  </si>
  <si>
    <t>楼号</t>
  </si>
  <si>
    <t>总计</t>
  </si>
  <si>
    <t>配套商业</t>
  </si>
  <si>
    <t>社区居民委员会</t>
  </si>
  <si>
    <t>社区卫生站</t>
  </si>
  <si>
    <t>文体活动中心</t>
  </si>
  <si>
    <t>车库出口</t>
  </si>
  <si>
    <t>设备用房</t>
  </si>
  <si>
    <t>物业管理用房</t>
  </si>
  <si>
    <t>开闭站</t>
  </si>
  <si>
    <t>变电室</t>
  </si>
  <si>
    <t>密闭式清洁站</t>
  </si>
  <si>
    <t>自行车库</t>
  </si>
  <si>
    <t>库房</t>
  </si>
  <si>
    <t>1#医疗护理中心</t>
  </si>
  <si>
    <t>2#养生度假酒店</t>
  </si>
  <si>
    <t>4#住宅楼</t>
  </si>
  <si>
    <t>5#住宅楼</t>
  </si>
  <si>
    <t>6#住宅楼</t>
  </si>
  <si>
    <t>7#住宅楼</t>
  </si>
  <si>
    <t>8#住宅楼</t>
  </si>
  <si>
    <t>9#住宅楼</t>
  </si>
  <si>
    <t>18#公共服务设施楼</t>
  </si>
  <si>
    <t>1#地下车库</t>
  </si>
  <si>
    <t>2#地下车库</t>
  </si>
  <si>
    <t>3#酒店</t>
  </si>
  <si>
    <t>10#住宅楼</t>
  </si>
  <si>
    <t>11#住宅楼</t>
  </si>
  <si>
    <t>12#住宅楼</t>
  </si>
  <si>
    <t>13#住宅楼</t>
  </si>
  <si>
    <t>14#住宅楼</t>
  </si>
  <si>
    <t>15#住宅楼</t>
  </si>
  <si>
    <t>16#住宅楼</t>
  </si>
  <si>
    <t>17#住宅楼</t>
  </si>
  <si>
    <t>地下商业</t>
    <phoneticPr fontId="144" type="noConversion"/>
  </si>
  <si>
    <t>商业</t>
    <phoneticPr fontId="8" type="noConversion"/>
  </si>
  <si>
    <t>出让</t>
  </si>
  <si>
    <t>北京市</t>
  </si>
  <si>
    <t>企业</t>
  </si>
  <si>
    <t>抵押</t>
  </si>
  <si>
    <t>房地产抵押价值</t>
  </si>
  <si>
    <t>成新度</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</si>
  <si>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</si>
  <si>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</si>
  <si>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</si>
  <si>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</si>
  <si>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</si>
  <si>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</si>
  <si>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</si>
  <si>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</si>
  <si>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</si>
  <si>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</si>
  <si>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</si>
  <si>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</si>
  <si>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</si>
  <si>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</si>
  <si>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</si>
  <si>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</si>
  <si>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</si>
  <si>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</si>
  <si>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</si>
  <si>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</si>
  <si>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</si>
  <si>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</si>
  <si>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</si>
  <si>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</si>
  <si>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</si>
  <si>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</si>
  <si>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</si>
  <si>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</si>
  <si>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</si>
  <si>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</si>
  <si>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</si>
  <si>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</si>
  <si>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</si>
  <si>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</si>
  <si>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</si>
  <si>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</si>
  <si>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</si>
  <si>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</si>
  <si>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</si>
  <si>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</si>
  <si>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</si>
  <si>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</si>
  <si>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</si>
  <si>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</si>
  <si>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</si>
  <si>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</si>
  <si>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</si>
  <si>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</si>
  <si>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</si>
  <si>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</si>
  <si>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</si>
  <si>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</si>
  <si>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</si>
  <si>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</si>
  <si>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</si>
  <si>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</si>
  <si>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</si>
  <si>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</si>
  <si>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</si>
  <si>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</si>
  <si>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</si>
  <si>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</si>
  <si>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</si>
  <si>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</si>
  <si>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</si>
  <si>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</si>
  <si>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</si>
  <si>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</si>
  <si>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</si>
  <si>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</si>
  <si>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</si>
  <si>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</si>
  <si>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</si>
  <si>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</si>
  <si>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</si>
  <si>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</si>
  <si>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</si>
  <si>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</si>
  <si>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</si>
  <si>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</si>
  <si>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</si>
  <si>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</si>
  <si>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</si>
  <si>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</si>
  <si>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</si>
  <si>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</si>
  <si>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</si>
  <si>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</si>
  <si>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</si>
  <si>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</si>
  <si>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</si>
  <si>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</si>
  <si>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</si>
  <si>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</si>
  <si>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</si>
  <si>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</si>
  <si>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</si>
  <si>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</si>
  <si>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</si>
  <si>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</si>
  <si>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</si>
  <si>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</si>
  <si>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</si>
  <si>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</si>
  <si>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</si>
  <si>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</si>
  <si>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</si>
  <si>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</si>
  <si>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</si>
  <si>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</si>
  <si>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</si>
  <si>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</si>
  <si>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</si>
  <si>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</si>
  <si>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</si>
  <si>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</si>
  <si>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</si>
  <si>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</si>
  <si>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</si>
  <si>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</si>
  <si>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</si>
  <si>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</si>
  <si>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</si>
  <si>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</si>
  <si>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</si>
  <si>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</si>
  <si>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</si>
  <si>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</si>
  <si>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</si>
  <si>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</si>
  <si>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</si>
  <si>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</si>
  <si>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</si>
  <si>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</si>
  <si>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</si>
  <si>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</si>
  <si>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</si>
  <si>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</si>
  <si>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</si>
  <si>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</si>
  <si>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</si>
  <si>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</si>
  <si>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</si>
  <si>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</si>
  <si>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</si>
  <si>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</si>
  <si>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</si>
  <si>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</si>
  <si>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</si>
  <si>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</si>
  <si>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</si>
  <si>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</si>
  <si>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</si>
  <si>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</si>
  <si>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</si>
  <si>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</si>
  <si>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32" type="noConversion"/>
  </si>
  <si>
    <t>未包含在土地购买价格中</t>
  </si>
  <si>
    <t>全部缴纳</t>
  </si>
  <si>
    <t>已包含在土地取得成本中</t>
  </si>
  <si>
    <t>收益法-车库</t>
  </si>
  <si>
    <t>收益法-车库</t>
    <phoneticPr fontId="17" type="noConversion"/>
  </si>
  <si>
    <t>收益法</t>
  </si>
  <si>
    <t>自定义</t>
  </si>
  <si>
    <t>按租金收入计税</t>
  </si>
  <si>
    <t>钢混</t>
  </si>
  <si>
    <t>非生产用房</t>
  </si>
  <si>
    <t>否</t>
  </si>
  <si>
    <t>成本法</t>
  </si>
  <si>
    <t>收益法（汇总）</t>
  </si>
  <si>
    <t>现房</t>
  </si>
  <si>
    <t>人防</t>
    <phoneticPr fontId="144" type="noConversion"/>
  </si>
  <si>
    <t>Ⅷ-昌1</t>
  </si>
  <si>
    <t>有</t>
  </si>
  <si>
    <t>无</t>
  </si>
  <si>
    <t>500-1000米</t>
  </si>
  <si>
    <t>七通一平</t>
  </si>
  <si>
    <t>增加</t>
  </si>
  <si>
    <t>燃气</t>
  </si>
  <si>
    <t>通热</t>
  </si>
  <si>
    <t>按公示增长率计算</t>
  </si>
  <si>
    <t>容积率修正</t>
  </si>
  <si>
    <t>较好</t>
    <phoneticPr fontId="80" type="noConversion"/>
  </si>
  <si>
    <t>一般</t>
    <phoneticPr fontId="80" type="noConversion"/>
  </si>
  <si>
    <t>好</t>
    <phoneticPr fontId="80" type="noConversion"/>
  </si>
  <si>
    <t>是</t>
  </si>
  <si>
    <t>住宅</t>
    <phoneticPr fontId="8" type="noConversion"/>
  </si>
  <si>
    <t>收益法-住宅</t>
  </si>
  <si>
    <t>收益法-住宅</t>
    <phoneticPr fontId="17" type="noConversion"/>
  </si>
  <si>
    <t>居住用地（指二类居住用地）</t>
  </si>
  <si>
    <t>基准地价修正-住宅</t>
  </si>
  <si>
    <t>基准地价修正-住宅</t>
    <phoneticPr fontId="17" type="noConversion"/>
  </si>
  <si>
    <t>独立 &amp; 护理业态损益表</t>
  </si>
  <si>
    <t>养老服务收入</t>
    <phoneticPr fontId="259"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</si>
  <si>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</si>
  <si>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</si>
  <si>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</si>
  <si>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</si>
  <si>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</si>
  <si>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</si>
  <si>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</si>
  <si>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</si>
  <si>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</si>
  <si>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</si>
  <si>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</si>
  <si>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</si>
  <si>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</si>
  <si>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</si>
  <si>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</si>
  <si>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</si>
  <si>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</si>
  <si>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</si>
  <si>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</si>
  <si>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144" type="noConversion"/>
  </si>
  <si>
    <t>折旧与摊销-房产</t>
  </si>
  <si>
    <t>折旧与摊销-非房产</t>
  </si>
  <si>
    <t>财务费用-利息支出</t>
  </si>
  <si>
    <t>内部拆借利息</t>
  </si>
  <si>
    <t>投资收益</t>
  </si>
  <si>
    <t>利润总额</t>
  </si>
  <si>
    <t>所得税</t>
  </si>
  <si>
    <t>净利润</t>
  </si>
  <si>
    <t>销售模式</t>
    <phoneticPr fontId="32" type="noConversion"/>
  </si>
  <si>
    <t>自持</t>
    <phoneticPr fontId="32" type="noConversion"/>
  </si>
  <si>
    <t>销售</t>
    <phoneticPr fontId="32" type="noConversion"/>
  </si>
  <si>
    <t>%</t>
    <phoneticPr fontId="4" type="noConversion"/>
  </si>
  <si>
    <t>住宿餐饮用地</t>
  </si>
  <si>
    <t>按房产原值计税</t>
  </si>
  <si>
    <t>较好</t>
    <phoneticPr fontId="32" type="noConversion"/>
  </si>
  <si>
    <t>较好</t>
    <phoneticPr fontId="32" type="noConversion"/>
  </si>
  <si>
    <t>七通</t>
    <phoneticPr fontId="32" type="noConversion"/>
  </si>
  <si>
    <t>七通</t>
    <phoneticPr fontId="32" type="noConversion"/>
  </si>
  <si>
    <t>三通</t>
    <phoneticPr fontId="32" type="noConversion"/>
  </si>
  <si>
    <t>较规则</t>
    <phoneticPr fontId="32" type="noConversion"/>
  </si>
  <si>
    <t>七通</t>
    <phoneticPr fontId="32" type="noConversion"/>
  </si>
  <si>
    <t>六通</t>
    <phoneticPr fontId="32" type="noConversion"/>
  </si>
  <si>
    <t>五通</t>
    <phoneticPr fontId="32" type="noConversion"/>
  </si>
  <si>
    <t>四通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</si>
</sst>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宋体"/>
      <family val="3"/>
      <charset val="134"/>
    </font>
    <font>
      <b/>
      <sz val="8"/>
      <color indexed="8"/>
      <name val="宋体"/>
      <family val="3"/>
      <charset val="134"/>
    </font>
    <font>
      <b/>
      <sz val="10"/>
      <color theme="0"/>
      <name val="华文楷体"/>
      <family val="3"/>
      <charset val="134"/>
    </font>
    <font>
      <sz val="10"/>
      <color theme="1"/>
      <name val="华文楷体"/>
      <family val="3"/>
      <charset val="134"/>
    </font>
    <font>
      <sz val="9"/>
      <name val="宋体"/>
      <family val="2"/>
      <charset val="134"/>
      <scheme val="minor"/>
    </font>
    <font>
      <b/>
      <sz val="10"/>
      <color theme="8" tint="-0.499984740745262"/>
      <name val="华文楷体"/>
      <family val="3"/>
      <charset val="134"/>
    </font>
    <font>
      <sz val="10"/>
      <color theme="1"/>
      <name val="宋体"/>
      <family val="2"/>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43" fontId="1" fillId="0" borderId="0" applyFont="0" applyFill="0" applyBorder="0" applyAlignment="0" applyProtection="0">
      <alignment vertical="center"/>
    </xf>
    <xf numFmtId="0" fontId="1" fillId="0" borderId="0">
      <alignment vertical="center"/>
    </xf>
  </cellStyleXfs>
  <cellXfs count="33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lignment vertical="center"/>
    </xf>
    <xf numFmtId="180" fontId="51" fillId="0" borderId="1" xfId="0" applyNumberFormat="1"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2" borderId="2" xfId="0" applyFont="1" applyFill="1" applyBorder="1" applyAlignment="1" applyProtection="1">
      <alignment horizontal="center" vertical="center" wrapText="1"/>
      <protection locked="0"/>
    </xf>
    <xf numFmtId="0" fontId="0" fillId="0" borderId="1" xfId="0" applyBorder="1">
      <alignment vertical="center"/>
    </xf>
    <xf numFmtId="0" fontId="100" fillId="0" borderId="1" xfId="0" applyFont="1" applyBorder="1">
      <alignment vertical="center"/>
    </xf>
    <xf numFmtId="0" fontId="100" fillId="0" borderId="1" xfId="0" applyFont="1" applyFill="1" applyBorder="1">
      <alignment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0" fontId="0" fillId="0" borderId="0" xfId="0" applyFill="1" applyBorder="1" applyAlignment="1">
      <alignment horizontal="center" vertical="center"/>
    </xf>
    <xf numFmtId="0" fontId="100"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5" borderId="1" xfId="0" applyFont="1" applyFill="1" applyBorder="1" applyAlignment="1">
      <alignment horizontal="center" vertical="center"/>
    </xf>
    <xf numFmtId="0" fontId="240" fillId="5" borderId="3" xfId="0" applyFont="1" applyFill="1" applyBorder="1" applyAlignment="1">
      <alignment horizontal="center" vertical="center"/>
    </xf>
    <xf numFmtId="0" fontId="240" fillId="9" borderId="1" xfId="0" applyFont="1" applyFill="1" applyBorder="1" applyAlignment="1">
      <alignment horizontal="center" vertical="center"/>
    </xf>
    <xf numFmtId="0" fontId="240" fillId="9" borderId="3" xfId="0" applyFont="1" applyFill="1" applyBorder="1" applyAlignment="1">
      <alignment horizontal="center" vertical="center"/>
    </xf>
    <xf numFmtId="0" fontId="240" fillId="0" borderId="1" xfId="0" applyFont="1" applyFill="1" applyBorder="1" applyAlignment="1">
      <alignment horizontal="center" vertical="center"/>
    </xf>
    <xf numFmtId="0" fontId="240" fillId="0" borderId="3" xfId="0" applyFont="1" applyFill="1" applyBorder="1" applyAlignment="1">
      <alignment horizontal="center" vertical="center"/>
    </xf>
    <xf numFmtId="0" fontId="256" fillId="0" borderId="1" xfId="0" applyFont="1" applyFill="1" applyBorder="1" applyAlignment="1">
      <alignment horizontal="center" vertical="center"/>
    </xf>
    <xf numFmtId="0" fontId="256" fillId="0" borderId="3" xfId="0" applyFont="1" applyFill="1" applyBorder="1" applyAlignment="1">
      <alignment horizontal="center" vertical="center"/>
    </xf>
    <xf numFmtId="0" fontId="255" fillId="0" borderId="1" xfId="11"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5" borderId="0" xfId="17"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0" fontId="255" fillId="0" borderId="7" xfId="11" applyFont="1" applyFill="1" applyBorder="1" applyAlignment="1">
      <alignment horizontal="center" vertical="center"/>
    </xf>
    <xf numFmtId="0" fontId="255" fillId="0" borderId="2" xfId="1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3" xfId="8" applyFont="1" applyFill="1" applyBorder="1" applyAlignment="1" applyProtection="1">
      <alignment horizontal="center" vertical="center" wrapText="1"/>
      <protection locked="0"/>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wrapText="1"/>
      <protection locked="0"/>
    </xf>
    <xf numFmtId="197" fontId="257" fillId="17" borderId="0" xfId="18" applyNumberFormat="1" applyFont="1" applyFill="1" applyBorder="1" applyAlignment="1">
      <alignment horizontal="left" vertical="center" wrapText="1"/>
    </xf>
    <xf numFmtId="197" fontId="257" fillId="17" borderId="0" xfId="18" applyNumberFormat="1" applyFont="1" applyFill="1" applyBorder="1" applyAlignment="1">
      <alignment horizontal="right"/>
    </xf>
    <xf numFmtId="0" fontId="1" fillId="0" borderId="0" xfId="19">
      <alignment vertical="center"/>
    </xf>
    <xf numFmtId="197" fontId="258" fillId="7" borderId="0" xfId="18" applyNumberFormat="1" applyFont="1" applyFill="1" applyBorder="1" applyAlignment="1">
      <alignment horizontal="left" indent="1"/>
    </xf>
    <xf numFmtId="197" fontId="258" fillId="18" borderId="0" xfId="18" applyNumberFormat="1" applyFont="1" applyFill="1" applyAlignment="1">
      <alignment horizontal="right"/>
    </xf>
    <xf numFmtId="197" fontId="258" fillId="7" borderId="0" xfId="18" applyNumberFormat="1" applyFont="1" applyFill="1" applyAlignment="1">
      <alignment horizontal="left" indent="1"/>
    </xf>
    <xf numFmtId="197" fontId="260" fillId="0" borderId="60" xfId="18" applyNumberFormat="1" applyFont="1" applyFill="1" applyBorder="1" applyAlignment="1">
      <alignment horizontal="left"/>
    </xf>
    <xf numFmtId="197" fontId="258" fillId="19" borderId="60" xfId="18" applyNumberFormat="1" applyFont="1" applyFill="1" applyBorder="1" applyAlignment="1">
      <alignment horizontal="right"/>
    </xf>
    <xf numFmtId="197" fontId="258" fillId="7" borderId="0" xfId="18" applyNumberFormat="1" applyFont="1" applyFill="1" applyBorder="1" applyAlignment="1">
      <alignment horizontal="left" vertical="center" indent="2"/>
    </xf>
    <xf numFmtId="197" fontId="258" fillId="7" borderId="0" xfId="18" applyNumberFormat="1" applyFont="1" applyFill="1" applyBorder="1" applyAlignment="1">
      <alignment horizontal="left" indent="2"/>
    </xf>
    <xf numFmtId="197" fontId="258" fillId="0" borderId="0" xfId="18" applyNumberFormat="1" applyFont="1" applyFill="1" applyBorder="1" applyAlignment="1">
      <alignment horizontal="left" indent="1"/>
    </xf>
    <xf numFmtId="197" fontId="260" fillId="0" borderId="54" xfId="18" applyNumberFormat="1" applyFont="1" applyFill="1" applyBorder="1" applyAlignment="1">
      <alignment horizontal="left"/>
    </xf>
    <xf numFmtId="197" fontId="258" fillId="19" borderId="60" xfId="18" applyNumberFormat="1" applyFont="1" applyFill="1" applyBorder="1" applyAlignment="1"/>
    <xf numFmtId="197" fontId="258" fillId="0" borderId="0" xfId="18" applyNumberFormat="1" applyFont="1">
      <alignment vertical="center"/>
    </xf>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3" fontId="1" fillId="0" borderId="0" xfId="19" applyNumberFormat="1">
      <alignment vertical="center"/>
    </xf>
    <xf numFmtId="0" fontId="261" fillId="0" borderId="0" xfId="19" applyFont="1">
      <alignment vertical="center"/>
    </xf>
    <xf numFmtId="43" fontId="261" fillId="0" borderId="0" xfId="19" applyNumberFormat="1" applyFont="1">
      <alignment vertical="center"/>
    </xf>
    <xf numFmtId="10" fontId="51" fillId="0" borderId="1" xfId="0" applyNumberFormat="1" applyFont="1" applyBorder="1" applyProtection="1">
      <alignment vertical="center"/>
      <protection locked="0"/>
    </xf>
    <xf numFmtId="0" fontId="57" fillId="20" borderId="1" xfId="0" applyNumberFormat="1" applyFont="1" applyFill="1" applyBorder="1" applyAlignment="1" applyProtection="1">
      <alignment vertical="center" wrapText="1"/>
      <protection locked="0"/>
    </xf>
    <xf numFmtId="0" fontId="57" fillId="20" borderId="32" xfId="0" applyFont="1" applyFill="1" applyBorder="1" applyAlignment="1" applyProtection="1">
      <alignment vertical="center" wrapText="1"/>
      <protection locked="0"/>
    </xf>
    <xf numFmtId="179" fontId="57" fillId="20" borderId="1" xfId="1" applyNumberFormat="1" applyFont="1" applyFill="1" applyBorder="1" applyAlignment="1" applyProtection="1">
      <alignment horizontal="center"/>
      <protection locked="0"/>
    </xf>
    <xf numFmtId="0" fontId="54" fillId="20" borderId="40" xfId="0" applyFont="1" applyFill="1" applyBorder="1" applyAlignment="1" applyProtection="1">
      <alignment vertical="center" wrapText="1"/>
    </xf>
    <xf numFmtId="0" fontId="51" fillId="20" borderId="1" xfId="0" applyFont="1" applyFill="1" applyBorder="1" applyAlignment="1" applyProtection="1">
      <alignment horizontal="left" vertical="center" wrapText="1"/>
      <protection locked="0"/>
    </xf>
    <xf numFmtId="181" fontId="56" fillId="20" borderId="61" xfId="0" applyNumberFormat="1" applyFont="1" applyFill="1" applyBorder="1" applyAlignment="1" applyProtection="1">
      <alignment horizontal="center" vertical="center"/>
      <protection locked="0"/>
    </xf>
    <xf numFmtId="0" fontId="48" fillId="20" borderId="5" xfId="0" applyFont="1" applyFill="1" applyBorder="1" applyAlignment="1" applyProtection="1">
      <alignment horizontal="center" vertical="center" wrapText="1"/>
    </xf>
    <xf numFmtId="0"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38" fillId="2" borderId="69" xfId="0" applyNumberFormat="1" applyFont="1" applyFill="1" applyBorder="1" applyAlignment="1" applyProtection="1">
      <alignment horizontal="center" vertical="center" wrapText="1"/>
      <protection locked="0"/>
    </xf>
    <xf numFmtId="0" fontId="138" fillId="2" borderId="60" xfId="0" applyNumberFormat="1" applyFont="1" applyFill="1" applyBorder="1" applyAlignment="1" applyProtection="1">
      <alignment horizontal="center" vertical="center" wrapText="1"/>
      <protection locked="0"/>
    </xf>
    <xf numFmtId="9" fontId="138"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57" fillId="20" borderId="1" xfId="0"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protection locked="0"/>
    </xf>
    <xf numFmtId="10" fontId="51" fillId="0" borderId="32" xfId="0" applyNumberFormat="1" applyFont="1" applyBorder="1" applyProtection="1">
      <alignment vertical="center"/>
      <protection locked="0"/>
    </xf>
    <xf numFmtId="0" fontId="48" fillId="21" borderId="24" xfId="0" applyNumberFormat="1" applyFont="1" applyFill="1" applyBorder="1" applyAlignment="1" applyProtection="1">
      <alignment horizontal="center" vertical="center" wrapText="1"/>
    </xf>
    <xf numFmtId="181" fontId="106" fillId="21"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40" fillId="0" borderId="1"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1" fillId="0" borderId="60" xfId="0" applyFont="1" applyBorder="1" applyAlignment="1">
      <alignment horizontal="center" vertical="center"/>
    </xf>
    <xf numFmtId="0" fontId="101"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0" borderId="13" xfId="0" applyFont="1" applyFill="1" applyBorder="1" applyAlignment="1">
      <alignment horizontal="center" vertical="center"/>
    </xf>
    <xf numFmtId="0" fontId="240" fillId="0" borderId="15" xfId="0" applyFont="1" applyFill="1" applyBorder="1" applyAlignment="1">
      <alignment horizontal="center" vertical="center"/>
    </xf>
    <xf numFmtId="0" fontId="240" fillId="0" borderId="2" xfId="0"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15" xfId="0" applyFont="1" applyFill="1" applyBorder="1" applyAlignment="1">
      <alignment horizontal="center" vertical="center"/>
    </xf>
    <xf numFmtId="0" fontId="255" fillId="0" borderId="2" xfId="0"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40" fillId="0" borderId="22" xfId="0" applyFont="1" applyFill="1" applyBorder="1" applyAlignment="1">
      <alignment horizontal="center" vertical="center"/>
    </xf>
    <xf numFmtId="0" fontId="240" fillId="0" borderId="35" xfId="0" applyFont="1" applyFill="1" applyBorder="1" applyAlignment="1">
      <alignment horizontal="center" vertical="center"/>
    </xf>
    <xf numFmtId="0" fontId="240" fillId="0" borderId="7" xfId="0"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60</xdr:row>
      <xdr:rowOff>38100</xdr:rowOff>
    </xdr:from>
    <xdr:to>
      <xdr:col>4</xdr:col>
      <xdr:colOff>380491</xdr:colOff>
      <xdr:row>71</xdr:row>
      <xdr:rowOff>28341</xdr:rowOff>
    </xdr:to>
    <xdr:pic>
      <xdr:nvPicPr>
        <xdr:cNvPr id="4" name="图片 3"/>
        <xdr:cNvPicPr>
          <a:picLocks noChangeAspect="1"/>
        </xdr:cNvPicPr>
      </xdr:nvPicPr>
      <xdr:blipFill>
        <a:blip xmlns:r="http://schemas.openxmlformats.org/officeDocument/2006/relationships" r:embed="rId1"/>
        <a:stretch>
          <a:fillRect/>
        </a:stretch>
      </xdr:blipFill>
      <xdr:spPr>
        <a:xfrm>
          <a:off x="419100" y="10325100"/>
          <a:ext cx="4076191" cy="1876191"/>
        </a:xfrm>
        <a:prstGeom prst="rect">
          <a:avLst/>
        </a:prstGeom>
      </xdr:spPr>
    </xdr:pic>
    <xdr:clientData/>
  </xdr:twoCellAnchor>
  <xdr:twoCellAnchor editAs="oneCell">
    <xdr:from>
      <xdr:col>4</xdr:col>
      <xdr:colOff>342900</xdr:colOff>
      <xdr:row>59</xdr:row>
      <xdr:rowOff>161925</xdr:rowOff>
    </xdr:from>
    <xdr:to>
      <xdr:col>9</xdr:col>
      <xdr:colOff>529255</xdr:colOff>
      <xdr:row>88</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4457700" y="10277475"/>
          <a:ext cx="491075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估价对象为北京市房地产，为所有。根据《国有土地使用证》[]，估价对象（分摊）出让国有建设用地使用权面积为59391.98平方米，建筑面积为158096.87平方米。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估价对象为北京市房地产,属开发建设的，该项目尚在开发建设中。根据《国有土地使用证》[]，估价对象（分摊）出让国有建设用地使用权面积为59391.98平方米，规划建筑面积为158096.87平方米。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2019年1月16日</v>
      </c>
    </row>
    <row r="13" spans="1:2" s="1595" customFormat="1">
      <c r="A13" s="1593" t="s">
        <v>1223</v>
      </c>
      <c r="B13" s="1594"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274424</v>
      </c>
    </row>
    <row r="21" spans="1:2" s="1595" customFormat="1">
      <c r="A21" s="1593" t="s">
        <v>1231</v>
      </c>
      <c r="B21" s="1594">
        <f ca="1">'预评函-2'!D7</f>
        <v>17358</v>
      </c>
    </row>
    <row r="22" spans="1:2" s="1595" customFormat="1">
      <c r="A22" s="1593" t="s">
        <v>1232</v>
      </c>
      <c r="B22" s="1594" t="str">
        <f ca="1">'预评函-2'!D6</f>
        <v>贰拾柒亿肆仟肆佰贰拾肆万元整</v>
      </c>
    </row>
    <row r="23" spans="1:2" s="1595" customFormat="1">
      <c r="A23" s="1593" t="s">
        <v>1283</v>
      </c>
      <c r="B23" s="1594" t="str">
        <f>'预评函-2'!B8</f>
        <v>2.估价师知悉的法定优先受偿款</v>
      </c>
    </row>
    <row r="24" spans="1:2" s="1595" customFormat="1">
      <c r="A24" s="1593" t="s">
        <v>1289</v>
      </c>
      <c r="B24" s="1594">
        <f>'预评函-2'!D8</f>
        <v>457</v>
      </c>
    </row>
    <row r="25" spans="1:2" s="1595" customFormat="1">
      <c r="A25" s="1593" t="s">
        <v>1233</v>
      </c>
      <c r="B25" s="1594" t="str">
        <f>'预评函-2'!D9</f>
        <v>肆佰伍拾柒万元整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457</v>
      </c>
    </row>
    <row r="29" spans="1:2" s="1595" customFormat="1">
      <c r="A29" s="1593" t="s">
        <v>1287</v>
      </c>
      <c r="B29" s="1594" t="str">
        <f>'预评函-2'!B13</f>
        <v>3.房地产抵押价值</v>
      </c>
    </row>
    <row r="30" spans="1:2" s="1595" customFormat="1">
      <c r="A30" s="1593" t="s">
        <v>1288</v>
      </c>
      <c r="B30" s="1594">
        <f ca="1">'预评函-2'!D13</f>
        <v>273967</v>
      </c>
    </row>
    <row r="31" spans="1:2" s="1595" customFormat="1">
      <c r="A31" s="1593" t="s">
        <v>1270</v>
      </c>
      <c r="B31" s="1594">
        <f ca="1">'预评函-2'!D15</f>
        <v>17329</v>
      </c>
    </row>
    <row r="32" spans="1:2" s="1595" customFormat="1">
      <c r="A32" s="1593" t="s">
        <v>1237</v>
      </c>
      <c r="B32" s="1594" t="str">
        <f ca="1">'预评函-2'!D14</f>
        <v>贰拾柒亿叁仟玖佰陆拾柒万元整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c r="A42" s="1593" t="s">
        <v>1284</v>
      </c>
      <c r="B42" s="1594" t="str">
        <f>'预评函-3'!B2</f>
        <v>建筑面积</v>
      </c>
    </row>
    <row r="43" spans="1:2" s="1595" customFormat="1">
      <c r="A43" s="1593" t="s">
        <v>1285</v>
      </c>
      <c r="B43" s="1594">
        <f>'预评函-3'!B4</f>
        <v>158096.87</v>
      </c>
    </row>
    <row r="44" spans="1:2" s="1595" customFormat="1">
      <c r="A44" s="1593" t="s">
        <v>1269</v>
      </c>
      <c r="B44" s="1594" t="str">
        <f>'预评函-3'!C2</f>
        <v>(分摊)土地面积</v>
      </c>
    </row>
    <row r="45" spans="1:2" s="1595" customFormat="1">
      <c r="A45" s="1593" t="s">
        <v>1241</v>
      </c>
      <c r="B45" s="1594">
        <f>'预评函-3'!C4</f>
        <v>59391.98</v>
      </c>
    </row>
    <row r="46" spans="1:2" s="1595" customFormat="1">
      <c r="A46" s="1593" t="s">
        <v>1267</v>
      </c>
      <c r="B46" s="1594" t="str">
        <f>'预评函-3'!D2</f>
        <v>出让国有建设用地使用权价值</v>
      </c>
    </row>
    <row r="47" spans="1:2" s="1595" customFormat="1">
      <c r="A47" s="1593" t="s">
        <v>1242</v>
      </c>
      <c r="B47" s="1594">
        <f ca="1">'预评函-3'!D4</f>
        <v>170601</v>
      </c>
    </row>
    <row r="48" spans="1:2" s="1595" customFormat="1">
      <c r="A48" s="1593" t="s">
        <v>1243</v>
      </c>
      <c r="B48" s="1594">
        <f ca="1">'预评函-3'!E4</f>
        <v>10791</v>
      </c>
    </row>
    <row r="49" spans="1:2" s="1595" customFormat="1">
      <c r="A49" s="1593" t="s">
        <v>1244</v>
      </c>
      <c r="B49" s="1594" t="str">
        <f ca="1">'预评函-3'!D5</f>
        <v>壹拾柒亿零陆佰零壹万元整</v>
      </c>
    </row>
    <row r="50" spans="1:2" s="1595" customFormat="1">
      <c r="A50" s="1593" t="s">
        <v>1268</v>
      </c>
      <c r="B50" s="1594" t="str">
        <f>'预评函-3'!F2</f>
        <v>在建建筑物价值</v>
      </c>
    </row>
    <row r="51" spans="1:2" s="1595" customFormat="1">
      <c r="A51" s="1593" t="s">
        <v>1245</v>
      </c>
      <c r="B51" s="1594">
        <f ca="1">'预评函-3'!F4</f>
        <v>103823</v>
      </c>
    </row>
    <row r="52" spans="1:2" s="1595" customFormat="1">
      <c r="A52" s="1593" t="s">
        <v>1246</v>
      </c>
      <c r="B52" s="1594">
        <f ca="1">'预评函-3'!G4</f>
        <v>6567</v>
      </c>
    </row>
    <row r="53" spans="1:2" s="1595" customFormat="1">
      <c r="A53" s="1593" t="s">
        <v>1274</v>
      </c>
      <c r="B53" s="1594" t="str">
        <f ca="1">'预评函-3'!F5</f>
        <v>壹拾亿叁仟捌佰贰拾叁万元整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故，本次评估估价师知悉的法定优先受偿款为人民币457万元整。</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3312</v>
      </c>
      <c r="C17" s="2017"/>
    </row>
    <row r="18" spans="1:3">
      <c r="A18" s="2016" t="s">
        <v>1763</v>
      </c>
      <c r="B18" s="2016" t="s">
        <v>3339</v>
      </c>
      <c r="C18" s="2017"/>
    </row>
    <row r="19" spans="1:3">
      <c r="A19" s="2016" t="s">
        <v>1764</v>
      </c>
      <c r="B19" s="2016" t="s">
        <v>3342</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9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2"/>
      <c r="B54" s="2024" t="s">
        <v>861</v>
      </c>
      <c r="C54" s="2021" t="s">
        <v>1277</v>
      </c>
    </row>
    <row r="55" spans="1:4">
      <c r="A55" s="3092"/>
      <c r="B55" s="2024" t="s">
        <v>862</v>
      </c>
      <c r="C55" s="2021" t="s">
        <v>1278</v>
      </c>
    </row>
    <row r="56" spans="1:4">
      <c r="A56" s="3092"/>
      <c r="B56" s="2024" t="s">
        <v>863</v>
      </c>
      <c r="C56" s="2021" t="s">
        <v>1282</v>
      </c>
    </row>
    <row r="57" spans="1:4">
      <c r="A57" s="309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1" sqref="J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93" t="str">
        <f>IF(B10="北京市","北京市",C10)&amp;F10&amp;IF(结果表!G1="在建","出让国有建设用地使用权及在建建筑物",IF(结果表!G1="土地","出让国有建设用地使用权",))&amp;B9&amp;"预评估"</f>
        <v>北京市房地产抵押价值预评估</v>
      </c>
      <c r="C1" s="3094"/>
      <c r="D1" s="3094"/>
      <c r="E1" s="3094"/>
      <c r="F1" s="3094"/>
      <c r="G1" s="3094"/>
      <c r="H1" s="3094"/>
      <c r="I1" s="309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43481</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3148</v>
      </c>
      <c r="C8" s="2058"/>
      <c r="D8" s="3096" t="s">
        <v>1781</v>
      </c>
      <c r="E8" s="2059" t="s">
        <v>3149</v>
      </c>
      <c r="F8" s="2060"/>
      <c r="G8" s="2028"/>
      <c r="H8" s="2028"/>
      <c r="I8" s="2028"/>
      <c r="J8" s="2044"/>
      <c r="K8" s="2045"/>
      <c r="L8" s="2030"/>
      <c r="M8" s="2030"/>
      <c r="N8" s="2031"/>
      <c r="O8" s="2032"/>
      <c r="P8" s="2031"/>
      <c r="Q8" s="2031"/>
      <c r="R8" s="2031"/>
    </row>
    <row r="9" spans="1:19" ht="18" customHeight="1" thickBot="1">
      <c r="A9" s="2042" t="s">
        <v>1782</v>
      </c>
      <c r="B9" s="2061" t="s">
        <v>3149</v>
      </c>
      <c r="C9" s="2062"/>
      <c r="D9" s="3097"/>
      <c r="E9" s="2061"/>
      <c r="F9" s="2063"/>
      <c r="G9" s="2064"/>
      <c r="H9" s="2064"/>
      <c r="I9" s="2064"/>
      <c r="J9" s="2044"/>
      <c r="K9" s="2056"/>
      <c r="L9" s="2030"/>
      <c r="M9" s="2030"/>
      <c r="N9" s="2031"/>
      <c r="O9" s="2032"/>
      <c r="P9" s="2031"/>
      <c r="Q9" s="2031"/>
      <c r="R9" s="2031"/>
    </row>
    <row r="10" spans="1:19" ht="18" customHeight="1" thickTop="1">
      <c r="A10" s="2065" t="s">
        <v>1783</v>
      </c>
      <c r="B10" s="2066" t="s">
        <v>3146</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3147</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3145</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66494</v>
      </c>
      <c r="E13" s="2082">
        <v>55536</v>
      </c>
      <c r="F13" s="2082">
        <v>59189</v>
      </c>
      <c r="G13" s="2082">
        <v>59189</v>
      </c>
      <c r="H13" s="2082"/>
      <c r="I13" s="1049"/>
      <c r="J13" s="2044"/>
      <c r="K13" s="2056"/>
      <c r="L13" s="2030"/>
      <c r="M13" s="2030"/>
      <c r="N13" s="2031"/>
      <c r="O13" s="2032"/>
      <c r="P13" s="2031"/>
      <c r="Q13" s="2031"/>
      <c r="R13" s="2031"/>
    </row>
    <row r="14" spans="1:19" ht="18" customHeight="1">
      <c r="A14" s="2079"/>
      <c r="B14" s="2080"/>
      <c r="C14" s="2081" t="s">
        <v>1795</v>
      </c>
      <c r="D14" s="1052">
        <v>70</v>
      </c>
      <c r="E14" s="1052">
        <v>40</v>
      </c>
      <c r="F14" s="1052">
        <v>50</v>
      </c>
      <c r="G14" s="1052">
        <v>50</v>
      </c>
      <c r="H14" s="1052"/>
      <c r="I14" s="1052"/>
      <c r="J14" s="2044"/>
      <c r="K14" s="2083"/>
      <c r="L14" s="2030"/>
      <c r="M14" s="2030"/>
      <c r="N14" s="2031"/>
      <c r="O14" s="2032"/>
      <c r="P14" s="2031"/>
      <c r="Q14" s="2031"/>
      <c r="R14" s="2031"/>
    </row>
    <row r="15" spans="1:19" ht="18" customHeight="1">
      <c r="A15" s="2065"/>
      <c r="B15" s="2084"/>
      <c r="C15" s="2081" t="s">
        <v>1796</v>
      </c>
      <c r="D15" s="1051">
        <f>IF(B12="出让",IF(D13="","",ROUNDDOWN(MIN((D13-$D$3)/365,D14),2)),D14)</f>
        <v>63.04</v>
      </c>
      <c r="E15" s="1051">
        <f>IF(B12="出让",IF(E13="","",ROUNDDOWN(MIN((E13-$D$3)/365,E14),2)),E14)</f>
        <v>33.020000000000003</v>
      </c>
      <c r="F15" s="1051">
        <f>IF(B12="出让",IF(F13="","",ROUNDDOWN(MIN((F13-$D$3)/365,F14),2)),F14)</f>
        <v>43.03</v>
      </c>
      <c r="G15" s="1051">
        <f>IF(B12="出让",IF(G13="","",ROUNDDOWN(MIN((G13-$D$3)/365,G14),2)),G14)</f>
        <v>43.03</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1797</v>
      </c>
      <c r="B16" s="3103"/>
      <c r="C16" s="3104"/>
      <c r="D16" s="3105"/>
      <c r="E16" s="2088" t="s">
        <v>1798</v>
      </c>
      <c r="F16" s="3106"/>
      <c r="G16" s="3107"/>
      <c r="H16" s="3107"/>
      <c r="I16" s="3108"/>
      <c r="J16" s="2031"/>
      <c r="K16" s="2085"/>
      <c r="L16" s="2086"/>
      <c r="M16" s="2086"/>
      <c r="N16" s="2087"/>
      <c r="O16" s="2086"/>
      <c r="P16" s="2087"/>
      <c r="Q16" s="2031"/>
      <c r="R16" s="2031"/>
    </row>
    <row r="17" spans="1:22" ht="18" customHeight="1">
      <c r="A17" s="2089" t="s">
        <v>1799</v>
      </c>
      <c r="B17" s="2037" t="s">
        <v>1800</v>
      </c>
      <c r="C17" s="1056">
        <f>'数据-汇总表'!E3</f>
        <v>158096.87</v>
      </c>
      <c r="D17" s="2090" t="s">
        <v>1801</v>
      </c>
      <c r="E17" s="3109" t="s">
        <v>1802</v>
      </c>
      <c r="F17" s="3110"/>
      <c r="G17" s="3110"/>
      <c r="H17" s="3110"/>
      <c r="I17" s="3111"/>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59391.98</v>
      </c>
      <c r="D18" s="2093" t="s">
        <v>1801</v>
      </c>
      <c r="E18" s="3112" t="s">
        <v>1805</v>
      </c>
      <c r="F18" s="3113"/>
      <c r="G18" s="3113"/>
      <c r="H18" s="3113"/>
      <c r="I18" s="3114"/>
      <c r="J18" s="2031"/>
      <c r="K18" s="2091"/>
      <c r="L18" s="2086"/>
      <c r="M18" s="2086"/>
      <c r="N18" s="2087"/>
      <c r="O18" s="2086"/>
      <c r="P18" s="2087"/>
      <c r="Q18" s="2031"/>
      <c r="R18" s="2031"/>
      <c r="S18" s="2031"/>
      <c r="T18" s="2031"/>
      <c r="U18" s="2031"/>
      <c r="V18" s="2031"/>
    </row>
    <row r="19" spans="1:22" ht="37.5" customHeight="1" thickTop="1" thickBot="1">
      <c r="A19" s="372" t="s">
        <v>1806</v>
      </c>
      <c r="B19" s="351"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99" t="s">
        <v>1810</v>
      </c>
      <c r="C20" s="3100"/>
      <c r="D20" s="3101" t="s">
        <v>1811</v>
      </c>
      <c r="E20" s="3102"/>
      <c r="F20" s="2100" t="s">
        <v>1812</v>
      </c>
      <c r="G20" s="2044"/>
      <c r="H20" s="2044"/>
      <c r="I20" s="2044"/>
      <c r="J20" s="2044"/>
      <c r="K20" s="3098"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9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9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2" t="s">
        <v>1820</v>
      </c>
      <c r="C23" s="2109"/>
      <c r="D23" s="2110" t="s">
        <v>1820</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1821</v>
      </c>
      <c r="C24" s="2114"/>
      <c r="D24" s="2108" t="s">
        <v>1821</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116"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116"/>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116"/>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117"/>
      <c r="B30" s="2037" t="s">
        <v>1829</v>
      </c>
      <c r="C30" s="3118"/>
      <c r="D30" s="311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120"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12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12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115" t="s">
        <v>1839</v>
      </c>
      <c r="T34" s="2137" t="str">
        <f>NUMBERSTRING(7-K34,1)&amp;"通"</f>
        <v>七通</v>
      </c>
      <c r="U34" s="2031"/>
      <c r="V34" s="2031"/>
    </row>
    <row r="35" spans="1:22" ht="18" customHeight="1">
      <c r="A35" s="2138"/>
      <c r="B35" s="3122" t="s">
        <v>1840</v>
      </c>
      <c r="C35" s="3122"/>
      <c r="D35" s="3122"/>
      <c r="E35" s="3122"/>
      <c r="F35" s="2139">
        <f>C10</f>
        <v>0</v>
      </c>
      <c r="G35" s="2044"/>
      <c r="H35" s="2044"/>
      <c r="I35" s="2044"/>
      <c r="J35" s="2044"/>
      <c r="K35" s="2077"/>
      <c r="L35" s="207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15"/>
      <c r="T35" s="47"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t="s">
        <v>528</v>
      </c>
      <c r="C37" s="2143"/>
      <c r="D37" s="2143" t="s">
        <v>528</v>
      </c>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t="s">
        <v>3323</v>
      </c>
      <c r="C38" s="2145"/>
      <c r="D38" s="2145" t="s">
        <v>3323</v>
      </c>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2955">
        <v>138485.726</v>
      </c>
      <c r="B3" s="13">
        <f>IF(C3="否",G5-AT5,G5)</f>
        <v>368638.33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1876</v>
      </c>
      <c r="B5" s="1805"/>
      <c r="C5" s="1805"/>
      <c r="D5" s="1808"/>
      <c r="E5" s="15" t="s">
        <v>1</v>
      </c>
      <c r="F5" s="15">
        <f>SUM(F13:F587)</f>
        <v>0</v>
      </c>
      <c r="G5" s="15">
        <f>SUM(G13:G587)</f>
        <v>412134.33</v>
      </c>
      <c r="H5" s="15">
        <f t="shared" ref="H5:AT5" si="0">SUM(H13:H656)</f>
        <v>349248.51</v>
      </c>
      <c r="I5" s="15">
        <f t="shared" si="0"/>
        <v>92611.29</v>
      </c>
      <c r="J5" s="15">
        <f t="shared" si="0"/>
        <v>0</v>
      </c>
      <c r="K5" s="15">
        <f t="shared" si="0"/>
        <v>15340.460000000001</v>
      </c>
      <c r="L5" s="15">
        <f t="shared" si="0"/>
        <v>0</v>
      </c>
      <c r="M5" s="15">
        <f t="shared" si="0"/>
        <v>33398.53</v>
      </c>
      <c r="N5" s="15">
        <f t="shared" si="0"/>
        <v>0</v>
      </c>
      <c r="O5" s="15">
        <f t="shared" si="0"/>
        <v>207898.22999999998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19389.82</v>
      </c>
      <c r="AD5" s="15">
        <f t="shared" si="0"/>
        <v>1957</v>
      </c>
      <c r="AE5" s="15">
        <f t="shared" si="0"/>
        <v>0</v>
      </c>
      <c r="AF5" s="15">
        <f t="shared" si="0"/>
        <v>0</v>
      </c>
      <c r="AG5" s="15">
        <f t="shared" si="0"/>
        <v>0</v>
      </c>
      <c r="AH5" s="15">
        <f t="shared" si="0"/>
        <v>150</v>
      </c>
      <c r="AI5" s="15">
        <f t="shared" si="0"/>
        <v>0</v>
      </c>
      <c r="AJ5" s="15">
        <f t="shared" si="0"/>
        <v>2477.33</v>
      </c>
      <c r="AK5" s="15">
        <f t="shared" si="0"/>
        <v>0</v>
      </c>
      <c r="AL5" s="15">
        <f t="shared" si="0"/>
        <v>1802.48</v>
      </c>
      <c r="AM5" s="15">
        <f t="shared" si="0"/>
        <v>0</v>
      </c>
      <c r="AN5" s="15">
        <f t="shared" si="0"/>
        <v>13003.009999999998</v>
      </c>
      <c r="AO5" s="15">
        <f t="shared" si="0"/>
        <v>0</v>
      </c>
      <c r="AP5" s="15">
        <f t="shared" si="0"/>
        <v>0</v>
      </c>
      <c r="AQ5" s="15">
        <f t="shared" si="0"/>
        <v>0</v>
      </c>
      <c r="AR5" s="15">
        <f t="shared" si="0"/>
        <v>0</v>
      </c>
      <c r="AS5" s="15">
        <f t="shared" si="0"/>
        <v>0</v>
      </c>
      <c r="AT5" s="15">
        <f t="shared" si="0"/>
        <v>43496</v>
      </c>
      <c r="AU5" s="1804"/>
      <c r="AV5" s="14" t="s">
        <v>1876</v>
      </c>
      <c r="AW5" s="1805"/>
      <c r="AX5" s="1805"/>
      <c r="AY5" s="16" t="s">
        <v>3</v>
      </c>
      <c r="AZ5" s="17">
        <f t="shared" ref="AZ5:BT5" si="1">SUM(AZ13:AZ656)</f>
        <v>158096.87</v>
      </c>
      <c r="BA5" s="17">
        <f t="shared" si="1"/>
        <v>140061.85999999999</v>
      </c>
      <c r="BB5" s="17">
        <f t="shared" si="1"/>
        <v>26779.01</v>
      </c>
      <c r="BC5" s="17">
        <f t="shared" si="1"/>
        <v>1197.69</v>
      </c>
      <c r="BD5" s="17">
        <f t="shared" si="1"/>
        <v>22306.690000000002</v>
      </c>
      <c r="BE5" s="17">
        <f t="shared" si="1"/>
        <v>89778.47</v>
      </c>
      <c r="BF5" s="17">
        <f t="shared" si="1"/>
        <v>0</v>
      </c>
      <c r="BG5" s="17">
        <f t="shared" si="1"/>
        <v>0</v>
      </c>
      <c r="BH5" s="17">
        <f t="shared" si="1"/>
        <v>0</v>
      </c>
      <c r="BI5" s="17">
        <f t="shared" si="1"/>
        <v>0</v>
      </c>
      <c r="BJ5" s="17">
        <f t="shared" si="1"/>
        <v>0</v>
      </c>
      <c r="BK5" s="17">
        <f t="shared" si="1"/>
        <v>0</v>
      </c>
      <c r="BL5" s="17">
        <f t="shared" si="1"/>
        <v>18035.009999999998</v>
      </c>
      <c r="BM5" s="17">
        <f t="shared" si="1"/>
        <v>1492.62</v>
      </c>
      <c r="BN5" s="17">
        <f t="shared" si="1"/>
        <v>0</v>
      </c>
      <c r="BO5" s="17">
        <f t="shared" si="1"/>
        <v>0</v>
      </c>
      <c r="BP5" s="17">
        <f t="shared" si="1"/>
        <v>2477.33</v>
      </c>
      <c r="BQ5" s="17">
        <f t="shared" si="1"/>
        <v>1062.05</v>
      </c>
      <c r="BR5" s="17">
        <f t="shared" si="1"/>
        <v>13003.009999999998</v>
      </c>
      <c r="BS5" s="17">
        <f t="shared" si="1"/>
        <v>0</v>
      </c>
      <c r="BT5" s="18">
        <f t="shared" si="1"/>
        <v>0</v>
      </c>
    </row>
    <row r="6" spans="1:72" s="2180" customFormat="1" ht="12.75">
      <c r="A6" s="14" t="s">
        <v>1877</v>
      </c>
      <c r="B6" s="2177"/>
      <c r="C6" s="2177"/>
      <c r="D6" s="2178"/>
      <c r="E6" s="15">
        <f>H6+AC6+AT6</f>
        <v>138485.71000000002</v>
      </c>
      <c r="F6" s="15" t="s">
        <v>1</v>
      </c>
      <c r="G6" s="15" t="s">
        <v>2</v>
      </c>
      <c r="H6" s="19">
        <f>SUMIF(I$12:AB$12,"总值",I6:AB6)</f>
        <v>131201.58000000002</v>
      </c>
      <c r="I6" s="15">
        <f t="shared" ref="I6:AB6" si="2">ROUND($A$3*I5/$B$3,2)</f>
        <v>34791.120000000003</v>
      </c>
      <c r="J6" s="15">
        <f t="shared" si="2"/>
        <v>0</v>
      </c>
      <c r="K6" s="15">
        <f t="shared" si="2"/>
        <v>5762.92</v>
      </c>
      <c r="L6" s="15">
        <f t="shared" si="2"/>
        <v>0</v>
      </c>
      <c r="M6" s="15">
        <f t="shared" si="2"/>
        <v>12546.77</v>
      </c>
      <c r="N6" s="15">
        <f t="shared" si="2"/>
        <v>0</v>
      </c>
      <c r="O6" s="15">
        <f t="shared" si="2"/>
        <v>78100.77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7284.1299999999992</v>
      </c>
      <c r="AD6" s="15">
        <f t="shared" ref="AD6:AS6" si="3">ROUND($A$3*AD5/$B$3,2)</f>
        <v>735.18</v>
      </c>
      <c r="AE6" s="15">
        <f t="shared" si="3"/>
        <v>0</v>
      </c>
      <c r="AF6" s="15">
        <f t="shared" si="3"/>
        <v>0</v>
      </c>
      <c r="AG6" s="15">
        <f t="shared" si="3"/>
        <v>0</v>
      </c>
      <c r="AH6" s="15">
        <f t="shared" si="3"/>
        <v>56.35</v>
      </c>
      <c r="AI6" s="15">
        <f t="shared" si="3"/>
        <v>0</v>
      </c>
      <c r="AJ6" s="15">
        <f t="shared" si="3"/>
        <v>930.65</v>
      </c>
      <c r="AK6" s="15">
        <f t="shared" si="3"/>
        <v>0</v>
      </c>
      <c r="AL6" s="15">
        <f t="shared" si="3"/>
        <v>677.13</v>
      </c>
      <c r="AM6" s="15">
        <f t="shared" si="3"/>
        <v>0</v>
      </c>
      <c r="AN6" s="15">
        <f t="shared" si="3"/>
        <v>4884.82</v>
      </c>
      <c r="AO6" s="15">
        <f t="shared" si="3"/>
        <v>0</v>
      </c>
      <c r="AP6" s="15">
        <f t="shared" si="3"/>
        <v>0</v>
      </c>
      <c r="AQ6" s="15">
        <f t="shared" si="3"/>
        <v>0</v>
      </c>
      <c r="AR6" s="15">
        <f t="shared" si="3"/>
        <v>0</v>
      </c>
      <c r="AS6" s="15">
        <f t="shared" si="3"/>
        <v>0</v>
      </c>
      <c r="AT6" s="19">
        <f>IF(C3="是",ROUND($A$3*AT5/$B$3,2),0)</f>
        <v>0</v>
      </c>
      <c r="AU6" s="2179"/>
      <c r="AV6" s="14" t="s">
        <v>1877</v>
      </c>
      <c r="AW6" s="2177"/>
      <c r="AX6" s="2177"/>
      <c r="AY6" s="20">
        <f>IF(AY3&gt;0,AY3,ROUND($A$3*AZ5/$B$3,2))</f>
        <v>59391.98</v>
      </c>
      <c r="AZ6" s="15" t="s">
        <v>3</v>
      </c>
      <c r="BA6" s="15">
        <f>ROUND($AY$6*BA5/$AZ$5,2)</f>
        <v>52616.800000000003</v>
      </c>
      <c r="BB6" s="15">
        <f>ROUND($AY$6*BB5/$AZ$5,2)</f>
        <v>10060.02</v>
      </c>
      <c r="BC6" s="15">
        <f t="shared" ref="BC6:BH6" si="4">ROUND($AY$6*BC5/$AZ$5,2)</f>
        <v>449.93</v>
      </c>
      <c r="BD6" s="15">
        <f t="shared" si="4"/>
        <v>8379.92</v>
      </c>
      <c r="BE6" s="15">
        <f t="shared" si="4"/>
        <v>33726.92</v>
      </c>
      <c r="BF6" s="15">
        <f t="shared" si="4"/>
        <v>0</v>
      </c>
      <c r="BG6" s="15">
        <f t="shared" si="4"/>
        <v>0</v>
      </c>
      <c r="BH6" s="15">
        <f t="shared" si="4"/>
        <v>0</v>
      </c>
      <c r="BI6" s="15">
        <f t="shared" ref="BI6:BT6" si="5">ROUND($AY$6*BI5/$AZ$5,2)</f>
        <v>0</v>
      </c>
      <c r="BJ6" s="15">
        <f t="shared" si="5"/>
        <v>0</v>
      </c>
      <c r="BK6" s="15">
        <f t="shared" si="5"/>
        <v>0</v>
      </c>
      <c r="BL6" s="15">
        <f t="shared" si="5"/>
        <v>6775.18</v>
      </c>
      <c r="BM6" s="15">
        <f t="shared" si="5"/>
        <v>560.73</v>
      </c>
      <c r="BN6" s="15">
        <f t="shared" si="5"/>
        <v>0</v>
      </c>
      <c r="BO6" s="15">
        <f t="shared" si="5"/>
        <v>0</v>
      </c>
      <c r="BP6" s="15">
        <f t="shared" si="5"/>
        <v>930.65</v>
      </c>
      <c r="BQ6" s="15">
        <f t="shared" si="5"/>
        <v>398.98</v>
      </c>
      <c r="BR6" s="15">
        <f t="shared" si="5"/>
        <v>4884.82</v>
      </c>
      <c r="BS6" s="15">
        <f t="shared" si="5"/>
        <v>0</v>
      </c>
      <c r="BT6" s="21">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2" t="s">
        <v>1886</v>
      </c>
      <c r="AW7" s="2169" t="s">
        <v>1887</v>
      </c>
      <c r="AX7" s="22"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3"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92" customFormat="1" ht="12.75">
      <c r="A9" s="2185"/>
      <c r="B9" s="2185"/>
      <c r="C9" s="2185"/>
      <c r="D9" s="2185"/>
      <c r="E9" s="2185"/>
      <c r="F9" s="2185"/>
      <c r="G9" s="1294"/>
      <c r="H9" s="2193" t="s">
        <v>1896</v>
      </c>
      <c r="I9" s="2194" t="s">
        <v>3063</v>
      </c>
      <c r="J9" s="983"/>
      <c r="K9" s="2194" t="s">
        <v>3064</v>
      </c>
      <c r="L9" s="983"/>
      <c r="M9" s="2194" t="s">
        <v>3064</v>
      </c>
      <c r="N9" s="983"/>
      <c r="O9" s="2194" t="s">
        <v>3063</v>
      </c>
      <c r="P9" s="983"/>
      <c r="Q9" s="2194"/>
      <c r="R9" s="983"/>
      <c r="S9" s="2194"/>
      <c r="T9" s="983"/>
      <c r="U9" s="2194"/>
      <c r="V9" s="983"/>
      <c r="W9" s="2194"/>
      <c r="X9" s="2195"/>
      <c r="Y9" s="2194"/>
      <c r="Z9" s="983"/>
      <c r="AA9" s="2194"/>
      <c r="AB9" s="983"/>
      <c r="AC9" s="2186" t="s">
        <v>1896</v>
      </c>
      <c r="AD9" s="14" t="s">
        <v>1897</v>
      </c>
      <c r="AE9" s="1300"/>
      <c r="AF9" s="14" t="s">
        <v>1898</v>
      </c>
      <c r="AG9" s="1300"/>
      <c r="AH9" s="14" t="s">
        <v>1897</v>
      </c>
      <c r="AI9" s="1300"/>
      <c r="AJ9" s="14" t="s">
        <v>1898</v>
      </c>
      <c r="AK9" s="1300"/>
      <c r="AL9" s="14" t="s">
        <v>1897</v>
      </c>
      <c r="AM9" s="1300"/>
      <c r="AN9" s="14" t="s">
        <v>1898</v>
      </c>
      <c r="AO9" s="1300"/>
      <c r="AP9" s="14" t="s">
        <v>1897</v>
      </c>
      <c r="AQ9" s="1300"/>
      <c r="AR9" s="14" t="s">
        <v>1898</v>
      </c>
      <c r="AS9" s="2196"/>
      <c r="AT9" s="2185"/>
      <c r="AU9" s="2185" t="s">
        <v>1899</v>
      </c>
      <c r="AV9" s="1294"/>
      <c r="AW9" s="2168"/>
      <c r="AX9" s="1294"/>
      <c r="AY9" s="27"/>
      <c r="AZ9" s="27" t="s">
        <v>1889</v>
      </c>
      <c r="BA9" s="2197" t="s">
        <v>1900</v>
      </c>
      <c r="BB9" s="2198"/>
      <c r="BC9" s="1340"/>
      <c r="BD9" s="1340"/>
      <c r="BE9" s="1340"/>
      <c r="BF9" s="1340"/>
      <c r="BG9" s="1340"/>
      <c r="BH9" s="1340"/>
      <c r="BI9" s="1340"/>
      <c r="BJ9" s="1340"/>
      <c r="BK9" s="2199"/>
      <c r="BL9" s="14" t="s">
        <v>1901</v>
      </c>
      <c r="BM9" s="1820"/>
      <c r="BN9" s="2188"/>
      <c r="BO9" s="1820"/>
      <c r="BP9" s="1820"/>
      <c r="BQ9" s="1820"/>
      <c r="BR9" s="1820"/>
      <c r="BS9" s="1820"/>
      <c r="BT9" s="25"/>
    </row>
    <row r="10" spans="1:72" s="2192" customFormat="1" ht="12.75">
      <c r="A10" s="2185"/>
      <c r="B10" s="2185"/>
      <c r="C10" s="2185"/>
      <c r="D10" s="2185"/>
      <c r="E10" s="2185"/>
      <c r="F10" s="2185"/>
      <c r="G10" s="1294"/>
      <c r="H10" s="27"/>
      <c r="I10" s="2194" t="s">
        <v>1373</v>
      </c>
      <c r="J10" s="983"/>
      <c r="K10" s="2200" t="s">
        <v>1373</v>
      </c>
      <c r="L10" s="983"/>
      <c r="M10" s="2200" t="s">
        <v>3065</v>
      </c>
      <c r="N10" s="983"/>
      <c r="O10" s="2200" t="s">
        <v>3066</v>
      </c>
      <c r="P10" s="983"/>
      <c r="Q10" s="2200"/>
      <c r="R10" s="983"/>
      <c r="S10" s="2200"/>
      <c r="T10" s="983"/>
      <c r="U10" s="2200"/>
      <c r="V10" s="983"/>
      <c r="W10" s="2200"/>
      <c r="X10" s="983"/>
      <c r="Y10" s="2200"/>
      <c r="Z10" s="983"/>
      <c r="AA10" s="2200"/>
      <c r="AB10" s="983"/>
      <c r="AC10" s="1294"/>
      <c r="AD10" s="14" t="s">
        <v>1902</v>
      </c>
      <c r="AE10" s="2201"/>
      <c r="AF10" s="14" t="s">
        <v>1902</v>
      </c>
      <c r="AG10" s="2201"/>
      <c r="AH10" s="14" t="s">
        <v>1903</v>
      </c>
      <c r="AI10" s="2201"/>
      <c r="AJ10" s="14" t="s">
        <v>1903</v>
      </c>
      <c r="AK10" s="2201"/>
      <c r="AL10" s="14" t="s">
        <v>1904</v>
      </c>
      <c r="AM10" s="1300"/>
      <c r="AN10" s="14" t="s">
        <v>1904</v>
      </c>
      <c r="AO10" s="1300"/>
      <c r="AP10" s="14" t="s">
        <v>1905</v>
      </c>
      <c r="AQ10" s="1300"/>
      <c r="AR10" s="14" t="s">
        <v>1905</v>
      </c>
      <c r="AS10" s="1300"/>
      <c r="AT10" s="2185"/>
      <c r="AU10" s="2185"/>
      <c r="AV10" s="1294"/>
      <c r="AW10" s="2168"/>
      <c r="AX10" s="1294"/>
      <c r="AY10" s="27"/>
      <c r="AZ10" s="27"/>
      <c r="BA10" s="2202" t="s">
        <v>1896</v>
      </c>
      <c r="BB10" s="220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1896</v>
      </c>
      <c r="BM10" s="1819" t="str">
        <f>AD9</f>
        <v>地上</v>
      </c>
      <c r="BN10" s="28" t="str">
        <f>AF9</f>
        <v>地下</v>
      </c>
      <c r="BO10" s="1819" t="str">
        <f>AH9</f>
        <v>地上</v>
      </c>
      <c r="BP10" s="28" t="str">
        <f>AJ9</f>
        <v>地下</v>
      </c>
      <c r="BQ10" s="1819" t="str">
        <f>AL9</f>
        <v>地上</v>
      </c>
      <c r="BR10" s="28"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7"/>
      <c r="AZ11" s="27"/>
      <c r="BA11" s="27"/>
      <c r="BB11" s="2190" t="str">
        <f>I10</f>
        <v>商业</v>
      </c>
      <c r="BC11" s="2190" t="str">
        <f>K10</f>
        <v>商业</v>
      </c>
      <c r="BD11" s="2190" t="str">
        <f>M10</f>
        <v>车库</v>
      </c>
      <c r="BE11" s="2190" t="str">
        <f>O10</f>
        <v>住宅</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10" t="s">
        <v>1909</v>
      </c>
      <c r="AT12" s="2213"/>
      <c r="AU12" s="2210"/>
      <c r="AV12" s="30"/>
      <c r="AW12" s="2169"/>
      <c r="AX12" s="30"/>
      <c r="AY12" s="2214"/>
      <c r="AZ12" s="27"/>
      <c r="BA12" s="2202"/>
      <c r="BB12" s="23">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9">
        <f>AR11</f>
        <v>0</v>
      </c>
    </row>
    <row r="13" spans="1:72" s="2170" customFormat="1" ht="12.75">
      <c r="A13" s="1274"/>
      <c r="B13" s="1274"/>
      <c r="C13" s="2956" t="s">
        <v>3059</v>
      </c>
      <c r="D13" s="2958" t="s">
        <v>3318</v>
      </c>
      <c r="E13" s="15">
        <f>IF($C$3="是",ROUND($A$3*G13/$B$3,2),ROUND($A$3*(G13-AT13)/$B$3,2))</f>
        <v>34432.75</v>
      </c>
      <c r="F13" s="31"/>
      <c r="G13" s="32">
        <f>H13+AC13+AT13</f>
        <v>91657.319999999992</v>
      </c>
      <c r="H13" s="19">
        <f>SUMIF(I$12:AB$12,"总值",I13:AB13)</f>
        <v>91066.89</v>
      </c>
      <c r="I13" s="2217">
        <f>面积清单!E31+面积清单!E32</f>
        <v>65832.28</v>
      </c>
      <c r="J13" s="2217"/>
      <c r="K13" s="2217">
        <f>面积清单!X31+面积清单!X32</f>
        <v>14142.77</v>
      </c>
      <c r="L13" s="2217"/>
      <c r="M13" s="2217">
        <f>面积清单!S33</f>
        <v>11091.84</v>
      </c>
      <c r="N13" s="2217"/>
      <c r="O13" s="2217"/>
      <c r="P13" s="2217"/>
      <c r="Q13" s="2217"/>
      <c r="R13" s="2217"/>
      <c r="S13" s="2217"/>
      <c r="T13" s="2217"/>
      <c r="U13" s="2217"/>
      <c r="V13" s="2217"/>
      <c r="W13" s="2217"/>
      <c r="X13" s="2217"/>
      <c r="Y13" s="2217"/>
      <c r="Z13" s="2217"/>
      <c r="AA13" s="2217"/>
      <c r="AB13" s="2217"/>
      <c r="AC13" s="15">
        <f>SUMIF(AD$12:AS$12,"总值",AD13:AS13)</f>
        <v>590.43000000000006</v>
      </c>
      <c r="AD13" s="2218"/>
      <c r="AE13" s="2218"/>
      <c r="AF13" s="2218"/>
      <c r="AG13" s="2218"/>
      <c r="AH13" s="2218"/>
      <c r="AI13" s="2218"/>
      <c r="AJ13" s="2218"/>
      <c r="AK13" s="2218"/>
      <c r="AL13" s="2218">
        <f>面积清单!L31+面积清单!L32+面积清单!K33</f>
        <v>590.43000000000006</v>
      </c>
      <c r="AM13" s="2218"/>
      <c r="AN13" s="2218"/>
      <c r="AO13" s="2218"/>
      <c r="AP13" s="2218"/>
      <c r="AQ13" s="2218"/>
      <c r="AR13" s="2218"/>
      <c r="AS13" s="2218"/>
      <c r="AT13" s="2219"/>
      <c r="AU13" s="2220"/>
      <c r="AV13" s="11">
        <f t="shared" ref="AV13:AX17" si="6">A13</f>
        <v>0</v>
      </c>
      <c r="AW13" s="11">
        <f t="shared" si="6"/>
        <v>0</v>
      </c>
      <c r="AX13" s="11" t="str">
        <f t="shared" si="6"/>
        <v>一期</v>
      </c>
      <c r="AY13" s="1808">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4"/>
      <c r="B14" s="1274"/>
      <c r="C14" s="2957" t="s">
        <v>3060</v>
      </c>
      <c r="D14" s="2958" t="s">
        <v>3336</v>
      </c>
      <c r="E14" s="15">
        <f>IF($C$3="是",ROUND($A$3*G14/$B$3,2),ROUND($A$3*(G14-AT14)/$B$3,2))</f>
        <v>59391.98</v>
      </c>
      <c r="F14" s="31"/>
      <c r="G14" s="32">
        <f>H14+AC14+AT14</f>
        <v>158096.87</v>
      </c>
      <c r="H14" s="19">
        <f>SUMIF(I$12:AB$12,"总值",I14:AB14)</f>
        <v>140061.85999999999</v>
      </c>
      <c r="I14" s="2217">
        <f>面积清单!E44+面积清单!F41</f>
        <v>26779.01</v>
      </c>
      <c r="J14" s="2217"/>
      <c r="K14" s="2217">
        <f>面积清单!X44</f>
        <v>1197.69</v>
      </c>
      <c r="L14" s="2217"/>
      <c r="M14" s="2217">
        <f>面积清单!S42+面积清单!S43+面积清单!S44</f>
        <v>22306.690000000002</v>
      </c>
      <c r="N14" s="2217"/>
      <c r="O14" s="2217">
        <f>面积清单!D34+面积清单!D35+面积清单!D36+面积清单!D37+面积清单!D38+面积清单!D39</f>
        <v>89778.47</v>
      </c>
      <c r="P14" s="2217"/>
      <c r="Q14" s="2217"/>
      <c r="R14" s="2217"/>
      <c r="S14" s="2217"/>
      <c r="T14" s="2217"/>
      <c r="U14" s="2217"/>
      <c r="V14" s="2217"/>
      <c r="W14" s="2217"/>
      <c r="X14" s="2217"/>
      <c r="Y14" s="2217"/>
      <c r="Z14" s="2217"/>
      <c r="AA14" s="2217"/>
      <c r="AB14" s="2217"/>
      <c r="AC14" s="15">
        <f>SUMIF(AD$12:AS$12,"总值",AD14:AS14)</f>
        <v>18035.009999999998</v>
      </c>
      <c r="AD14" s="2218">
        <f>面积清单!I40+面积清单!J40+面积清单!Q37+面积清单!Q38+面积清单!Q40+面积清单!Q41</f>
        <v>1492.62</v>
      </c>
      <c r="AE14" s="2218"/>
      <c r="AF14" s="2218"/>
      <c r="AG14" s="2218"/>
      <c r="AH14" s="2218"/>
      <c r="AI14" s="2218"/>
      <c r="AJ14" s="2218">
        <f>面积清单!U34+面积清单!U35+面积清单!U37+面积清单!U38+面积清单!U44</f>
        <v>2477.33</v>
      </c>
      <c r="AK14" s="2218"/>
      <c r="AL14" s="2218">
        <f>面积清单!L41+面积清单!K42+面积清单!K43+面积清单!N45</f>
        <v>1062.05</v>
      </c>
      <c r="AM14" s="2218"/>
      <c r="AN14" s="2218">
        <f>面积清单!T34+面积清单!T35+面积清单!T36+面积清单!T37+面积清单!T38+面积清单!T39+面积清单!V36+面积清单!V37+面积清单!V38+面积清单!V39+面积清单!V44+面积清单!W44</f>
        <v>13003.009999999998</v>
      </c>
      <c r="AO14" s="2218"/>
      <c r="AP14" s="2218"/>
      <c r="AQ14" s="2218"/>
      <c r="AR14" s="2218"/>
      <c r="AS14" s="2218"/>
      <c r="AT14" s="2219"/>
      <c r="AU14" s="2220"/>
      <c r="AV14" s="11">
        <f t="shared" si="6"/>
        <v>0</v>
      </c>
      <c r="AW14" s="11">
        <f t="shared" si="6"/>
        <v>0</v>
      </c>
      <c r="AX14" s="11" t="str">
        <f t="shared" si="6"/>
        <v>二期</v>
      </c>
      <c r="AY14" s="1808">
        <f>ROUND($AY$6*AZ14/$AZ$5,2)</f>
        <v>59391.98</v>
      </c>
      <c r="AZ14" s="15">
        <f>BA14+BL14</f>
        <v>158096.87</v>
      </c>
      <c r="BA14" s="15">
        <f>SUM(BB14:BK14)</f>
        <v>140061.85999999999</v>
      </c>
      <c r="BB14" s="15">
        <f>IF($D14="是",I14-J14,0)</f>
        <v>26779.01</v>
      </c>
      <c r="BC14" s="15">
        <f>IF($D14="是",K14-L14,0)</f>
        <v>1197.69</v>
      </c>
      <c r="BD14" s="15">
        <f>IF($D14="是",M14-N14,0)</f>
        <v>22306.690000000002</v>
      </c>
      <c r="BE14" s="15">
        <f>IF($D14="是",O14-P14,0)</f>
        <v>89778.47</v>
      </c>
      <c r="BF14" s="15">
        <f>IF($D14="是",Q14-R14,0)</f>
        <v>0</v>
      </c>
      <c r="BG14" s="15">
        <f>IF($D14="是",S14-T14,0)</f>
        <v>0</v>
      </c>
      <c r="BH14" s="15">
        <f>IF($D14="是",U14-V14,0)</f>
        <v>0</v>
      </c>
      <c r="BI14" s="15">
        <f>IF($D14="是",W14-X14,0)</f>
        <v>0</v>
      </c>
      <c r="BJ14" s="15">
        <f>IF($D14="是",Y14-Z14,0)</f>
        <v>0</v>
      </c>
      <c r="BK14" s="15">
        <f>IF($D14="是",AA14-AB14,0)</f>
        <v>0</v>
      </c>
      <c r="BL14" s="15">
        <f>SUM(BM14:BT14)</f>
        <v>18035.009999999998</v>
      </c>
      <c r="BM14" s="15">
        <f>IF($D14="是",AD14-AE14,0)</f>
        <v>1492.62</v>
      </c>
      <c r="BN14" s="15">
        <f>IF($D14="是",AF14-AG14,0)</f>
        <v>0</v>
      </c>
      <c r="BO14" s="15">
        <f>IF($D14="是",AH14-AI14,0)</f>
        <v>0</v>
      </c>
      <c r="BP14" s="15">
        <f>IF($D14="是",AJ14-AK14,0)</f>
        <v>2477.33</v>
      </c>
      <c r="BQ14" s="15">
        <f>IF($D14="是",AL14-AM14,0)</f>
        <v>1062.05</v>
      </c>
      <c r="BR14" s="15">
        <f>IF($D14="是",AN14-AO14,0)</f>
        <v>13003.009999999998</v>
      </c>
      <c r="BS14" s="15">
        <f>IF($D14="是",AP14-AQ14,0)</f>
        <v>0</v>
      </c>
      <c r="BT14" s="21">
        <f>IF($D14="是",AR14-AS14,0)</f>
        <v>0</v>
      </c>
    </row>
    <row r="15" spans="1:72" s="2170" customFormat="1" ht="12.75">
      <c r="A15" s="1274"/>
      <c r="B15" s="1274"/>
      <c r="C15" s="2957" t="s">
        <v>3061</v>
      </c>
      <c r="D15" s="2958" t="s">
        <v>3062</v>
      </c>
      <c r="E15" s="15">
        <f>IF($C$3="是",ROUND($A$3*G15/$B$3,2),ROUND($A$3*(G15-AT15)/$B$3,2))</f>
        <v>44661</v>
      </c>
      <c r="F15" s="31"/>
      <c r="G15" s="32">
        <f>H15+AC15+AT15</f>
        <v>162380.14000000001</v>
      </c>
      <c r="H15" s="19">
        <f>SUMIF(I$12:AB$12,"总值",I15:AB15)</f>
        <v>118119.76</v>
      </c>
      <c r="I15" s="2217"/>
      <c r="J15" s="2217"/>
      <c r="K15" s="2217"/>
      <c r="L15" s="2217"/>
      <c r="M15" s="2217"/>
      <c r="N15" s="2217"/>
      <c r="O15" s="2217">
        <f>面积清单!D46</f>
        <v>118119.76</v>
      </c>
      <c r="P15" s="2217"/>
      <c r="Q15" s="2217"/>
      <c r="R15" s="2217"/>
      <c r="S15" s="2217"/>
      <c r="T15" s="2217"/>
      <c r="U15" s="2217"/>
      <c r="V15" s="2217"/>
      <c r="W15" s="2217"/>
      <c r="X15" s="2217"/>
      <c r="Y15" s="2217"/>
      <c r="Z15" s="2217"/>
      <c r="AA15" s="2217"/>
      <c r="AB15" s="2217"/>
      <c r="AC15" s="15">
        <f>SUMIF(AD$12:AS$12,"总值",AD15:AS15)</f>
        <v>764.38</v>
      </c>
      <c r="AD15" s="2218">
        <f>面积清单!G46+面积清单!H46+面积清单!P46+面积清单!Q46</f>
        <v>464.38</v>
      </c>
      <c r="AE15" s="2218"/>
      <c r="AF15" s="2218"/>
      <c r="AG15" s="2218"/>
      <c r="AH15" s="2218">
        <f>面积清单!M46</f>
        <v>150</v>
      </c>
      <c r="AI15" s="2218"/>
      <c r="AJ15" s="2218"/>
      <c r="AK15" s="2218"/>
      <c r="AL15" s="2218">
        <f>面积清单!O54</f>
        <v>150</v>
      </c>
      <c r="AM15" s="2218"/>
      <c r="AN15" s="2218">
        <f>面积清单!W46</f>
        <v>0</v>
      </c>
      <c r="AO15" s="2218"/>
      <c r="AP15" s="2218"/>
      <c r="AQ15" s="2218"/>
      <c r="AR15" s="2218"/>
      <c r="AS15" s="2218"/>
      <c r="AT15" s="2219">
        <f>面积清单!Y46</f>
        <v>43496</v>
      </c>
      <c r="AU15" s="2220"/>
      <c r="AV15" s="11">
        <f t="shared" si="6"/>
        <v>0</v>
      </c>
      <c r="AW15" s="11">
        <f t="shared" si="6"/>
        <v>0</v>
      </c>
      <c r="AX15" s="11" t="str">
        <f t="shared" si="6"/>
        <v>三期</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4"/>
      <c r="B16" s="1274"/>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4"/>
      <c r="B17" s="1274"/>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topLeftCell="J22" workbookViewId="0">
      <selection activeCell="S46" sqref="S46:S53"/>
    </sheetView>
  </sheetViews>
  <sheetFormatPr defaultRowHeight="13.5"/>
  <cols>
    <col min="1" max="1" width="20.125" customWidth="1"/>
    <col min="2" max="3" width="11.125" customWidth="1"/>
    <col min="4" max="4" width="11.625" customWidth="1"/>
    <col min="5" max="6" width="12.5" customWidth="1"/>
    <col min="7" max="7" width="11.75" customWidth="1"/>
    <col min="8" max="8" width="12.875" customWidth="1"/>
    <col min="9" max="9" width="12.375" customWidth="1"/>
    <col min="12" max="12" width="12.25" customWidth="1"/>
    <col min="13" max="13" width="13.75" customWidth="1"/>
  </cols>
  <sheetData>
    <row r="1" spans="1:14">
      <c r="A1" s="3126" t="s">
        <v>3085</v>
      </c>
      <c r="B1" s="3127"/>
      <c r="C1" s="3127"/>
      <c r="D1" s="3127"/>
      <c r="E1" s="3127"/>
      <c r="F1" s="3127"/>
      <c r="G1" s="3127"/>
      <c r="H1" s="3127"/>
      <c r="I1" s="3127"/>
      <c r="J1" s="2954" t="s">
        <v>3104</v>
      </c>
      <c r="K1" s="2954" t="s">
        <v>3105</v>
      </c>
      <c r="L1" s="2965" t="s">
        <v>3106</v>
      </c>
      <c r="M1" s="2965" t="s">
        <v>3107</v>
      </c>
    </row>
    <row r="2" spans="1:14">
      <c r="A2" s="2959"/>
      <c r="B2" s="2960" t="s">
        <v>3067</v>
      </c>
      <c r="C2" s="2960" t="s">
        <v>3082</v>
      </c>
      <c r="D2" s="2960" t="s">
        <v>3068</v>
      </c>
      <c r="E2" s="2960" t="s">
        <v>3083</v>
      </c>
      <c r="F2" s="2960" t="s">
        <v>3084</v>
      </c>
      <c r="G2" s="2960" t="s">
        <v>3069</v>
      </c>
      <c r="H2" s="2960" t="s">
        <v>3079</v>
      </c>
      <c r="I2" s="2959"/>
      <c r="L2" s="2962"/>
      <c r="M2" s="2962"/>
    </row>
    <row r="3" spans="1:14">
      <c r="A3" s="2960" t="s">
        <v>3088</v>
      </c>
      <c r="B3" s="2960"/>
      <c r="C3" s="2960">
        <v>25679.96</v>
      </c>
      <c r="D3" s="2960">
        <v>4558.58</v>
      </c>
      <c r="E3" s="2960">
        <v>1197.69</v>
      </c>
      <c r="G3" s="2960">
        <f>1499.68+1696.89</f>
        <v>3196.57</v>
      </c>
      <c r="H3" s="2960">
        <v>578.75</v>
      </c>
      <c r="I3" s="2959">
        <f>SUM(B3:H3)</f>
        <v>35211.550000000003</v>
      </c>
      <c r="L3" s="2962"/>
      <c r="M3" s="2962"/>
    </row>
    <row r="4" spans="1:14">
      <c r="A4" s="2960" t="s">
        <v>3072</v>
      </c>
      <c r="B4" s="2959">
        <v>10826.94</v>
      </c>
      <c r="C4" s="2959"/>
      <c r="D4" s="2959"/>
      <c r="E4" s="2959"/>
      <c r="F4" s="2959"/>
      <c r="G4" s="2959">
        <v>265.02</v>
      </c>
      <c r="H4" s="2959">
        <v>836.51</v>
      </c>
      <c r="I4" s="2959">
        <f>SUM(B4:H4)</f>
        <v>11928.470000000001</v>
      </c>
      <c r="L4" s="2962"/>
      <c r="M4" s="2962"/>
    </row>
    <row r="5" spans="1:14">
      <c r="A5" s="2960" t="s">
        <v>3073</v>
      </c>
      <c r="B5" s="2959">
        <v>10826.94</v>
      </c>
      <c r="C5" s="2959"/>
      <c r="D5" s="2959"/>
      <c r="E5" s="2959"/>
      <c r="F5" s="2959"/>
      <c r="G5" s="2959">
        <v>249.87</v>
      </c>
      <c r="H5" s="2959">
        <v>847.9</v>
      </c>
      <c r="I5" s="2959">
        <f t="shared" ref="I5:I13" si="0">SUM(B5:H5)</f>
        <v>11924.710000000001</v>
      </c>
      <c r="L5" s="2962"/>
      <c r="M5" s="2962"/>
    </row>
    <row r="6" spans="1:14">
      <c r="A6" s="2960" t="s">
        <v>3074</v>
      </c>
      <c r="B6" s="2959">
        <v>15787.17</v>
      </c>
      <c r="C6" s="2959"/>
      <c r="D6" s="2959"/>
      <c r="E6" s="2959"/>
      <c r="F6" s="2959"/>
      <c r="G6" s="2959">
        <v>608.45000000000005</v>
      </c>
      <c r="H6" s="2959">
        <v>1262.46</v>
      </c>
      <c r="I6" s="2959">
        <f t="shared" si="0"/>
        <v>17658.079999999998</v>
      </c>
      <c r="L6" s="2962"/>
      <c r="M6" s="2962"/>
    </row>
    <row r="7" spans="1:14">
      <c r="A7" s="2960" t="s">
        <v>3075</v>
      </c>
      <c r="B7" s="2959">
        <v>19149.400000000001</v>
      </c>
      <c r="C7" s="2959"/>
      <c r="D7" s="2959"/>
      <c r="E7" s="2959">
        <v>9.0299999999999994</v>
      </c>
      <c r="F7" s="2959"/>
      <c r="G7" s="2959">
        <f>2269.91+560.72</f>
        <v>2830.63</v>
      </c>
      <c r="H7" s="2959">
        <v>104.81</v>
      </c>
      <c r="I7" s="2959">
        <f t="shared" si="0"/>
        <v>22093.870000000003</v>
      </c>
      <c r="J7">
        <v>9.0299999999999994</v>
      </c>
      <c r="L7" s="2962"/>
      <c r="M7" s="2962"/>
    </row>
    <row r="8" spans="1:14">
      <c r="A8" s="2960" t="s">
        <v>3076</v>
      </c>
      <c r="B8" s="2959">
        <v>18462.330000000002</v>
      </c>
      <c r="C8" s="2959"/>
      <c r="D8" s="2959"/>
      <c r="E8" s="2959">
        <v>9.09</v>
      </c>
      <c r="F8" s="2959"/>
      <c r="G8" s="2959">
        <f>2251.81+570.15</f>
        <v>2821.96</v>
      </c>
      <c r="H8" s="2959">
        <v>109.36</v>
      </c>
      <c r="I8" s="2959">
        <f t="shared" si="0"/>
        <v>21402.74</v>
      </c>
      <c r="J8">
        <v>9.09</v>
      </c>
      <c r="L8" s="2962"/>
      <c r="M8" s="2962"/>
    </row>
    <row r="9" spans="1:14">
      <c r="A9" s="2960" t="s">
        <v>3077</v>
      </c>
      <c r="B9" s="2959">
        <v>14725.69</v>
      </c>
      <c r="C9" s="2959"/>
      <c r="D9" s="2959"/>
      <c r="E9" s="2959"/>
      <c r="F9" s="2959"/>
      <c r="G9" s="2959">
        <f>1178.4+589.65</f>
        <v>1768.0500000000002</v>
      </c>
      <c r="H9" s="2959"/>
      <c r="I9" s="2959">
        <f t="shared" si="0"/>
        <v>16493.740000000002</v>
      </c>
      <c r="L9" s="2962"/>
      <c r="M9" s="2962"/>
    </row>
    <row r="10" spans="1:14">
      <c r="A10" s="2960" t="s">
        <v>3080</v>
      </c>
      <c r="B10" s="2959"/>
      <c r="C10" s="2959"/>
      <c r="D10" s="2959"/>
      <c r="E10" s="2959">
        <v>1418.2</v>
      </c>
      <c r="F10" s="2959"/>
      <c r="G10" s="2959"/>
      <c r="H10" s="2959"/>
      <c r="I10" s="2959">
        <f t="shared" si="0"/>
        <v>1418.2</v>
      </c>
      <c r="J10">
        <v>65.2</v>
      </c>
      <c r="L10" s="2962"/>
      <c r="M10" s="2962">
        <v>1102.5999999999999</v>
      </c>
      <c r="N10">
        <v>250.4</v>
      </c>
    </row>
    <row r="11" spans="1:14">
      <c r="A11" s="2960" t="s">
        <v>3081</v>
      </c>
      <c r="B11" s="2959"/>
      <c r="C11" s="2959">
        <v>1099.05</v>
      </c>
      <c r="D11" s="2959"/>
      <c r="E11" s="2959">
        <v>56.3</v>
      </c>
      <c r="F11" s="2959">
        <v>54.5</v>
      </c>
      <c r="G11" s="2959"/>
      <c r="H11" s="2959"/>
      <c r="I11" s="2959">
        <f t="shared" si="0"/>
        <v>1209.8499999999999</v>
      </c>
      <c r="J11">
        <v>56.3</v>
      </c>
      <c r="L11" s="2962"/>
      <c r="M11" s="2962"/>
    </row>
    <row r="12" spans="1:14">
      <c r="A12" s="2960" t="s">
        <v>3070</v>
      </c>
      <c r="B12" s="2959"/>
      <c r="C12" s="2959"/>
      <c r="D12" s="2959">
        <v>8710.7099999999991</v>
      </c>
      <c r="E12" s="2959"/>
      <c r="F12" s="2959"/>
      <c r="G12" s="2959"/>
      <c r="H12" s="2959"/>
      <c r="I12" s="2959">
        <f t="shared" si="0"/>
        <v>8710.7099999999991</v>
      </c>
      <c r="L12" s="2962"/>
      <c r="M12" s="2962"/>
    </row>
    <row r="13" spans="1:14">
      <c r="A13" s="2960" t="s">
        <v>3071</v>
      </c>
      <c r="B13" s="2959"/>
      <c r="C13" s="2959"/>
      <c r="D13" s="2959">
        <v>9037.4</v>
      </c>
      <c r="E13" s="2959"/>
      <c r="F13" s="2959"/>
      <c r="G13" s="2959"/>
      <c r="H13" s="2959"/>
      <c r="I13" s="2959">
        <f t="shared" si="0"/>
        <v>9037.4</v>
      </c>
      <c r="L13" s="2962"/>
      <c r="M13" s="2962"/>
    </row>
    <row r="14" spans="1:14">
      <c r="A14" s="2961" t="s">
        <v>3086</v>
      </c>
      <c r="B14" s="2959">
        <f>SUM(B3:B13)</f>
        <v>89778.47</v>
      </c>
      <c r="C14" s="2959">
        <f t="shared" ref="C14:I14" si="1">SUM(C3:C13)</f>
        <v>26779.01</v>
      </c>
      <c r="D14" s="2959">
        <f t="shared" si="1"/>
        <v>22306.69</v>
      </c>
      <c r="E14" s="2959">
        <f t="shared" si="1"/>
        <v>2690.3100000000004</v>
      </c>
      <c r="F14" s="2959">
        <f t="shared" si="1"/>
        <v>54.5</v>
      </c>
      <c r="G14" s="2959">
        <f>SUM(G3:G13)</f>
        <v>11740.55</v>
      </c>
      <c r="H14" s="2959">
        <f t="shared" si="1"/>
        <v>3739.79</v>
      </c>
      <c r="I14" s="2959">
        <f t="shared" si="1"/>
        <v>157089.32</v>
      </c>
      <c r="J14" s="2959">
        <f t="shared" ref="J14" si="2">SUM(J3:J13)</f>
        <v>139.62</v>
      </c>
      <c r="K14" s="2959">
        <f t="shared" ref="K14" si="3">SUM(K3:K13)</f>
        <v>0</v>
      </c>
      <c r="L14" s="2959">
        <f t="shared" ref="L14" si="4">SUM(L3:L13)</f>
        <v>0</v>
      </c>
      <c r="M14" s="2959">
        <f t="shared" ref="M14" si="5">SUM(M3:M13)</f>
        <v>1102.5999999999999</v>
      </c>
      <c r="N14" s="2959">
        <f t="shared" ref="N14" si="6">SUM(N3:N13)</f>
        <v>250.4</v>
      </c>
    </row>
    <row r="15" spans="1:14">
      <c r="L15" s="2962"/>
      <c r="M15" s="2962"/>
    </row>
    <row r="16" spans="1:14">
      <c r="A16" s="3128" t="s">
        <v>3090</v>
      </c>
      <c r="B16" s="3129"/>
      <c r="C16" s="3129"/>
      <c r="D16" s="3129"/>
      <c r="E16" s="3129"/>
      <c r="F16" s="3129"/>
      <c r="G16" s="3129"/>
      <c r="H16" s="3129"/>
      <c r="I16" s="3129"/>
      <c r="L16" s="2962"/>
      <c r="M16" s="2962"/>
    </row>
    <row r="17" spans="1:25">
      <c r="C17">
        <f>'数据-基础表'!I13</f>
        <v>65832.28</v>
      </c>
      <c r="D17">
        <f>'数据-基础表'!M13</f>
        <v>11091.84</v>
      </c>
      <c r="I17">
        <f>'数据-基础表'!G13</f>
        <v>91657.319999999992</v>
      </c>
      <c r="L17" s="2962"/>
      <c r="M17" s="2962"/>
    </row>
    <row r="18" spans="1:25">
      <c r="L18" s="2962"/>
      <c r="M18" s="2962"/>
    </row>
    <row r="19" spans="1:25">
      <c r="A19" s="3128" t="s">
        <v>3089</v>
      </c>
      <c r="B19" s="3128"/>
      <c r="C19" s="3128"/>
      <c r="D19" s="3128"/>
      <c r="E19" s="3128"/>
      <c r="F19" s="3128"/>
      <c r="G19" s="3128"/>
      <c r="H19" s="3128"/>
      <c r="I19" s="3128"/>
      <c r="L19" s="2962"/>
      <c r="M19" s="2962"/>
    </row>
    <row r="20" spans="1:25">
      <c r="B20">
        <f>B24-B14</f>
        <v>120736.53</v>
      </c>
      <c r="C20">
        <f>C24-C14-C17</f>
        <v>-461.2899999999936</v>
      </c>
      <c r="D20">
        <f>J24-D14-D17</f>
        <v>-267.40999999999622</v>
      </c>
      <c r="F20">
        <f>I24-J14</f>
        <v>28.490000000000009</v>
      </c>
      <c r="I20">
        <f>L24-I14-I17</f>
        <v>163127.35999999999</v>
      </c>
      <c r="L20" s="2962"/>
      <c r="M20" s="2963"/>
    </row>
    <row r="21" spans="1:25">
      <c r="L21" s="2962"/>
      <c r="M21" s="2962"/>
    </row>
    <row r="22" spans="1:25">
      <c r="A22" s="3128" t="s">
        <v>3091</v>
      </c>
      <c r="B22" s="3129"/>
      <c r="C22" s="3129"/>
      <c r="D22" s="3129"/>
      <c r="E22" s="3129"/>
      <c r="F22" s="3129"/>
      <c r="G22" s="3129"/>
      <c r="H22" s="3129"/>
      <c r="I22" s="3129"/>
      <c r="L22" s="2962"/>
      <c r="M22" s="2962"/>
    </row>
    <row r="23" spans="1:25">
      <c r="B23" s="2954" t="s">
        <v>3092</v>
      </c>
      <c r="C23" s="2954" t="s">
        <v>3093</v>
      </c>
      <c r="D23" s="2954" t="s">
        <v>3095</v>
      </c>
      <c r="E23" s="2954" t="s">
        <v>3096</v>
      </c>
      <c r="F23" s="2954" t="s">
        <v>3097</v>
      </c>
      <c r="G23" s="2954" t="s">
        <v>3098</v>
      </c>
      <c r="H23" s="2954" t="s">
        <v>3099</v>
      </c>
      <c r="I23" s="2954" t="s">
        <v>3101</v>
      </c>
      <c r="J23" s="2954" t="s">
        <v>3102</v>
      </c>
      <c r="K23" s="2954" t="s">
        <v>3103</v>
      </c>
      <c r="L23" s="2962"/>
      <c r="M23" s="2962"/>
    </row>
    <row r="24" spans="1:25">
      <c r="B24">
        <v>210515</v>
      </c>
      <c r="C24">
        <v>92150</v>
      </c>
      <c r="D24">
        <v>160</v>
      </c>
      <c r="E24">
        <v>150</v>
      </c>
      <c r="F24">
        <v>1000</v>
      </c>
      <c r="G24">
        <v>140</v>
      </c>
      <c r="H24">
        <v>135.88999999999999</v>
      </c>
      <c r="I24">
        <v>168.11</v>
      </c>
      <c r="J24">
        <v>33131.120000000003</v>
      </c>
      <c r="K24">
        <v>74323.88</v>
      </c>
      <c r="L24" s="2962">
        <f>SUM(B24:K24)</f>
        <v>411874</v>
      </c>
      <c r="M24" s="2963"/>
    </row>
    <row r="25" spans="1:25">
      <c r="L25" s="2962"/>
      <c r="M25" s="2962"/>
    </row>
    <row r="26" spans="1:25">
      <c r="L26" s="2962"/>
      <c r="M26" s="2962"/>
    </row>
    <row r="27" spans="1:25">
      <c r="L27" s="2962"/>
      <c r="M27" s="2962"/>
    </row>
    <row r="28" spans="1:25">
      <c r="A28" s="3130" t="s">
        <v>3108</v>
      </c>
      <c r="B28" s="3130"/>
      <c r="C28" s="3130"/>
      <c r="D28" s="3130"/>
      <c r="E28" s="3130"/>
      <c r="F28" s="3130"/>
      <c r="G28" s="3130"/>
      <c r="H28" s="3130"/>
      <c r="I28" s="3130"/>
      <c r="J28" s="3130"/>
      <c r="K28" s="3130"/>
      <c r="L28" s="3130"/>
      <c r="M28" s="3130"/>
      <c r="N28" s="3130"/>
      <c r="O28" s="3130"/>
      <c r="P28" s="3130"/>
      <c r="Q28" s="3130"/>
      <c r="R28" s="3131"/>
      <c r="S28" s="3131"/>
      <c r="T28" s="3131"/>
      <c r="U28" s="3131"/>
      <c r="V28" s="3131"/>
      <c r="W28" s="3131"/>
      <c r="X28" s="3131"/>
    </row>
    <row r="29" spans="1:25">
      <c r="A29" s="3125" t="s">
        <v>3109</v>
      </c>
      <c r="B29" s="3132" t="s">
        <v>3110</v>
      </c>
      <c r="C29" s="3132" t="s">
        <v>3087</v>
      </c>
      <c r="D29" s="3132"/>
      <c r="E29" s="3132"/>
      <c r="F29" s="3132"/>
      <c r="G29" s="3132"/>
      <c r="H29" s="3132"/>
      <c r="I29" s="3132"/>
      <c r="J29" s="3132"/>
      <c r="K29" s="3132"/>
      <c r="L29" s="3132"/>
      <c r="M29" s="3132"/>
      <c r="N29" s="3132"/>
      <c r="O29" s="3132"/>
      <c r="P29" s="3132"/>
      <c r="Q29" s="3132"/>
      <c r="R29" s="3132" t="s">
        <v>3087</v>
      </c>
      <c r="S29" s="3132"/>
      <c r="T29" s="3132"/>
      <c r="U29" s="3132"/>
      <c r="V29" s="3132"/>
      <c r="W29" s="3132"/>
      <c r="X29" s="3132"/>
      <c r="Y29" s="3132"/>
    </row>
    <row r="30" spans="1:25">
      <c r="A30" s="3125"/>
      <c r="B30" s="3132"/>
      <c r="C30" s="2966" t="s">
        <v>40</v>
      </c>
      <c r="D30" s="2966" t="s">
        <v>3066</v>
      </c>
      <c r="E30" s="2966" t="s">
        <v>1373</v>
      </c>
      <c r="F30" s="2966" t="s">
        <v>3111</v>
      </c>
      <c r="G30" s="2966" t="s">
        <v>3094</v>
      </c>
      <c r="H30" s="2966" t="s">
        <v>3112</v>
      </c>
      <c r="I30" s="2966" t="s">
        <v>3113</v>
      </c>
      <c r="J30" s="2966" t="s">
        <v>3114</v>
      </c>
      <c r="K30" s="2966" t="s">
        <v>3115</v>
      </c>
      <c r="L30" s="2966" t="s">
        <v>3116</v>
      </c>
      <c r="M30" s="2966" t="s">
        <v>3117</v>
      </c>
      <c r="N30" s="2966" t="s">
        <v>3118</v>
      </c>
      <c r="O30" s="2966" t="s">
        <v>3119</v>
      </c>
      <c r="P30" s="2966" t="s">
        <v>3120</v>
      </c>
      <c r="Q30" s="2966" t="s">
        <v>3100</v>
      </c>
      <c r="R30" s="2981" t="s">
        <v>40</v>
      </c>
      <c r="S30" s="2982" t="s">
        <v>3065</v>
      </c>
      <c r="T30" s="2982" t="s">
        <v>3121</v>
      </c>
      <c r="U30" s="2982" t="s">
        <v>3078</v>
      </c>
      <c r="V30" s="2982" t="s">
        <v>3122</v>
      </c>
      <c r="W30" s="2982" t="s">
        <v>3116</v>
      </c>
      <c r="X30" s="2982" t="s">
        <v>3143</v>
      </c>
      <c r="Y30" s="2975" t="s">
        <v>3322</v>
      </c>
    </row>
    <row r="31" spans="1:25">
      <c r="A31" s="2967" t="s">
        <v>3123</v>
      </c>
      <c r="B31" s="2967">
        <f>C31+R31</f>
        <v>53958.87</v>
      </c>
      <c r="C31" s="2967">
        <f>SUM(D31:Q31)</f>
        <v>43116.86</v>
      </c>
      <c r="D31" s="2967"/>
      <c r="E31" s="2967">
        <v>42827.67</v>
      </c>
      <c r="F31" s="2967"/>
      <c r="G31" s="2967"/>
      <c r="H31" s="2967"/>
      <c r="I31" s="2967"/>
      <c r="J31" s="2967"/>
      <c r="K31" s="2967"/>
      <c r="L31" s="2967">
        <v>289.19</v>
      </c>
      <c r="M31" s="2967"/>
      <c r="N31" s="2967"/>
      <c r="O31" s="2967"/>
      <c r="P31" s="2967"/>
      <c r="Q31" s="2967"/>
      <c r="R31" s="2968">
        <f>SUM(S31:X31)</f>
        <v>10842.01</v>
      </c>
      <c r="S31" s="2967"/>
      <c r="T31" s="2967"/>
      <c r="U31" s="2967"/>
      <c r="V31" s="2967"/>
      <c r="W31" s="2967"/>
      <c r="X31" s="2967">
        <v>10842.01</v>
      </c>
      <c r="Y31" s="2959"/>
    </row>
    <row r="32" spans="1:25">
      <c r="A32" s="2967" t="s">
        <v>3124</v>
      </c>
      <c r="B32" s="2967">
        <f t="shared" ref="B32:B45" si="7">C32+R32</f>
        <v>26495.93</v>
      </c>
      <c r="C32" s="2967">
        <f t="shared" ref="C32:C45" si="8">SUM(D32:Q32)</f>
        <v>23195.170000000002</v>
      </c>
      <c r="D32" s="2967"/>
      <c r="E32" s="2967">
        <v>23004.61</v>
      </c>
      <c r="F32" s="2967"/>
      <c r="G32" s="2967"/>
      <c r="H32" s="2967"/>
      <c r="I32" s="2967"/>
      <c r="J32" s="2967"/>
      <c r="K32" s="2967"/>
      <c r="L32" s="2967">
        <v>190.56</v>
      </c>
      <c r="M32" s="2967"/>
      <c r="N32" s="2967"/>
      <c r="O32" s="2967"/>
      <c r="P32" s="2967"/>
      <c r="Q32" s="2967"/>
      <c r="R32" s="2968">
        <f>SUM(S32:X32)</f>
        <v>3300.76</v>
      </c>
      <c r="S32" s="2967"/>
      <c r="T32" s="2967"/>
      <c r="U32" s="2967"/>
      <c r="V32" s="2967"/>
      <c r="W32" s="2967"/>
      <c r="X32" s="2967">
        <v>3300.76</v>
      </c>
      <c r="Y32" s="2959"/>
    </row>
    <row r="33" spans="1:25">
      <c r="A33" s="2967" t="s">
        <v>48</v>
      </c>
      <c r="B33" s="2967">
        <f t="shared" si="7"/>
        <v>11202.52</v>
      </c>
      <c r="C33" s="2967">
        <f t="shared" si="8"/>
        <v>110.68</v>
      </c>
      <c r="D33" s="2967"/>
      <c r="E33" s="2967"/>
      <c r="F33" s="2967"/>
      <c r="G33" s="2967"/>
      <c r="H33" s="2967"/>
      <c r="I33" s="2967"/>
      <c r="J33" s="2967"/>
      <c r="K33" s="2967">
        <v>110.68</v>
      </c>
      <c r="L33" s="2967"/>
      <c r="M33" s="2967"/>
      <c r="N33" s="2967"/>
      <c r="O33" s="2967"/>
      <c r="P33" s="2967"/>
      <c r="Q33" s="2967"/>
      <c r="R33" s="2968">
        <f>SUM(S33:X33)</f>
        <v>11091.84</v>
      </c>
      <c r="S33" s="2967">
        <v>11091.84</v>
      </c>
      <c r="T33" s="2967"/>
      <c r="U33" s="2967"/>
      <c r="V33" s="2967"/>
      <c r="W33" s="2967"/>
      <c r="X33" s="2967"/>
      <c r="Y33" s="2959"/>
    </row>
    <row r="34" spans="1:25">
      <c r="A34" s="2969" t="s">
        <v>3125</v>
      </c>
      <c r="B34" s="2969">
        <f t="shared" si="7"/>
        <v>11928.470000000001</v>
      </c>
      <c r="C34" s="2969">
        <f t="shared" si="8"/>
        <v>10826.94</v>
      </c>
      <c r="D34" s="2969">
        <f>B4</f>
        <v>10826.94</v>
      </c>
      <c r="E34" s="2969"/>
      <c r="F34" s="2969"/>
      <c r="G34" s="2969"/>
      <c r="H34" s="2969"/>
      <c r="I34" s="2969"/>
      <c r="J34" s="2969"/>
      <c r="K34" s="2969"/>
      <c r="L34" s="2969"/>
      <c r="M34" s="2969"/>
      <c r="N34" s="2969"/>
      <c r="O34" s="2969"/>
      <c r="P34" s="2969"/>
      <c r="Q34" s="2969"/>
      <c r="R34" s="2970">
        <f>SUM(S34:X34)</f>
        <v>1101.53</v>
      </c>
      <c r="S34" s="2969"/>
      <c r="T34" s="2969">
        <v>265.02</v>
      </c>
      <c r="U34" s="2969">
        <v>836.51</v>
      </c>
      <c r="V34" s="2969"/>
      <c r="W34" s="2969"/>
      <c r="X34" s="2969"/>
      <c r="Y34" s="2959"/>
    </row>
    <row r="35" spans="1:25">
      <c r="A35" s="2969" t="s">
        <v>3126</v>
      </c>
      <c r="B35" s="2969">
        <f t="shared" si="7"/>
        <v>11924.710000000001</v>
      </c>
      <c r="C35" s="2969">
        <f t="shared" si="8"/>
        <v>10826.94</v>
      </c>
      <c r="D35" s="2969">
        <f t="shared" ref="D35:D39" si="9">B5</f>
        <v>10826.94</v>
      </c>
      <c r="E35" s="2969"/>
      <c r="F35" s="2969"/>
      <c r="G35" s="2969"/>
      <c r="H35" s="2969"/>
      <c r="I35" s="2969"/>
      <c r="J35" s="2969"/>
      <c r="K35" s="2969"/>
      <c r="L35" s="2969"/>
      <c r="M35" s="2969"/>
      <c r="N35" s="2969"/>
      <c r="O35" s="2969"/>
      <c r="P35" s="2969"/>
      <c r="Q35" s="2969"/>
      <c r="R35" s="2970">
        <f t="shared" ref="R35" si="10">SUM(S35:WX35)</f>
        <v>1097.77</v>
      </c>
      <c r="S35" s="2969"/>
      <c r="T35" s="2969">
        <v>249.87</v>
      </c>
      <c r="U35" s="2969">
        <v>847.9</v>
      </c>
      <c r="V35" s="2969"/>
      <c r="W35" s="2969"/>
      <c r="X35" s="2969"/>
      <c r="Y35" s="2959"/>
    </row>
    <row r="36" spans="1:25">
      <c r="A36" s="2969" t="s">
        <v>3127</v>
      </c>
      <c r="B36" s="2969">
        <f t="shared" si="7"/>
        <v>17658.080000000002</v>
      </c>
      <c r="C36" s="2969">
        <f t="shared" si="8"/>
        <v>15787.17</v>
      </c>
      <c r="D36" s="2969">
        <f t="shared" si="9"/>
        <v>15787.17</v>
      </c>
      <c r="E36" s="2969"/>
      <c r="F36" s="2969"/>
      <c r="G36" s="2969"/>
      <c r="H36" s="2969"/>
      <c r="I36" s="2969"/>
      <c r="J36" s="2969"/>
      <c r="K36" s="2969"/>
      <c r="L36" s="2969"/>
      <c r="M36" s="2969"/>
      <c r="N36" s="2969"/>
      <c r="O36" s="2969"/>
      <c r="P36" s="2969"/>
      <c r="Q36" s="2969"/>
      <c r="R36" s="2970">
        <f t="shared" ref="R36:R45" si="11">SUM(S36:X36)</f>
        <v>1870.91</v>
      </c>
      <c r="S36" s="2969"/>
      <c r="T36" s="2969">
        <v>608.45000000000005</v>
      </c>
      <c r="U36" s="2969"/>
      <c r="V36" s="2969">
        <v>1262.46</v>
      </c>
      <c r="W36" s="2969"/>
      <c r="X36" s="2969"/>
      <c r="Y36" s="2959"/>
    </row>
    <row r="37" spans="1:25">
      <c r="A37" s="2969" t="s">
        <v>3128</v>
      </c>
      <c r="B37" s="2969">
        <f t="shared" si="7"/>
        <v>22093.87</v>
      </c>
      <c r="C37" s="2969">
        <f t="shared" si="8"/>
        <v>19158.43</v>
      </c>
      <c r="D37" s="2969">
        <f t="shared" si="9"/>
        <v>19149.400000000001</v>
      </c>
      <c r="E37" s="2969"/>
      <c r="F37" s="2969"/>
      <c r="G37" s="2969"/>
      <c r="H37" s="2969"/>
      <c r="I37" s="2969"/>
      <c r="J37" s="2969"/>
      <c r="K37" s="2969"/>
      <c r="L37" s="2969"/>
      <c r="M37" s="2969"/>
      <c r="N37" s="2969"/>
      <c r="O37" s="2969"/>
      <c r="P37" s="2969"/>
      <c r="Q37" s="2969">
        <v>9.0299999999999994</v>
      </c>
      <c r="R37" s="2970">
        <f t="shared" si="11"/>
        <v>2935.4399999999996</v>
      </c>
      <c r="S37" s="2969"/>
      <c r="T37" s="2969">
        <v>560.72</v>
      </c>
      <c r="U37" s="2969">
        <v>104.81</v>
      </c>
      <c r="V37" s="2969">
        <v>2269.91</v>
      </c>
      <c r="W37" s="2969"/>
      <c r="X37" s="2969"/>
      <c r="Y37" s="2959"/>
    </row>
    <row r="38" spans="1:25">
      <c r="A38" s="2969" t="s">
        <v>3129</v>
      </c>
      <c r="B38" s="2969">
        <f t="shared" si="7"/>
        <v>21402.74</v>
      </c>
      <c r="C38" s="2969">
        <f t="shared" si="8"/>
        <v>18471.420000000002</v>
      </c>
      <c r="D38" s="2969">
        <f t="shared" si="9"/>
        <v>18462.330000000002</v>
      </c>
      <c r="E38" s="2969"/>
      <c r="F38" s="2969"/>
      <c r="G38" s="2969"/>
      <c r="H38" s="2969"/>
      <c r="I38" s="2969"/>
      <c r="J38" s="2969"/>
      <c r="K38" s="2969"/>
      <c r="L38" s="2969"/>
      <c r="M38" s="2969"/>
      <c r="N38" s="2969"/>
      <c r="O38" s="2969"/>
      <c r="P38" s="2969"/>
      <c r="Q38" s="2969">
        <v>9.09</v>
      </c>
      <c r="R38" s="2970">
        <f t="shared" si="11"/>
        <v>2931.3199999999997</v>
      </c>
      <c r="S38" s="2969"/>
      <c r="T38" s="2969">
        <v>570.15</v>
      </c>
      <c r="U38" s="2969">
        <v>109.36</v>
      </c>
      <c r="V38" s="2969">
        <v>2251.81</v>
      </c>
      <c r="W38" s="2969"/>
      <c r="X38" s="2969"/>
      <c r="Y38" s="2959"/>
    </row>
    <row r="39" spans="1:25">
      <c r="A39" s="2969" t="s">
        <v>3130</v>
      </c>
      <c r="B39" s="2969">
        <f t="shared" si="7"/>
        <v>16493.740000000002</v>
      </c>
      <c r="C39" s="2969">
        <f t="shared" si="8"/>
        <v>14725.69</v>
      </c>
      <c r="D39" s="2969">
        <f t="shared" si="9"/>
        <v>14725.69</v>
      </c>
      <c r="E39" s="2969"/>
      <c r="F39" s="2969"/>
      <c r="G39" s="2969"/>
      <c r="H39" s="2969"/>
      <c r="I39" s="2969"/>
      <c r="J39" s="2969"/>
      <c r="K39" s="2969"/>
      <c r="L39" s="2969"/>
      <c r="M39" s="2969"/>
      <c r="N39" s="2969"/>
      <c r="O39" s="2969"/>
      <c r="P39" s="2969"/>
      <c r="Q39" s="2969"/>
      <c r="R39" s="2970">
        <f t="shared" si="11"/>
        <v>1768.0500000000002</v>
      </c>
      <c r="S39" s="2969"/>
      <c r="T39" s="2969">
        <v>589.65</v>
      </c>
      <c r="U39" s="2969"/>
      <c r="V39" s="2969">
        <v>1178.4000000000001</v>
      </c>
      <c r="W39" s="2969"/>
      <c r="X39" s="2969"/>
      <c r="Y39" s="2959"/>
    </row>
    <row r="40" spans="1:25">
      <c r="A40" s="2969" t="s">
        <v>3131</v>
      </c>
      <c r="B40" s="2969">
        <f t="shared" si="7"/>
        <v>1418.2</v>
      </c>
      <c r="C40" s="2969">
        <f t="shared" si="8"/>
        <v>1418.2</v>
      </c>
      <c r="D40" s="2969"/>
      <c r="E40" s="2969"/>
      <c r="F40" s="2969"/>
      <c r="G40" s="2969"/>
      <c r="H40" s="2969"/>
      <c r="I40" s="2969">
        <v>250.4</v>
      </c>
      <c r="J40" s="2969">
        <v>1102.5999999999999</v>
      </c>
      <c r="K40" s="2969"/>
      <c r="L40" s="2969"/>
      <c r="M40" s="2969"/>
      <c r="N40" s="2969"/>
      <c r="O40" s="2969"/>
      <c r="P40" s="2969"/>
      <c r="Q40" s="2969">
        <v>65.2</v>
      </c>
      <c r="R40" s="2970">
        <f t="shared" si="11"/>
        <v>0</v>
      </c>
      <c r="S40" s="2969"/>
      <c r="T40" s="2969"/>
      <c r="U40" s="2969"/>
      <c r="V40" s="2969"/>
      <c r="W40" s="2969"/>
      <c r="X40" s="2969"/>
      <c r="Y40" s="2959"/>
    </row>
    <row r="41" spans="1:25">
      <c r="A41" s="2969" t="s">
        <v>3081</v>
      </c>
      <c r="B41" s="2969">
        <f t="shared" si="7"/>
        <v>1209.8499999999999</v>
      </c>
      <c r="C41" s="2969">
        <f t="shared" si="8"/>
        <v>1209.8499999999999</v>
      </c>
      <c r="D41" s="2969"/>
      <c r="E41" s="2969"/>
      <c r="F41" s="2969">
        <v>1099.05</v>
      </c>
      <c r="G41" s="2969"/>
      <c r="H41" s="2969"/>
      <c r="I41" s="2969"/>
      <c r="J41" s="2969"/>
      <c r="K41" s="2969"/>
      <c r="L41" s="2969">
        <v>54.5</v>
      </c>
      <c r="M41" s="2969"/>
      <c r="N41" s="2969"/>
      <c r="O41" s="2969"/>
      <c r="P41" s="2969"/>
      <c r="Q41" s="2969">
        <v>56.3</v>
      </c>
      <c r="R41" s="2970">
        <f t="shared" si="11"/>
        <v>0</v>
      </c>
      <c r="S41" s="2969"/>
      <c r="T41" s="2969"/>
      <c r="U41" s="2969"/>
      <c r="V41" s="2969"/>
      <c r="W41" s="2969"/>
      <c r="X41" s="2969"/>
      <c r="Y41" s="2959"/>
    </row>
    <row r="42" spans="1:25">
      <c r="A42" s="2969" t="s">
        <v>3132</v>
      </c>
      <c r="B42" s="2969">
        <f t="shared" si="7"/>
        <v>8908.98</v>
      </c>
      <c r="C42" s="2969">
        <f t="shared" si="8"/>
        <v>198.27</v>
      </c>
      <c r="D42" s="2969"/>
      <c r="E42" s="2969"/>
      <c r="F42" s="2969"/>
      <c r="G42" s="2969"/>
      <c r="H42" s="2969"/>
      <c r="I42" s="2969"/>
      <c r="J42" s="2969"/>
      <c r="K42" s="2969">
        <v>198.27</v>
      </c>
      <c r="L42" s="2969"/>
      <c r="M42" s="2969"/>
      <c r="N42" s="2969"/>
      <c r="O42" s="2969"/>
      <c r="P42" s="2969"/>
      <c r="Q42" s="2969"/>
      <c r="R42" s="2970">
        <f t="shared" si="11"/>
        <v>8710.7099999999991</v>
      </c>
      <c r="S42" s="2969">
        <v>8710.7099999999991</v>
      </c>
      <c r="T42" s="2969"/>
      <c r="U42" s="2969"/>
      <c r="V42" s="2969"/>
      <c r="W42" s="2969"/>
      <c r="X42" s="2969"/>
      <c r="Y42" s="2959"/>
    </row>
    <row r="43" spans="1:25">
      <c r="A43" s="2969" t="s">
        <v>3133</v>
      </c>
      <c r="B43" s="2969">
        <f t="shared" si="7"/>
        <v>9231.66</v>
      </c>
      <c r="C43" s="2969">
        <f t="shared" si="8"/>
        <v>194.26</v>
      </c>
      <c r="D43" s="2969"/>
      <c r="E43" s="2969"/>
      <c r="F43" s="2969"/>
      <c r="G43" s="2969"/>
      <c r="H43" s="2969"/>
      <c r="I43" s="2969"/>
      <c r="J43" s="2969"/>
      <c r="K43" s="2969">
        <v>194.26</v>
      </c>
      <c r="L43" s="2969"/>
      <c r="M43" s="2969"/>
      <c r="N43" s="2969"/>
      <c r="O43" s="2969"/>
      <c r="P43" s="2969"/>
      <c r="Q43" s="2969"/>
      <c r="R43" s="2970">
        <f t="shared" si="11"/>
        <v>9037.4</v>
      </c>
      <c r="S43" s="2969">
        <v>9037.4</v>
      </c>
      <c r="T43" s="2969"/>
      <c r="U43" s="2969"/>
      <c r="V43" s="2969"/>
      <c r="W43" s="2969"/>
      <c r="X43" s="2969"/>
      <c r="Y43" s="2959"/>
    </row>
    <row r="44" spans="1:25">
      <c r="A44" s="2969" t="s">
        <v>3134</v>
      </c>
      <c r="B44" s="2969">
        <f t="shared" si="7"/>
        <v>35211.550000000003</v>
      </c>
      <c r="C44" s="2969">
        <f t="shared" si="8"/>
        <v>25679.96</v>
      </c>
      <c r="D44" s="2969"/>
      <c r="E44" s="2969">
        <v>25679.96</v>
      </c>
      <c r="F44" s="2969"/>
      <c r="G44" s="2969"/>
      <c r="H44" s="2969"/>
      <c r="I44" s="2969"/>
      <c r="J44" s="2969"/>
      <c r="K44" s="2969"/>
      <c r="L44" s="2969"/>
      <c r="M44" s="2969"/>
      <c r="N44" s="2969"/>
      <c r="O44" s="2969"/>
      <c r="P44" s="2969"/>
      <c r="Q44" s="2969"/>
      <c r="R44" s="2970">
        <f t="shared" si="11"/>
        <v>9531.59</v>
      </c>
      <c r="S44" s="2969">
        <v>4558.58</v>
      </c>
      <c r="T44" s="2969"/>
      <c r="U44" s="2969">
        <v>578.75</v>
      </c>
      <c r="V44" s="2969">
        <v>1499.68</v>
      </c>
      <c r="W44" s="2969">
        <f>1696.89</f>
        <v>1696.89</v>
      </c>
      <c r="X44" s="2969">
        <v>1197.69</v>
      </c>
      <c r="Y44" s="2959"/>
    </row>
    <row r="45" spans="1:25">
      <c r="A45" s="2969" t="s">
        <v>3118</v>
      </c>
      <c r="B45" s="2969">
        <f t="shared" si="7"/>
        <v>615.02</v>
      </c>
      <c r="C45" s="2969">
        <f t="shared" si="8"/>
        <v>615.02</v>
      </c>
      <c r="D45" s="2969"/>
      <c r="E45" s="2969"/>
      <c r="F45" s="2969"/>
      <c r="G45" s="2969"/>
      <c r="H45" s="2969"/>
      <c r="I45" s="2969"/>
      <c r="J45" s="2969"/>
      <c r="K45" s="2969"/>
      <c r="L45" s="2969"/>
      <c r="M45" s="2969"/>
      <c r="N45" s="2969">
        <v>615.02</v>
      </c>
      <c r="O45" s="2969"/>
      <c r="P45" s="2969"/>
      <c r="Q45" s="2969"/>
      <c r="R45" s="2970">
        <f t="shared" si="11"/>
        <v>0</v>
      </c>
      <c r="S45" s="2969"/>
      <c r="T45" s="2969"/>
      <c r="U45" s="2969"/>
      <c r="V45" s="2969"/>
      <c r="W45" s="2969"/>
      <c r="X45" s="2969"/>
      <c r="Y45" s="2959"/>
    </row>
    <row r="46" spans="1:25">
      <c r="A46" s="2971" t="s">
        <v>3135</v>
      </c>
      <c r="B46" s="3125">
        <f>C46+R46</f>
        <v>162230.14000000001</v>
      </c>
      <c r="C46" s="3125">
        <f>SUM(D46:Q53)</f>
        <v>118734.14</v>
      </c>
      <c r="D46" s="3125">
        <f>D57-SUM(D31:D45)+E59+F59+I59+J59+K59+L59+N59+O59</f>
        <v>118119.76</v>
      </c>
      <c r="E46" s="3125">
        <v>0</v>
      </c>
      <c r="F46" s="3125">
        <v>0</v>
      </c>
      <c r="G46" s="3125">
        <f t="shared" ref="G46:Q46" si="12">G57-SUM(G31:G45)</f>
        <v>160</v>
      </c>
      <c r="H46" s="3125">
        <f t="shared" si="12"/>
        <v>140</v>
      </c>
      <c r="I46" s="3125">
        <v>0</v>
      </c>
      <c r="J46" s="3125">
        <v>0</v>
      </c>
      <c r="K46" s="3125">
        <v>0</v>
      </c>
      <c r="L46" s="3125">
        <v>0</v>
      </c>
      <c r="M46" s="3125">
        <f t="shared" si="12"/>
        <v>150</v>
      </c>
      <c r="N46" s="3125">
        <v>0</v>
      </c>
      <c r="O46" s="3125">
        <f t="shared" si="12"/>
        <v>0</v>
      </c>
      <c r="P46" s="3125">
        <f t="shared" si="12"/>
        <v>135.88999999999999</v>
      </c>
      <c r="Q46" s="3125">
        <f t="shared" si="12"/>
        <v>28.490000000000009</v>
      </c>
      <c r="R46" s="3142">
        <f>SUM(S46:Y53)</f>
        <v>43496</v>
      </c>
      <c r="S46" s="3133">
        <v>0</v>
      </c>
      <c r="T46" s="3133"/>
      <c r="U46" s="3133"/>
      <c r="V46" s="3133"/>
      <c r="W46" s="3136"/>
      <c r="X46" s="3136"/>
      <c r="Y46" s="3139">
        <v>43496</v>
      </c>
    </row>
    <row r="47" spans="1:25">
      <c r="A47" s="2971" t="s">
        <v>3136</v>
      </c>
      <c r="B47" s="3125"/>
      <c r="C47" s="3125"/>
      <c r="D47" s="3125"/>
      <c r="E47" s="3125"/>
      <c r="F47" s="3125"/>
      <c r="G47" s="3125"/>
      <c r="H47" s="3125"/>
      <c r="I47" s="3125"/>
      <c r="J47" s="3125"/>
      <c r="K47" s="3125"/>
      <c r="L47" s="3125"/>
      <c r="M47" s="3125"/>
      <c r="N47" s="3125"/>
      <c r="O47" s="3125"/>
      <c r="P47" s="3125"/>
      <c r="Q47" s="3125"/>
      <c r="R47" s="3143"/>
      <c r="S47" s="3134"/>
      <c r="T47" s="3134"/>
      <c r="U47" s="3134"/>
      <c r="V47" s="3134"/>
      <c r="W47" s="3137"/>
      <c r="X47" s="3137"/>
      <c r="Y47" s="3140"/>
    </row>
    <row r="48" spans="1:25">
      <c r="A48" s="2971" t="s">
        <v>3137</v>
      </c>
      <c r="B48" s="3125"/>
      <c r="C48" s="3125"/>
      <c r="D48" s="3125"/>
      <c r="E48" s="3125"/>
      <c r="F48" s="3125"/>
      <c r="G48" s="3125"/>
      <c r="H48" s="3125"/>
      <c r="I48" s="3125"/>
      <c r="J48" s="3125"/>
      <c r="K48" s="3125"/>
      <c r="L48" s="3125"/>
      <c r="M48" s="3125"/>
      <c r="N48" s="3125"/>
      <c r="O48" s="3125"/>
      <c r="P48" s="3125"/>
      <c r="Q48" s="3125"/>
      <c r="R48" s="3143"/>
      <c r="S48" s="3134"/>
      <c r="T48" s="3134"/>
      <c r="U48" s="3134"/>
      <c r="V48" s="3134"/>
      <c r="W48" s="3137"/>
      <c r="X48" s="3137"/>
      <c r="Y48" s="3140"/>
    </row>
    <row r="49" spans="1:25">
      <c r="A49" s="2971" t="s">
        <v>3138</v>
      </c>
      <c r="B49" s="3125"/>
      <c r="C49" s="3125"/>
      <c r="D49" s="3125"/>
      <c r="E49" s="3125"/>
      <c r="F49" s="3125"/>
      <c r="G49" s="3125"/>
      <c r="H49" s="3125"/>
      <c r="I49" s="3125"/>
      <c r="J49" s="3125"/>
      <c r="K49" s="3125"/>
      <c r="L49" s="3125"/>
      <c r="M49" s="3125"/>
      <c r="N49" s="3125"/>
      <c r="O49" s="3125"/>
      <c r="P49" s="3125"/>
      <c r="Q49" s="3125"/>
      <c r="R49" s="3143"/>
      <c r="S49" s="3134"/>
      <c r="T49" s="3134"/>
      <c r="U49" s="3134"/>
      <c r="V49" s="3134"/>
      <c r="W49" s="3137"/>
      <c r="X49" s="3137"/>
      <c r="Y49" s="3140"/>
    </row>
    <row r="50" spans="1:25">
      <c r="A50" s="2971" t="s">
        <v>3139</v>
      </c>
      <c r="B50" s="3125"/>
      <c r="C50" s="3125"/>
      <c r="D50" s="3125"/>
      <c r="E50" s="3125"/>
      <c r="F50" s="3125"/>
      <c r="G50" s="3125"/>
      <c r="H50" s="3125"/>
      <c r="I50" s="3125"/>
      <c r="J50" s="3125"/>
      <c r="K50" s="3125"/>
      <c r="L50" s="3125"/>
      <c r="M50" s="3125"/>
      <c r="N50" s="3125"/>
      <c r="O50" s="3125"/>
      <c r="P50" s="3125"/>
      <c r="Q50" s="3125"/>
      <c r="R50" s="3143"/>
      <c r="S50" s="3134"/>
      <c r="T50" s="3134"/>
      <c r="U50" s="3134"/>
      <c r="V50" s="3134"/>
      <c r="W50" s="3137"/>
      <c r="X50" s="3137"/>
      <c r="Y50" s="3140"/>
    </row>
    <row r="51" spans="1:25">
      <c r="A51" s="2971" t="s">
        <v>3140</v>
      </c>
      <c r="B51" s="3125"/>
      <c r="C51" s="3125"/>
      <c r="D51" s="3125"/>
      <c r="E51" s="3125"/>
      <c r="F51" s="3125"/>
      <c r="G51" s="3125"/>
      <c r="H51" s="3125"/>
      <c r="I51" s="3125"/>
      <c r="J51" s="3125"/>
      <c r="K51" s="3125"/>
      <c r="L51" s="3125"/>
      <c r="M51" s="3125"/>
      <c r="N51" s="3125"/>
      <c r="O51" s="3125"/>
      <c r="P51" s="3125"/>
      <c r="Q51" s="3125"/>
      <c r="R51" s="3143"/>
      <c r="S51" s="3134"/>
      <c r="T51" s="3134"/>
      <c r="U51" s="3134"/>
      <c r="V51" s="3134"/>
      <c r="W51" s="3137"/>
      <c r="X51" s="3137"/>
      <c r="Y51" s="3140"/>
    </row>
    <row r="52" spans="1:25">
      <c r="A52" s="2971" t="s">
        <v>3141</v>
      </c>
      <c r="B52" s="3125"/>
      <c r="C52" s="3125"/>
      <c r="D52" s="3125"/>
      <c r="E52" s="3125"/>
      <c r="F52" s="3125"/>
      <c r="G52" s="3125"/>
      <c r="H52" s="3125"/>
      <c r="I52" s="3125"/>
      <c r="J52" s="3125"/>
      <c r="K52" s="3125"/>
      <c r="L52" s="3125"/>
      <c r="M52" s="3125"/>
      <c r="N52" s="3125"/>
      <c r="O52" s="3125"/>
      <c r="P52" s="3125"/>
      <c r="Q52" s="3125"/>
      <c r="R52" s="3143"/>
      <c r="S52" s="3134"/>
      <c r="T52" s="3134"/>
      <c r="U52" s="3134"/>
      <c r="V52" s="3134"/>
      <c r="W52" s="3137"/>
      <c r="X52" s="3137"/>
      <c r="Y52" s="3140"/>
    </row>
    <row r="53" spans="1:25">
      <c r="A53" s="2971" t="s">
        <v>3142</v>
      </c>
      <c r="B53" s="3125"/>
      <c r="C53" s="3125"/>
      <c r="D53" s="3125"/>
      <c r="E53" s="3125"/>
      <c r="F53" s="3125"/>
      <c r="G53" s="3125"/>
      <c r="H53" s="3125"/>
      <c r="I53" s="3125"/>
      <c r="J53" s="3125"/>
      <c r="K53" s="3125"/>
      <c r="L53" s="3125"/>
      <c r="M53" s="3125"/>
      <c r="N53" s="3125"/>
      <c r="O53" s="3125"/>
      <c r="P53" s="3125"/>
      <c r="Q53" s="3125"/>
      <c r="R53" s="3144"/>
      <c r="S53" s="3135"/>
      <c r="T53" s="3135"/>
      <c r="U53" s="3135"/>
      <c r="V53" s="3135"/>
      <c r="W53" s="3138"/>
      <c r="X53" s="3138"/>
      <c r="Y53" s="3141"/>
    </row>
    <row r="54" spans="1:25">
      <c r="A54" s="2971" t="s">
        <v>3119</v>
      </c>
      <c r="B54" s="2971">
        <v>150</v>
      </c>
      <c r="C54" s="2971">
        <v>150</v>
      </c>
      <c r="D54" s="2971"/>
      <c r="E54" s="2971"/>
      <c r="F54" s="2971"/>
      <c r="G54" s="2971"/>
      <c r="H54" s="2971"/>
      <c r="I54" s="2971"/>
      <c r="J54" s="2971"/>
      <c r="K54" s="2971"/>
      <c r="L54" s="2971"/>
      <c r="M54" s="2971"/>
      <c r="N54" s="2971"/>
      <c r="O54" s="2971">
        <v>150</v>
      </c>
      <c r="P54" s="2971"/>
      <c r="Q54" s="2971"/>
      <c r="R54" s="2972">
        <v>0</v>
      </c>
      <c r="S54" s="2971"/>
      <c r="T54" s="2971"/>
      <c r="U54" s="2971"/>
      <c r="V54" s="2971"/>
      <c r="W54" s="2971"/>
      <c r="X54" s="2971"/>
      <c r="Y54" s="2959"/>
    </row>
    <row r="55" spans="1:25">
      <c r="A55" s="2971" t="s">
        <v>3120</v>
      </c>
      <c r="B55" s="2971"/>
      <c r="C55" s="2971"/>
      <c r="D55" s="2971"/>
      <c r="E55" s="2971"/>
      <c r="F55" s="2971"/>
      <c r="G55" s="2971"/>
      <c r="H55" s="2971"/>
      <c r="I55" s="2971"/>
      <c r="J55" s="2971"/>
      <c r="K55" s="2971"/>
      <c r="L55" s="2971"/>
      <c r="M55" s="2971"/>
      <c r="N55" s="2971"/>
      <c r="O55" s="2971"/>
      <c r="P55" s="2971"/>
      <c r="Q55" s="2971"/>
      <c r="R55" s="2972">
        <v>0</v>
      </c>
      <c r="S55" s="2971"/>
      <c r="T55" s="2971"/>
      <c r="U55" s="2971"/>
      <c r="V55" s="2971"/>
      <c r="W55" s="2971"/>
      <c r="X55" s="2971"/>
      <c r="Y55" s="2959"/>
    </row>
    <row r="56" spans="1:25">
      <c r="A56" s="2973" t="s">
        <v>3110</v>
      </c>
      <c r="B56" s="2973">
        <f>C56+R56</f>
        <v>412134.33</v>
      </c>
      <c r="C56" s="2973">
        <f>SUM(D56:Q56)</f>
        <v>304419</v>
      </c>
      <c r="D56" s="2973">
        <f>SUM(D31:D55)</f>
        <v>207898.22999999998</v>
      </c>
      <c r="E56" s="2973">
        <f t="shared" ref="E56:Q56" si="13">SUM(E31:E55)</f>
        <v>91512.239999999991</v>
      </c>
      <c r="F56" s="2973">
        <f t="shared" si="13"/>
        <v>1099.05</v>
      </c>
      <c r="G56" s="2973">
        <f t="shared" si="13"/>
        <v>160</v>
      </c>
      <c r="H56" s="2973">
        <f t="shared" si="13"/>
        <v>140</v>
      </c>
      <c r="I56" s="2973">
        <f t="shared" si="13"/>
        <v>250.4</v>
      </c>
      <c r="J56" s="2973">
        <f t="shared" si="13"/>
        <v>1102.5999999999999</v>
      </c>
      <c r="K56" s="2973">
        <f t="shared" si="13"/>
        <v>503.21000000000004</v>
      </c>
      <c r="L56" s="2973">
        <f t="shared" si="13"/>
        <v>534.25</v>
      </c>
      <c r="M56" s="2973">
        <f t="shared" si="13"/>
        <v>150</v>
      </c>
      <c r="N56" s="2973">
        <f t="shared" si="13"/>
        <v>615.02</v>
      </c>
      <c r="O56" s="2973">
        <f t="shared" si="13"/>
        <v>150</v>
      </c>
      <c r="P56" s="2973">
        <f t="shared" si="13"/>
        <v>135.88999999999999</v>
      </c>
      <c r="Q56" s="2973">
        <f t="shared" si="13"/>
        <v>168.11</v>
      </c>
      <c r="R56" s="2974">
        <f>SUM(S56:Y56)</f>
        <v>107715.33</v>
      </c>
      <c r="S56" s="2973">
        <f>SUM(S31:S55)</f>
        <v>33398.53</v>
      </c>
      <c r="T56" s="2973">
        <f t="shared" ref="T56:X56" si="14">SUM(T31:T55)</f>
        <v>2843.86</v>
      </c>
      <c r="U56" s="2973">
        <f t="shared" si="14"/>
        <v>2477.33</v>
      </c>
      <c r="V56" s="2973">
        <f t="shared" si="14"/>
        <v>8462.26</v>
      </c>
      <c r="W56" s="2973">
        <f t="shared" si="14"/>
        <v>1696.89</v>
      </c>
      <c r="X56" s="2973">
        <f t="shared" si="14"/>
        <v>15340.460000000001</v>
      </c>
      <c r="Y56" s="2959">
        <f>SUM(Y31:Y55)</f>
        <v>43496</v>
      </c>
    </row>
    <row r="57" spans="1:25">
      <c r="B57">
        <v>411874</v>
      </c>
      <c r="C57">
        <v>304419</v>
      </c>
      <c r="D57">
        <v>210515</v>
      </c>
      <c r="E57">
        <v>91150</v>
      </c>
      <c r="F57">
        <v>1000</v>
      </c>
      <c r="G57">
        <v>160</v>
      </c>
      <c r="H57">
        <v>140</v>
      </c>
      <c r="J57">
        <v>1000</v>
      </c>
      <c r="L57" s="2962"/>
      <c r="M57" s="2964">
        <v>150</v>
      </c>
      <c r="P57">
        <v>135.88999999999999</v>
      </c>
      <c r="Q57">
        <v>168.11</v>
      </c>
      <c r="R57">
        <v>107455</v>
      </c>
      <c r="S57">
        <v>33131.120000000003</v>
      </c>
      <c r="W57">
        <v>74323.88</v>
      </c>
    </row>
    <row r="58" spans="1:25">
      <c r="L58" s="2962"/>
      <c r="M58" s="2964"/>
    </row>
    <row r="59" spans="1:25">
      <c r="B59">
        <f>B57-B56</f>
        <v>-260.3300000000163</v>
      </c>
      <c r="C59">
        <f t="shared" ref="C59:X59" si="15">C57-C56</f>
        <v>0</v>
      </c>
      <c r="D59">
        <f t="shared" si="15"/>
        <v>2616.7700000000186</v>
      </c>
      <c r="E59">
        <f t="shared" si="15"/>
        <v>-362.23999999999069</v>
      </c>
      <c r="F59">
        <f t="shared" si="15"/>
        <v>-99.049999999999955</v>
      </c>
      <c r="G59">
        <f t="shared" si="15"/>
        <v>0</v>
      </c>
      <c r="H59">
        <f t="shared" si="15"/>
        <v>0</v>
      </c>
      <c r="I59">
        <f t="shared" si="15"/>
        <v>-250.4</v>
      </c>
      <c r="J59">
        <f t="shared" si="15"/>
        <v>-102.59999999999991</v>
      </c>
      <c r="K59">
        <f t="shared" si="15"/>
        <v>-503.21000000000004</v>
      </c>
      <c r="L59">
        <f t="shared" si="15"/>
        <v>-534.25</v>
      </c>
      <c r="M59">
        <f t="shared" si="15"/>
        <v>0</v>
      </c>
      <c r="N59">
        <f t="shared" si="15"/>
        <v>-615.02</v>
      </c>
      <c r="O59">
        <f t="shared" si="15"/>
        <v>-150</v>
      </c>
      <c r="P59">
        <f t="shared" si="15"/>
        <v>0</v>
      </c>
      <c r="Q59">
        <f t="shared" si="15"/>
        <v>0</v>
      </c>
      <c r="R59">
        <f t="shared" si="15"/>
        <v>-260.33000000000175</v>
      </c>
      <c r="S59">
        <f t="shared" si="15"/>
        <v>-267.40999999999622</v>
      </c>
      <c r="T59">
        <f t="shared" si="15"/>
        <v>-2843.86</v>
      </c>
      <c r="U59">
        <f t="shared" si="15"/>
        <v>-2477.33</v>
      </c>
      <c r="V59">
        <f t="shared" si="15"/>
        <v>-8462.26</v>
      </c>
      <c r="W59">
        <f t="shared" si="15"/>
        <v>72626.990000000005</v>
      </c>
      <c r="X59">
        <f t="shared" si="15"/>
        <v>-15340.460000000001</v>
      </c>
    </row>
    <row r="60" spans="1:25">
      <c r="L60" s="2962"/>
      <c r="M60" s="2964"/>
    </row>
    <row r="61" spans="1:25">
      <c r="L61" s="2962"/>
      <c r="M61" s="2964"/>
    </row>
    <row r="62" spans="1:25">
      <c r="L62" s="2962"/>
      <c r="M62" s="2964"/>
    </row>
    <row r="63" spans="1:25">
      <c r="L63" s="2962"/>
      <c r="M63" s="2962"/>
    </row>
    <row r="64" spans="1:25">
      <c r="L64" s="2962"/>
      <c r="M64" s="2962"/>
    </row>
    <row r="65" spans="12:13">
      <c r="L65" s="2962"/>
      <c r="M65" s="2962"/>
    </row>
    <row r="66" spans="12:13">
      <c r="L66" s="2962"/>
      <c r="M66" s="2962"/>
    </row>
    <row r="67" spans="12:13">
      <c r="L67" s="2962"/>
      <c r="M67" s="2962"/>
    </row>
    <row r="68" spans="12:13">
      <c r="L68" s="2962"/>
      <c r="M68" s="2962"/>
    </row>
    <row r="69" spans="12:13">
      <c r="L69" s="2962"/>
      <c r="M69" s="2962"/>
    </row>
  </sheetData>
  <mergeCells count="33">
    <mergeCell ref="R29:Y29"/>
    <mergeCell ref="Y46:Y53"/>
    <mergeCell ref="R46:R53"/>
    <mergeCell ref="T46:T53"/>
    <mergeCell ref="U46:U53"/>
    <mergeCell ref="V46:V53"/>
    <mergeCell ref="W46:W53"/>
    <mergeCell ref="N46:N53"/>
    <mergeCell ref="O46:O53"/>
    <mergeCell ref="P46:P53"/>
    <mergeCell ref="Q46:Q53"/>
    <mergeCell ref="X46:X53"/>
    <mergeCell ref="I46:I53"/>
    <mergeCell ref="J46:J53"/>
    <mergeCell ref="K46:K53"/>
    <mergeCell ref="L46:L53"/>
    <mergeCell ref="M46:M53"/>
    <mergeCell ref="G46:G53"/>
    <mergeCell ref="A1:I1"/>
    <mergeCell ref="A16:I16"/>
    <mergeCell ref="A19:I19"/>
    <mergeCell ref="A22:I22"/>
    <mergeCell ref="A28:X28"/>
    <mergeCell ref="A29:A30"/>
    <mergeCell ref="B29:B30"/>
    <mergeCell ref="C29:Q29"/>
    <mergeCell ref="B46:B53"/>
    <mergeCell ref="C46:C53"/>
    <mergeCell ref="D46:D53"/>
    <mergeCell ref="E46:E53"/>
    <mergeCell ref="F46:F53"/>
    <mergeCell ref="S46:S53"/>
    <mergeCell ref="H46:H53"/>
  </mergeCells>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4"/>
      <c r="C1" s="1394"/>
      <c r="D1" s="1394"/>
      <c r="E1" s="1394"/>
      <c r="F1" s="1394"/>
      <c r="G1" s="1394"/>
      <c r="H1" s="1394"/>
      <c r="I1" s="1394"/>
      <c r="J1" s="1394"/>
      <c r="K1" s="1394"/>
      <c r="L1" s="1394"/>
      <c r="M1" s="1394"/>
      <c r="N1" s="1394"/>
      <c r="O1" s="1394"/>
      <c r="P1" s="1394"/>
    </row>
    <row r="2" spans="1:16" ht="15">
      <c r="A2" s="3154" t="s">
        <v>1936</v>
      </c>
      <c r="B2" s="3154"/>
      <c r="C2" s="3154"/>
      <c r="D2" s="969" t="s">
        <v>1912</v>
      </c>
      <c r="E2" s="2230" t="s">
        <v>1913</v>
      </c>
      <c r="F2" s="1394"/>
      <c r="G2" s="2231"/>
      <c r="H2" s="2232"/>
      <c r="I2" s="2233" t="s">
        <v>1937</v>
      </c>
      <c r="J2" s="1394"/>
      <c r="K2" s="1394"/>
      <c r="L2" s="1394"/>
      <c r="M2" s="1394"/>
      <c r="N2" s="1429"/>
      <c r="O2" s="1394"/>
      <c r="P2" s="1394"/>
    </row>
    <row r="3" spans="1:16" ht="15.75" thickBot="1">
      <c r="A3" s="3155" t="s">
        <v>1910</v>
      </c>
      <c r="B3" s="3155"/>
      <c r="C3" s="3155"/>
      <c r="D3" s="45">
        <f>'数据-基础表'!AY6</f>
        <v>59391.98</v>
      </c>
      <c r="E3" s="45">
        <f>'数据-基础表'!AZ5</f>
        <v>158096.87</v>
      </c>
      <c r="F3" s="1394"/>
      <c r="G3" s="1401"/>
      <c r="H3" s="1249" t="s">
        <v>1911</v>
      </c>
      <c r="I3" s="54">
        <f>ROUND('数据-基础表'!B3/'数据-基础表'!A3,2)</f>
        <v>2.66</v>
      </c>
      <c r="J3" s="1394"/>
      <c r="K3" s="1394"/>
      <c r="L3" s="1394"/>
      <c r="M3" s="1394"/>
      <c r="N3" s="1429"/>
      <c r="O3" s="1394"/>
      <c r="P3" s="1394"/>
    </row>
    <row r="4" spans="1:16" ht="15">
      <c r="A4" s="3156"/>
      <c r="B4" s="3157"/>
      <c r="C4" s="3158"/>
      <c r="D4" s="2234" t="s">
        <v>1912</v>
      </c>
      <c r="E4" s="2235" t="s">
        <v>1913</v>
      </c>
      <c r="F4" s="1394"/>
      <c r="G4" s="2236" t="s">
        <v>1938</v>
      </c>
      <c r="H4" s="1249" t="s">
        <v>1918</v>
      </c>
      <c r="I4" s="54">
        <f>ROUND(SUMIF('数据-基础表'!I9:AS9,"地上",'数据-基础表'!I5:AS5)/'数据-基础表'!A3,2)</f>
        <v>2.2000000000000002</v>
      </c>
      <c r="J4" s="1394"/>
      <c r="K4" s="1394"/>
      <c r="L4" s="1394"/>
      <c r="M4" s="1394"/>
      <c r="N4" s="1429"/>
      <c r="O4" s="1394"/>
      <c r="P4" s="1394"/>
    </row>
    <row r="5" spans="1:16">
      <c r="A5" s="46" t="s">
        <v>1914</v>
      </c>
      <c r="B5" s="3159" t="s">
        <v>1915</v>
      </c>
      <c r="C5" s="3159"/>
      <c r="D5" s="47">
        <f>ROUND($D$3*E5/$E$3,2)</f>
        <v>33726.92</v>
      </c>
      <c r="E5" s="48">
        <f>SUMIF('数据-基础表'!$11:$11,"住宅",'数据-基础表'!$5:$5)</f>
        <v>89778.47</v>
      </c>
      <c r="F5" s="1394"/>
      <c r="G5" s="1401"/>
      <c r="H5" s="1249" t="s">
        <v>1911</v>
      </c>
      <c r="I5" s="54">
        <f>ROUND(E31/D31,2)</f>
        <v>2.66</v>
      </c>
      <c r="J5" s="1394"/>
      <c r="K5" s="1394"/>
      <c r="L5" s="1394"/>
      <c r="M5" s="1394"/>
      <c r="N5" s="1394"/>
      <c r="O5" s="1394"/>
      <c r="P5" s="1394"/>
    </row>
    <row r="6" spans="1:16" ht="15" thickBot="1">
      <c r="A6" s="2237"/>
      <c r="B6" s="3159" t="s">
        <v>1916</v>
      </c>
      <c r="C6" s="3159"/>
      <c r="D6" s="47">
        <f>ROUND($D$3*E6/$E$3,2)</f>
        <v>25665.06</v>
      </c>
      <c r="E6" s="48">
        <f>E3-E5</f>
        <v>68318.399999999994</v>
      </c>
      <c r="F6" s="1394"/>
      <c r="G6" s="2238" t="s">
        <v>1917</v>
      </c>
      <c r="H6" s="1401" t="s">
        <v>1918</v>
      </c>
      <c r="I6" s="941">
        <f>ROUND(F31/D31,2)</f>
        <v>2.0099999999999998</v>
      </c>
      <c r="J6" s="1394"/>
      <c r="K6" s="1394"/>
      <c r="L6" s="1394"/>
      <c r="M6" s="1394"/>
      <c r="N6" s="1394"/>
      <c r="O6" s="1394"/>
      <c r="P6" s="1394"/>
    </row>
    <row r="7" spans="1:16" ht="15">
      <c r="A7" s="3151"/>
      <c r="B7" s="3152"/>
      <c r="C7" s="3153"/>
      <c r="D7" s="2234" t="s">
        <v>1912</v>
      </c>
      <c r="E7" s="2239" t="s">
        <v>1919</v>
      </c>
      <c r="F7" s="1394"/>
      <c r="G7" s="2231" t="s">
        <v>1920</v>
      </c>
      <c r="H7" s="63"/>
      <c r="I7" s="419"/>
      <c r="J7" s="1394"/>
      <c r="K7" s="1394"/>
      <c r="L7" s="1394"/>
      <c r="M7" s="1394"/>
      <c r="N7" s="1394"/>
      <c r="O7" s="1394"/>
      <c r="P7" s="1394"/>
    </row>
    <row r="8" spans="1:16">
      <c r="A8" s="46" t="s">
        <v>1921</v>
      </c>
      <c r="B8" s="49" t="s">
        <v>1922</v>
      </c>
      <c r="C8" s="47" t="s">
        <v>1923</v>
      </c>
      <c r="D8" s="47">
        <f t="shared" ref="D8:D15" si="0">ROUND($D$3*E8/$E$3,2)</f>
        <v>43786.95</v>
      </c>
      <c r="E8" s="50">
        <f>SUMIF('数据-基础表'!BB10:BK10,"地上",'数据-基础表'!BB5:BK5)</f>
        <v>116557.48</v>
      </c>
      <c r="F8" s="1394"/>
      <c r="G8" s="2240"/>
      <c r="H8" s="2240"/>
      <c r="I8" s="1394"/>
      <c r="J8" s="1394"/>
      <c r="K8" s="1394"/>
      <c r="L8" s="1394"/>
      <c r="M8" s="1394"/>
      <c r="N8" s="1394"/>
      <c r="O8" s="1394"/>
      <c r="P8" s="1394"/>
    </row>
    <row r="9" spans="1:16">
      <c r="A9" s="2241"/>
      <c r="B9" s="2242"/>
      <c r="C9" s="47" t="s">
        <v>1924</v>
      </c>
      <c r="D9" s="47">
        <f t="shared" si="0"/>
        <v>0</v>
      </c>
      <c r="E9" s="51">
        <v>0</v>
      </c>
      <c r="F9" s="1394"/>
      <c r="G9" s="2240"/>
      <c r="H9" s="2240"/>
      <c r="I9" s="1394"/>
      <c r="J9" s="1394"/>
      <c r="K9" s="1394"/>
      <c r="L9" s="1394"/>
      <c r="M9" s="1394"/>
      <c r="N9" s="1394"/>
      <c r="O9" s="1394"/>
      <c r="P9" s="1394"/>
    </row>
    <row r="10" spans="1:16">
      <c r="A10" s="2241"/>
      <c r="B10" s="2242"/>
      <c r="C10" s="47" t="s">
        <v>1933</v>
      </c>
      <c r="D10" s="47">
        <f t="shared" si="0"/>
        <v>449.93</v>
      </c>
      <c r="E10" s="50">
        <f>SUMPRODUCT(('数据-基础表'!BB10:BK10="地下")*('数据-基础表'!BB11:BK11="商业")*('数据-基础表'!BB5:BK5))</f>
        <v>1197.69</v>
      </c>
      <c r="F10" s="1394"/>
      <c r="G10" s="2240"/>
      <c r="H10" s="2240"/>
      <c r="I10" s="1394"/>
      <c r="J10" s="1394"/>
      <c r="K10" s="1394"/>
      <c r="L10" s="1394"/>
      <c r="M10" s="1394"/>
      <c r="N10" s="1394"/>
      <c r="O10" s="1394"/>
      <c r="P10" s="1394"/>
    </row>
    <row r="11" spans="1:16">
      <c r="A11" s="2241"/>
      <c r="B11" s="2242"/>
      <c r="C11" s="47" t="s">
        <v>1925</v>
      </c>
      <c r="D11" s="47">
        <f t="shared" si="0"/>
        <v>930.65</v>
      </c>
      <c r="E11" s="50">
        <f>SUMPRODUCT(('数据-基础表'!BB10:BK10="地下")*('数据-基础表'!BB11:BK11="办公")*('数据-基础表'!BB5:BK5))+'数据-基础表'!BP5</f>
        <v>2477.33</v>
      </c>
      <c r="F11" s="1394"/>
      <c r="G11" s="2240"/>
      <c r="H11" s="2240"/>
      <c r="I11" s="1394"/>
      <c r="J11" s="1394"/>
      <c r="K11" s="1394"/>
      <c r="L11" s="1394"/>
      <c r="M11" s="1394"/>
      <c r="N11" s="1394"/>
      <c r="O11" s="1394"/>
      <c r="P11" s="1394"/>
    </row>
    <row r="12" spans="1:16">
      <c r="A12" s="2241"/>
      <c r="B12" s="2242"/>
      <c r="C12" s="47" t="s">
        <v>1926</v>
      </c>
      <c r="D12" s="47">
        <f t="shared" si="0"/>
        <v>0</v>
      </c>
      <c r="E12" s="50">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7" t="s">
        <v>1927</v>
      </c>
      <c r="D13" s="47">
        <f t="shared" si="0"/>
        <v>8379.92</v>
      </c>
      <c r="E13" s="50">
        <f>SUMPRODUCT(('数据-基础表'!BB10:BK10="地下")*('数据-基础表'!BB11:BK11="车库")*('数据-基础表'!BB5:BK5))</f>
        <v>22306.690000000002</v>
      </c>
      <c r="F13" s="1394"/>
      <c r="G13" s="2240"/>
      <c r="H13" s="2240"/>
      <c r="I13" s="1394"/>
      <c r="J13" s="1394"/>
      <c r="K13" s="1394"/>
      <c r="L13" s="1394"/>
      <c r="M13" s="1394"/>
      <c r="N13" s="1394"/>
      <c r="O13" s="1394"/>
      <c r="P13" s="1394"/>
    </row>
    <row r="14" spans="1:16">
      <c r="A14" s="2241"/>
      <c r="B14" s="2242"/>
      <c r="C14" s="47" t="s">
        <v>1939</v>
      </c>
      <c r="D14" s="47">
        <f t="shared" si="0"/>
        <v>0</v>
      </c>
      <c r="E14" s="50">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7" t="s">
        <v>1934</v>
      </c>
      <c r="D15" s="47">
        <f t="shared" si="0"/>
        <v>0</v>
      </c>
      <c r="E15" s="50">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49" t="s">
        <v>1928</v>
      </c>
      <c r="D16" s="49">
        <f>SUM(D8:D15)</f>
        <v>53547.45</v>
      </c>
      <c r="E16" s="52">
        <f>SUM(E8:E15)</f>
        <v>142539.19</v>
      </c>
      <c r="F16" s="1394"/>
      <c r="G16" s="2240"/>
      <c r="H16" s="2243" t="s">
        <v>1940</v>
      </c>
      <c r="I16" s="2244"/>
      <c r="J16" s="1394"/>
      <c r="K16" s="3148" t="s">
        <v>1940</v>
      </c>
      <c r="L16" s="3149"/>
      <c r="M16" s="3149"/>
      <c r="N16" s="3149"/>
      <c r="O16" s="3149"/>
      <c r="P16" s="3150"/>
    </row>
    <row r="17" spans="1:19" ht="15">
      <c r="A17" s="2245" t="s">
        <v>1941</v>
      </c>
      <c r="B17" s="2246" t="s">
        <v>1942</v>
      </c>
      <c r="C17" s="2247" t="s">
        <v>1943</v>
      </c>
      <c r="D17" s="2248" t="s">
        <v>1931</v>
      </c>
      <c r="E17" s="2249" t="s">
        <v>1932</v>
      </c>
      <c r="F17" s="2250"/>
      <c r="G17" s="2251"/>
      <c r="H17" s="2252" t="s">
        <v>1944</v>
      </c>
      <c r="I17" s="2253" t="s">
        <v>1929</v>
      </c>
      <c r="J17" s="1394"/>
      <c r="K17" s="3145" t="s">
        <v>1945</v>
      </c>
      <c r="L17" s="3146"/>
      <c r="M17" s="3147"/>
      <c r="N17" s="3145" t="s">
        <v>1946</v>
      </c>
      <c r="O17" s="3146"/>
      <c r="P17" s="3147"/>
      <c r="R17" s="2231" t="s">
        <v>1947</v>
      </c>
      <c r="S17" s="63"/>
    </row>
    <row r="18" spans="1:19" ht="15">
      <c r="A18" s="2241"/>
      <c r="B18" s="2254"/>
      <c r="C18" s="2255"/>
      <c r="D18" s="2256"/>
      <c r="E18" s="2257" t="s">
        <v>1948</v>
      </c>
      <c r="F18" s="2258" t="s">
        <v>1949</v>
      </c>
      <c r="G18" s="2259" t="s">
        <v>1950</v>
      </c>
      <c r="H18" s="1264" t="s">
        <v>1951</v>
      </c>
      <c r="I18" s="2260" t="s">
        <v>1952</v>
      </c>
      <c r="J18" s="1394"/>
      <c r="K18" s="1264" t="s">
        <v>1953</v>
      </c>
      <c r="L18" s="2261" t="s">
        <v>1954</v>
      </c>
      <c r="M18" s="1048" t="s">
        <v>1955</v>
      </c>
      <c r="N18" s="1264" t="s">
        <v>1953</v>
      </c>
      <c r="O18" s="2261" t="s">
        <v>1954</v>
      </c>
      <c r="P18" s="1048" t="s">
        <v>1955</v>
      </c>
      <c r="R18" s="1249" t="s">
        <v>1956</v>
      </c>
      <c r="S18" s="1249" t="s">
        <v>1957</v>
      </c>
    </row>
    <row r="19" spans="1:19">
      <c r="A19" s="2262"/>
      <c r="B19" s="49" t="s">
        <v>1930</v>
      </c>
      <c r="C19" s="2976" t="s">
        <v>3144</v>
      </c>
      <c r="D19" s="47">
        <f>ROUND($D$3*E19/$E$3,2)</f>
        <v>18889.87</v>
      </c>
      <c r="E19" s="55">
        <f t="shared" ref="E19:E26" si="1">SUM(F19:G19)</f>
        <v>50283.39</v>
      </c>
      <c r="F19" s="56">
        <f>'数据-基础表'!I14</f>
        <v>26779.01</v>
      </c>
      <c r="G19" s="57">
        <f>'数据-基础表'!M14+'数据-基础表'!K14</f>
        <v>23504.38</v>
      </c>
      <c r="H19" s="722">
        <f>ROUND($D$3*I19/$E$3,2)</f>
        <v>1896.93</v>
      </c>
      <c r="I19" s="50">
        <f t="shared" ref="I19:I26" si="2">IF($I$17="自定义",P19,M19)</f>
        <v>5049.4799999999996</v>
      </c>
      <c r="J19" s="1394"/>
      <c r="K19" s="1393">
        <f t="shared" ref="K19:K26" si="3">ROUND(E$28*E19/E$27,2)</f>
        <v>5049.4799999999996</v>
      </c>
      <c r="L19" s="1249">
        <f t="shared" ref="L19:L26" si="4">ROUND(IF(COUNTIF(C19,"*住宅*")&gt;0,E$29*E19/E$32,0),2)</f>
        <v>0</v>
      </c>
      <c r="M19" s="1405">
        <f>K19+L19</f>
        <v>5049.4799999999996</v>
      </c>
      <c r="N19" s="2263"/>
      <c r="O19" s="2264"/>
      <c r="P19" s="1405">
        <f>N19+O19</f>
        <v>0</v>
      </c>
      <c r="R19" s="1249">
        <f t="shared" ref="R19:S26" si="5">D19+H19</f>
        <v>20786.8</v>
      </c>
      <c r="S19" s="1250">
        <f t="shared" si="5"/>
        <v>55332.869999999995</v>
      </c>
    </row>
    <row r="20" spans="1:19">
      <c r="A20" s="2265"/>
      <c r="B20" s="49" t="s">
        <v>1958</v>
      </c>
      <c r="C20" s="2976"/>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49" t="s">
        <v>1958</v>
      </c>
      <c r="C21" s="2976" t="s">
        <v>3337</v>
      </c>
      <c r="D21" s="47">
        <f t="shared" si="6"/>
        <v>33726.92</v>
      </c>
      <c r="E21" s="55">
        <f t="shared" si="1"/>
        <v>89778.47</v>
      </c>
      <c r="F21" s="56">
        <f>'数据-基础表'!O14</f>
        <v>89778.47</v>
      </c>
      <c r="G21" s="57"/>
      <c r="H21" s="722">
        <f t="shared" si="7"/>
        <v>4878.25</v>
      </c>
      <c r="I21" s="50">
        <f t="shared" si="2"/>
        <v>12985.529999999999</v>
      </c>
      <c r="J21" s="1394"/>
      <c r="K21" s="1393">
        <f t="shared" si="3"/>
        <v>9015.58</v>
      </c>
      <c r="L21" s="1249">
        <f t="shared" si="4"/>
        <v>3969.95</v>
      </c>
      <c r="M21" s="1405">
        <f t="shared" si="8"/>
        <v>12985.529999999999</v>
      </c>
      <c r="N21" s="2263"/>
      <c r="O21" s="2264"/>
      <c r="P21" s="1405">
        <f t="shared" si="9"/>
        <v>0</v>
      </c>
      <c r="R21" s="1249">
        <f t="shared" si="5"/>
        <v>38605.17</v>
      </c>
      <c r="S21" s="1250">
        <f t="shared" si="5"/>
        <v>102764</v>
      </c>
    </row>
    <row r="22" spans="1:19">
      <c r="A22" s="2265"/>
      <c r="B22" s="49" t="s">
        <v>1958</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49" t="s">
        <v>1958</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49" t="s">
        <v>1958</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49" t="s">
        <v>1958</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49" t="s">
        <v>1958</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6"/>
      <c r="O26" s="2267"/>
      <c r="P26" s="66">
        <f t="shared" si="9"/>
        <v>0</v>
      </c>
      <c r="R26" s="1249">
        <f t="shared" si="5"/>
        <v>0</v>
      </c>
      <c r="S26" s="1250">
        <f t="shared" si="5"/>
        <v>0</v>
      </c>
    </row>
    <row r="27" spans="1:19" ht="29.25" thickBot="1">
      <c r="A27" s="2265"/>
      <c r="B27" s="47"/>
      <c r="C27" s="2268" t="s">
        <v>1959</v>
      </c>
      <c r="D27" s="1395">
        <f>SUM(D19:D26)</f>
        <v>52616.789999999994</v>
      </c>
      <c r="E27" s="1396">
        <f>IF(SUM(E19:E26)='数据-基础表'!BA5,SUM(E19:E26),IF(F27="地上面积有误","面积有误","地下面积有误"))</f>
        <v>140061.85999999999</v>
      </c>
      <c r="F27" s="1395">
        <f>IF(SUM(F19:F26)=E8,SUM(F19:F26),"地上面积有误")</f>
        <v>116557.48</v>
      </c>
      <c r="G27" s="1397">
        <f>SUM(G19:G26)</f>
        <v>23504.38</v>
      </c>
      <c r="H27" s="1398">
        <f>SUM(H19:H26)</f>
        <v>6775.18</v>
      </c>
      <c r="I27" s="1399">
        <f>SUM(I19:I26)</f>
        <v>18035.009999999998</v>
      </c>
      <c r="J27" s="1394"/>
      <c r="K27" s="1402">
        <f>SUM(K19:K26)</f>
        <v>14065.06</v>
      </c>
      <c r="L27" s="1403">
        <f>SUM(L19:L26)</f>
        <v>3969.95</v>
      </c>
      <c r="M27" s="1406">
        <f>SUM(M19:M26)</f>
        <v>18035.009999999998</v>
      </c>
      <c r="N27" s="1402">
        <f t="shared" ref="N27:O27" si="10">SUM(N19:N26)</f>
        <v>0</v>
      </c>
      <c r="O27" s="1403">
        <f t="shared" si="10"/>
        <v>0</v>
      </c>
      <c r="P27" s="1404">
        <f>SUM(P19:P26)</f>
        <v>0</v>
      </c>
      <c r="R27" s="1251" t="str">
        <f>IF(SUM(R19:R26)=$D$3,SUM(R19:R26),SUM(R19:R26)&amp;"误差"&amp;ROUND(SUM(R19:R26)-$D$3,2))</f>
        <v>59391.97误差-0.01</v>
      </c>
      <c r="S27" s="1249">
        <f>IF(SUM(S19:S26)=$E$3,SUM(S19:S26),SUM(S19:S26)&amp;"误差"&amp;ROUND(SUM(S19:S26)-E3,2))</f>
        <v>158096.87</v>
      </c>
    </row>
    <row r="28" spans="1:19">
      <c r="A28" s="2265"/>
      <c r="B28" s="49" t="s">
        <v>1960</v>
      </c>
      <c r="C28" s="1261" t="s">
        <v>1961</v>
      </c>
      <c r="D28" s="47">
        <f>ROUND($D$3*E28/$E$3,2)</f>
        <v>5283.8</v>
      </c>
      <c r="E28" s="55">
        <f>SUM(F28:G28)</f>
        <v>14065.059999999998</v>
      </c>
      <c r="F28" s="63">
        <f>'数据-基础表'!BQ5+'数据-基础表'!BS5</f>
        <v>1062.05</v>
      </c>
      <c r="G28" s="64">
        <f>'数据-基础表'!BR5+'数据-基础表'!BT5</f>
        <v>13003.009999999998</v>
      </c>
      <c r="H28" s="1394"/>
      <c r="I28" s="1394"/>
      <c r="J28" s="1394"/>
      <c r="K28" s="1394"/>
      <c r="L28" s="1394"/>
      <c r="M28" s="1394"/>
      <c r="N28" s="1394"/>
      <c r="O28" s="1394"/>
      <c r="P28" s="1394"/>
    </row>
    <row r="29" spans="1:19">
      <c r="A29" s="2265"/>
      <c r="B29" s="49" t="s">
        <v>1960</v>
      </c>
      <c r="C29" s="2269" t="s">
        <v>1962</v>
      </c>
      <c r="D29" s="47">
        <f>ROUND($D$3*E29/$E$3,2)</f>
        <v>1491.38</v>
      </c>
      <c r="E29" s="55">
        <f>SUM(F29:G29)</f>
        <v>3969.95</v>
      </c>
      <c r="F29" s="65">
        <f>'数据-基础表'!BM5+'数据-基础表'!BO5</f>
        <v>1492.62</v>
      </c>
      <c r="G29" s="66">
        <f>'数据-基础表'!BN5+'数据-基础表'!BP5</f>
        <v>2477.33</v>
      </c>
      <c r="H29" s="1394"/>
      <c r="I29" s="1394"/>
      <c r="J29" s="1394"/>
      <c r="K29" s="1394"/>
      <c r="L29" s="1394"/>
      <c r="M29" s="1394"/>
      <c r="N29" s="1394"/>
      <c r="O29" s="1394"/>
      <c r="P29" s="1394"/>
    </row>
    <row r="30" spans="1:19" ht="15">
      <c r="A30" s="2265"/>
      <c r="B30" s="49"/>
      <c r="C30" s="2270" t="s">
        <v>1959</v>
      </c>
      <c r="D30" s="1395">
        <f>SUM(D28:D29)</f>
        <v>6775.18</v>
      </c>
      <c r="E30" s="1395">
        <f>SUM(E28:E29)</f>
        <v>18035.009999999998</v>
      </c>
      <c r="F30" s="1395">
        <f>SUM(F28:F29)</f>
        <v>2554.67</v>
      </c>
      <c r="G30" s="1397">
        <f>SUM(G28:G29)</f>
        <v>15480.339999999998</v>
      </c>
      <c r="H30" s="1394"/>
      <c r="I30" s="1394"/>
      <c r="J30" s="1394"/>
      <c r="K30" s="1394"/>
      <c r="L30" s="1394"/>
      <c r="M30" s="1394"/>
      <c r="N30" s="1394"/>
      <c r="O30" s="1394"/>
      <c r="P30" s="1394"/>
    </row>
    <row r="31" spans="1:19" ht="15.75" thickBot="1">
      <c r="A31" s="2271"/>
      <c r="B31" s="2272"/>
      <c r="C31" s="1009" t="s">
        <v>1963</v>
      </c>
      <c r="D31" s="728">
        <f>D27+D30</f>
        <v>59391.969999999994</v>
      </c>
      <c r="E31" s="728">
        <f>E27+E30</f>
        <v>158096.87</v>
      </c>
      <c r="F31" s="729">
        <f>F27+F30</f>
        <v>119112.15</v>
      </c>
      <c r="G31" s="730">
        <f>G27+G30</f>
        <v>38984.720000000001</v>
      </c>
      <c r="H31" s="1394"/>
      <c r="I31" s="1394"/>
      <c r="J31" s="1394"/>
      <c r="K31" s="1394"/>
      <c r="L31" s="1394"/>
      <c r="M31" s="1394"/>
      <c r="N31" s="1394"/>
      <c r="O31" s="1394"/>
      <c r="P31" s="1394"/>
    </row>
    <row r="32" spans="1:19">
      <c r="A32" s="2236"/>
      <c r="B32" s="2236" t="s">
        <v>1964</v>
      </c>
      <c r="C32" s="2236"/>
      <c r="D32" s="2236"/>
      <c r="E32" s="1276">
        <f>SUMIF(C19:C26,"*住宅*",E19:E26)</f>
        <v>89778.47</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10.8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43481</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7"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7" t="s">
        <v>1971</v>
      </c>
      <c r="AA4" s="2247"/>
      <c r="AB4" s="2247"/>
      <c r="AC4" s="2247"/>
      <c r="AD4" s="2247"/>
      <c r="AE4" s="2245" t="s">
        <v>1972</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3150</v>
      </c>
      <c r="O5" s="2298" t="s">
        <v>1986</v>
      </c>
      <c r="P5" s="2301" t="s">
        <v>1987</v>
      </c>
      <c r="Q5" s="68" t="s">
        <v>1988</v>
      </c>
      <c r="R5" s="2302" t="s">
        <v>1989</v>
      </c>
      <c r="S5" s="2303" t="s">
        <v>1990</v>
      </c>
      <c r="T5" s="2304" t="s">
        <v>1991</v>
      </c>
      <c r="U5" s="1269" t="s">
        <v>1992</v>
      </c>
      <c r="V5" s="1270" t="s">
        <v>1993</v>
      </c>
      <c r="W5" s="1270" t="s">
        <v>1994</v>
      </c>
      <c r="X5" s="70"/>
      <c r="Y5" s="69" t="s">
        <v>1995</v>
      </c>
      <c r="Z5" s="2305" t="s">
        <v>1992</v>
      </c>
      <c r="AA5" s="1270" t="s">
        <v>1993</v>
      </c>
      <c r="AB5" s="1270" t="s">
        <v>1994</v>
      </c>
      <c r="AC5" s="70"/>
      <c r="AD5" s="70" t="s">
        <v>1995</v>
      </c>
      <c r="AE5" s="1269" t="s">
        <v>1996</v>
      </c>
      <c r="AF5" s="1270" t="s">
        <v>1997</v>
      </c>
      <c r="AG5" s="69" t="s">
        <v>1998</v>
      </c>
      <c r="AH5" s="1269" t="s">
        <v>1999</v>
      </c>
      <c r="AI5" s="2305" t="s">
        <v>2000</v>
      </c>
      <c r="AJ5" s="2305" t="s">
        <v>2001</v>
      </c>
      <c r="AK5" s="1270" t="s">
        <v>2002</v>
      </c>
      <c r="AL5" s="1270" t="s">
        <v>2003</v>
      </c>
      <c r="AM5" s="69" t="s">
        <v>2004</v>
      </c>
      <c r="AN5" s="2306" t="s">
        <v>2005</v>
      </c>
      <c r="AO5" s="2077" t="s">
        <v>2006</v>
      </c>
      <c r="AP5" s="1251" t="s">
        <v>2007</v>
      </c>
      <c r="AQ5" s="2307" t="s">
        <v>2008</v>
      </c>
      <c r="AR5" s="2307"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商业</v>
      </c>
      <c r="B6" s="2309" t="str">
        <f>IF(A6=0,"","经营性")</f>
        <v>经营性</v>
      </c>
      <c r="C6" s="2310" t="s">
        <v>1373</v>
      </c>
      <c r="D6" s="1053">
        <f>SUMIF(项目基本情况!D$12:I$12,C6,项目基本情况!D$14:I$14)</f>
        <v>40</v>
      </c>
      <c r="E6" s="1050">
        <f>IF(B6="","",SUMIF(项目基本情况!D$12:I$12,C6,项目基本情况!D$13:I$13))</f>
        <v>55536</v>
      </c>
      <c r="F6" s="71">
        <f>SUMIF(项目基本情况!D$12:I$12,C6,项目基本情况!D$15:I$15)</f>
        <v>33.020000000000003</v>
      </c>
      <c r="G6" s="72">
        <f ca="1">IF(ISERROR(ROUND(POWER(1+H6,D6-F6)*(POWER(1+H6,F6)-1)/(POWER(1+H6,D6)-1),3)),0,ROUND(POWER(1+H6,D6-F6)*(POWER(1+H6,F6)-1)/(POWER(1+H6,D6)-1),3))</f>
        <v>0.93799999999999994</v>
      </c>
      <c r="H6" s="3048">
        <f ca="1">基准地价修正!G20</f>
        <v>5.3999999999999999E-2</v>
      </c>
      <c r="I6" s="801">
        <v>0.06</v>
      </c>
      <c r="J6" s="73">
        <v>0.08</v>
      </c>
      <c r="K6" s="1253">
        <f>SUMIF('数据-汇总表'!C$19:C$33,A6,'数据-汇总表'!E$19:E$33)</f>
        <v>50283.39</v>
      </c>
      <c r="L6" s="802">
        <v>6000</v>
      </c>
      <c r="M6" s="74">
        <f t="shared" ref="M6:M14" si="0">ROUND(K6*L6/10000,0)</f>
        <v>30170</v>
      </c>
      <c r="N6" s="800">
        <f>ROUND(1-(2019-2017)/60,2)</f>
        <v>0.97</v>
      </c>
      <c r="O6" s="74" t="str">
        <f>IF($N$5="成新度","——",ROUND(M6*N6,0))</f>
        <v>——</v>
      </c>
      <c r="P6" s="75" t="str">
        <f>IF($N$5="成新度","——",M6-O6)</f>
        <v>——</v>
      </c>
      <c r="Q6" s="803">
        <v>0.2</v>
      </c>
      <c r="R6" s="76">
        <f ca="1">SUMIF('数据-汇总表'!C$19:C$33,A6,'数据-汇总表'!R$19:R$27)</f>
        <v>20786.8</v>
      </c>
      <c r="S6" s="53">
        <f>IF('数据-汇总表'!$I$17="按面积比例",SUMIF('数据-汇总表'!C$19:C$33,A6,'数据-汇总表'!K$19:K$33),SUMIF('数据-汇总表'!C$19:C$33,A6,'数据-汇总表'!N$19:N$33))</f>
        <v>5049.4799999999996</v>
      </c>
      <c r="T6" s="1445">
        <f>ROUND($L$14*S6/10000,0)</f>
        <v>1262</v>
      </c>
      <c r="U6" s="77">
        <f>ROUND(K6/T19*U19,0)*10000*0.8</f>
        <v>58712000</v>
      </c>
      <c r="V6" s="78">
        <v>0</v>
      </c>
      <c r="W6" s="78">
        <v>0</v>
      </c>
      <c r="X6" s="1263"/>
      <c r="Y6" s="79">
        <f>N6</f>
        <v>0.97</v>
      </c>
      <c r="Z6" s="80"/>
      <c r="AA6" s="73"/>
      <c r="AB6" s="73"/>
      <c r="AC6" s="1263"/>
      <c r="AD6" s="81"/>
      <c r="AE6" s="1264">
        <f ca="1">IF(AN6="",0,SUMIF(INDIRECT("'"&amp;AN6&amp;"'"&amp;"!E:E"),$AE$5,INDIRECT("'"&amp;AN6&amp;"'"&amp;"!F:F")))</f>
        <v>33.020000000000003</v>
      </c>
      <c r="AF6" s="1806"/>
      <c r="AG6" s="146">
        <f>IF(AF6="",0,AE6-AF6)</f>
        <v>0</v>
      </c>
      <c r="AH6" s="82">
        <v>1</v>
      </c>
      <c r="AI6" s="84">
        <v>1</v>
      </c>
      <c r="AJ6" s="85"/>
      <c r="AK6" s="86">
        <v>1.4999999999999999E-2</v>
      </c>
      <c r="AL6" s="87">
        <v>1.5E-3</v>
      </c>
      <c r="AM6" s="88">
        <v>1.4999999999999999E-2</v>
      </c>
      <c r="AN6" s="2311" t="s">
        <v>3313</v>
      </c>
      <c r="AO6" s="54">
        <f ca="1">SUMIF(INDIRECT("'"&amp;AN6&amp;"'"&amp;"!A:A"),"总价",INDIRECT("'"&amp;AN6&amp;"'"&amp;"!B:B"))</f>
        <v>62633</v>
      </c>
      <c r="AP6" s="2312">
        <f>IF(C6="住宅",K6*L6,0)</f>
        <v>0</v>
      </c>
      <c r="AQ6" s="54">
        <f>ROUND($L$14*$N$14*S6/10000,0)</f>
        <v>1224</v>
      </c>
      <c r="AR6" s="54">
        <f>ROUND($L$14*(1-$N$14)*S6/10000,0)</f>
        <v>38</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t="e">
        <f t="shared" ref="AE7:AE13" ca="1" si="6">IF(AN7="",0,SUMIF(INDIRECT("'"&amp;AN7&amp;"'"&amp;"!E:E"),$AE$5,INDIRECT("'"&amp;AN7&amp;"'"&amp;"!F:F")))</f>
        <v>#N/A</v>
      </c>
      <c r="AF7" s="1806"/>
      <c r="AG7" s="146">
        <f t="shared" ref="AG7:AG13" si="7">IF(AF7="",0,AE7-AF7)</f>
        <v>0</v>
      </c>
      <c r="AH7" s="82"/>
      <c r="AI7" s="84">
        <v>365</v>
      </c>
      <c r="AJ7" s="85"/>
      <c r="AK7" s="86"/>
      <c r="AL7" s="87" t="s">
        <v>3376</v>
      </c>
      <c r="AM7" s="88"/>
      <c r="AN7" s="2311" t="s">
        <v>3311</v>
      </c>
      <c r="AO7" s="54" t="e">
        <f t="shared" ref="AO7:AO13" ca="1" si="8">SUMIF(INDIRECT("'"&amp;AN7&amp;"'"&amp;"!A:A"),"总价",INDIRECT("'"&amp;AN7&amp;"'"&amp;"!B:B"))</f>
        <v>#N/A</v>
      </c>
      <c r="AP7" s="2312">
        <f t="shared" ref="AP7:AP13" si="9">IF(C7="住宅",K7*L7,0)</f>
        <v>0</v>
      </c>
      <c r="AQ7" s="54">
        <f t="shared" ref="AQ7:AQ13" si="10">ROUND($L$14*$N$14*S7/10000,0)</f>
        <v>0</v>
      </c>
      <c r="AR7" s="54">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住宅</v>
      </c>
      <c r="B8" s="2309" t="str">
        <f t="shared" si="1"/>
        <v>经营性</v>
      </c>
      <c r="C8" s="2310" t="s">
        <v>3066</v>
      </c>
      <c r="D8" s="1053">
        <f>SUMIF(项目基本情况!D$12:I$12,C8,项目基本情况!D$14:I$14)</f>
        <v>70</v>
      </c>
      <c r="E8" s="1050">
        <f>IF(B8="","",SUMIF(项目基本情况!D$12:I$12,C8,项目基本情况!D$13:I$13))</f>
        <v>66494</v>
      </c>
      <c r="F8" s="71">
        <f>SUMIF(项目基本情况!D$12:I$12,C8,项目基本情况!D$15:I$15)</f>
        <v>63.04</v>
      </c>
      <c r="G8" s="72">
        <f t="shared" si="2"/>
        <v>0.98299999999999998</v>
      </c>
      <c r="H8" s="3048">
        <v>4.4999999999999998E-2</v>
      </c>
      <c r="I8" s="801">
        <v>0.05</v>
      </c>
      <c r="J8" s="73">
        <v>0.08</v>
      </c>
      <c r="K8" s="1253">
        <f>SUMIF('数据-汇总表'!C$19:C$33,A8,'数据-汇总表'!E$19:E$33)</f>
        <v>89778.47</v>
      </c>
      <c r="L8" s="802">
        <v>4000</v>
      </c>
      <c r="M8" s="74">
        <f>ROUND(K8*L8/10000,0)</f>
        <v>35911</v>
      </c>
      <c r="N8" s="800">
        <f>N6</f>
        <v>0.97</v>
      </c>
      <c r="O8" s="74" t="str">
        <f t="shared" si="3"/>
        <v>——</v>
      </c>
      <c r="P8" s="75" t="str">
        <f t="shared" si="4"/>
        <v>——</v>
      </c>
      <c r="Q8" s="803">
        <v>0.2</v>
      </c>
      <c r="R8" s="76">
        <f ca="1">SUMIF('数据-汇总表'!C$19:C$33,A8,'数据-汇总表'!R$19:R$27)</f>
        <v>38605.17</v>
      </c>
      <c r="S8" s="53">
        <f>IF('数据-汇总表'!$I$17="按面积比例",SUMIF('数据-汇总表'!C$19:C$33,A8,'数据-汇总表'!K$19:K$33),SUMIF('数据-汇总表'!C$19:C$33,A8,'数据-汇总表'!N$19:N$33))</f>
        <v>9015.58</v>
      </c>
      <c r="T8" s="1445">
        <f t="shared" si="5"/>
        <v>2254</v>
      </c>
      <c r="U8" s="804">
        <f>ROUND(K8/T21*U21,0)*10000*0.8</f>
        <v>98416000</v>
      </c>
      <c r="V8" s="805">
        <v>0</v>
      </c>
      <c r="W8" s="805">
        <v>0</v>
      </c>
      <c r="X8" s="1263"/>
      <c r="Y8" s="806">
        <f>Y6</f>
        <v>0.97</v>
      </c>
      <c r="Z8" s="80"/>
      <c r="AA8" s="73"/>
      <c r="AB8" s="73"/>
      <c r="AC8" s="1263"/>
      <c r="AD8" s="81"/>
      <c r="AE8" s="1264">
        <f t="shared" ca="1" si="6"/>
        <v>63.04</v>
      </c>
      <c r="AF8" s="1806"/>
      <c r="AG8" s="146">
        <f t="shared" si="7"/>
        <v>0</v>
      </c>
      <c r="AH8" s="807">
        <v>1</v>
      </c>
      <c r="AI8" s="84">
        <v>1</v>
      </c>
      <c r="AJ8" s="85"/>
      <c r="AK8" s="808">
        <v>1.4999999999999999E-2</v>
      </c>
      <c r="AL8" s="809">
        <v>1.5E-3</v>
      </c>
      <c r="AM8" s="810">
        <v>1.4999999999999999E-2</v>
      </c>
      <c r="AN8" s="2311" t="s">
        <v>3338</v>
      </c>
      <c r="AO8" s="54">
        <f t="shared" ca="1" si="8"/>
        <v>146453</v>
      </c>
      <c r="AP8" s="2312">
        <f t="shared" si="9"/>
        <v>359113880</v>
      </c>
      <c r="AQ8" s="54">
        <f t="shared" si="10"/>
        <v>2186</v>
      </c>
      <c r="AR8" s="54">
        <f t="shared" si="11"/>
        <v>68</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11"/>
      <c r="AO9" s="54" t="e">
        <f t="shared" ca="1" si="8"/>
        <v>#REF!</v>
      </c>
      <c r="AP9" s="2312">
        <f t="shared" si="9"/>
        <v>0</v>
      </c>
      <c r="AQ9" s="54">
        <f t="shared" si="10"/>
        <v>0</v>
      </c>
      <c r="AR9" s="54">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11"/>
      <c r="AO10" s="54" t="e">
        <f t="shared" ca="1" si="8"/>
        <v>#REF!</v>
      </c>
      <c r="AP10" s="2312">
        <f t="shared" si="9"/>
        <v>0</v>
      </c>
      <c r="AQ10" s="54">
        <f t="shared" si="10"/>
        <v>0</v>
      </c>
      <c r="AR10" s="54">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11"/>
      <c r="AO11" s="54" t="e">
        <f t="shared" ca="1" si="8"/>
        <v>#REF!</v>
      </c>
      <c r="AP11" s="2312">
        <f t="shared" si="9"/>
        <v>0</v>
      </c>
      <c r="AQ11" s="54">
        <f t="shared" si="10"/>
        <v>0</v>
      </c>
      <c r="AR11" s="54">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11"/>
      <c r="AO12" s="54" t="e">
        <f t="shared" ca="1" si="8"/>
        <v>#REF!</v>
      </c>
      <c r="AP12" s="2312">
        <f t="shared" si="9"/>
        <v>0</v>
      </c>
      <c r="AQ12" s="54">
        <f t="shared" si="10"/>
        <v>0</v>
      </c>
      <c r="AR12" s="54">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11"/>
      <c r="AO13" s="54" t="e">
        <f t="shared" ca="1" si="8"/>
        <v>#REF!</v>
      </c>
      <c r="AP13" s="2312">
        <f t="shared" si="9"/>
        <v>0</v>
      </c>
      <c r="AQ13" s="54">
        <f t="shared" si="10"/>
        <v>0</v>
      </c>
      <c r="AR13" s="54">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3"/>
      <c r="E14" s="1050"/>
      <c r="F14" s="71"/>
      <c r="G14" s="72"/>
      <c r="H14" s="1252"/>
      <c r="I14" s="1252"/>
      <c r="J14" s="1252"/>
      <c r="K14" s="1253">
        <f>SUMIF('数据-汇总表'!C$19:C$33,A14,'数据-汇总表'!E$19:E$33)</f>
        <v>14065.059999999998</v>
      </c>
      <c r="L14" s="90">
        <v>2500</v>
      </c>
      <c r="M14" s="74">
        <f t="shared" si="0"/>
        <v>3516</v>
      </c>
      <c r="N14" s="91">
        <f>N6</f>
        <v>0.97</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3"/>
      <c r="E15" s="1050"/>
      <c r="F15" s="71"/>
      <c r="G15" s="72"/>
      <c r="H15" s="1252"/>
      <c r="I15" s="1252"/>
      <c r="J15" s="1252"/>
      <c r="K15" s="1253">
        <f>SUMIF('数据-汇总表'!C$19:C$33,A15,'数据-汇总表'!E$19:E$33)</f>
        <v>3969.95</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6"/>
      <c r="C16" s="1007"/>
      <c r="D16" s="2316"/>
      <c r="E16" s="96"/>
      <c r="F16" s="96"/>
      <c r="G16" s="97">
        <f ca="1">ROUND(SUMPRODUCT(G6:G13,K6:K13)/SUMPRODUCT((G6:G13&gt;0)*(K6:K13)),3)</f>
        <v>0.96699999999999997</v>
      </c>
      <c r="H16" s="98">
        <f ca="1">ROUND(SUMPRODUCT(H6:H13,K6:K13)/SUMPRODUCT((H6:H13&gt;0)*(K6:K13)),3)</f>
        <v>4.8000000000000001E-2</v>
      </c>
      <c r="I16" s="99"/>
      <c r="J16" s="99"/>
      <c r="K16" s="100">
        <f>SUM(K6:K15)</f>
        <v>158096.87</v>
      </c>
      <c r="L16" s="101">
        <f>ROUND(M16*10000/SUM(K6:K14),0)</f>
        <v>4516</v>
      </c>
      <c r="M16" s="101">
        <f>SUM(M6:M14)</f>
        <v>69597</v>
      </c>
      <c r="N16" s="102">
        <f>ROUND(SUMPRODUCT(M6:M14,N6:N14)/M16,3)</f>
        <v>0.97</v>
      </c>
      <c r="O16" s="101">
        <f>SUM(O6:O14)</f>
        <v>0</v>
      </c>
      <c r="P16" s="101">
        <f>SUM(P6:P14)</f>
        <v>0</v>
      </c>
      <c r="Q16" s="103">
        <f>ROUND(SUMPRODUCT(Q6:Q13,K6:K13)/SUMPRODUCT((Q6:Q13&gt;0)*(K6:K13)),2)</f>
        <v>0.2</v>
      </c>
      <c r="R16" s="1257">
        <f ca="1">SUM(R6:R13)</f>
        <v>59391.97</v>
      </c>
      <c r="S16" s="104">
        <f>SUM(S6:S13)</f>
        <v>14065.06</v>
      </c>
      <c r="T16" s="105">
        <f>IF(SUMIF(T6:T13,"&lt;9E307")=M14,SUMIF(T6:T13,"&lt;9E307"),"有误，请检查")</f>
        <v>3516</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2015</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1">
        <v>0</v>
      </c>
      <c r="C19" s="2279" t="s">
        <v>2017</v>
      </c>
      <c r="D19" s="2280"/>
      <c r="E19" s="2279"/>
      <c r="F19" s="2279"/>
      <c r="G19" s="2279"/>
      <c r="H19" s="2279"/>
      <c r="I19" s="2279"/>
      <c r="J19" s="2279"/>
      <c r="K19" s="167"/>
      <c r="L19" s="167"/>
      <c r="M19" s="1583"/>
      <c r="N19" s="1583"/>
      <c r="O19" s="1583"/>
      <c r="P19" s="1583"/>
      <c r="Q19" s="1583"/>
      <c r="R19" s="1583"/>
      <c r="S19" s="1583"/>
      <c r="T19" s="1583">
        <v>91066.89</v>
      </c>
      <c r="U19" s="1583">
        <v>13291</v>
      </c>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2">
        <v>2</v>
      </c>
      <c r="C20" s="2279" t="s">
        <v>2019</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2">
        <v>2</v>
      </c>
      <c r="C21" s="2279"/>
      <c r="D21" s="2280"/>
      <c r="E21" s="2279"/>
      <c r="F21" s="2279"/>
      <c r="G21" s="2279"/>
      <c r="H21" s="2279"/>
      <c r="I21" s="2279"/>
      <c r="J21" s="2279"/>
      <c r="K21" s="167"/>
      <c r="L21" s="167"/>
      <c r="M21" s="1583"/>
      <c r="N21" s="1583"/>
      <c r="O21" s="1583"/>
      <c r="P21" s="1583"/>
      <c r="Q21" s="1583"/>
      <c r="R21" s="1583"/>
      <c r="S21" s="1583"/>
      <c r="T21" s="1583">
        <v>118119.76</v>
      </c>
      <c r="U21" s="1583">
        <v>16186</v>
      </c>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3">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3">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4">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5">
        <v>150</v>
      </c>
      <c r="C27" s="1766" t="s">
        <v>2028</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2029</v>
      </c>
      <c r="B28" s="118">
        <v>190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2030</v>
      </c>
      <c r="B29" s="120">
        <f ca="1">成本法!C10</f>
        <v>1298</v>
      </c>
      <c r="C29" s="1766" t="s">
        <v>2031</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2032</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2033</v>
      </c>
      <c r="B31" s="119">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2034</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2035</v>
      </c>
      <c r="B33" s="725">
        <v>0.03</v>
      </c>
      <c r="C33" s="1765" t="s">
        <v>2036</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2037</v>
      </c>
      <c r="B34" s="121">
        <v>0.05</v>
      </c>
      <c r="C34" s="1765" t="s">
        <v>2038</v>
      </c>
      <c r="D34" s="2280" t="s">
        <v>2039</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2040</v>
      </c>
      <c r="B35" s="118">
        <v>200</v>
      </c>
      <c r="C35" s="1765" t="s">
        <v>2041</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2042</v>
      </c>
      <c r="B36" s="122">
        <v>1.4999999999999999E-2</v>
      </c>
      <c r="C36" s="1765" t="s">
        <v>2043</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3">
        <v>0.02</v>
      </c>
      <c r="C37" s="1765" t="s">
        <v>2045</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1">
        <v>0.02</v>
      </c>
      <c r="C38" s="1765" t="s">
        <v>2045</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4.7500000000000001E-2</v>
      </c>
      <c r="C40" s="1765" t="s">
        <v>2049</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7">
        <v>0.05</v>
      </c>
      <c r="C44" s="1765" t="s">
        <v>2054</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5">
        <v>0.03</v>
      </c>
      <c r="C45" s="1766" t="s">
        <v>2056</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5">
        <v>0.02</v>
      </c>
      <c r="C46" s="1766" t="s">
        <v>2058</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8"/>
      <c r="C47" s="1766" t="s">
        <v>2060</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29">
        <v>0.03</v>
      </c>
      <c r="C48" s="1773" t="s">
        <v>2062</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5">
        <v>5.0000000000000001E-4</v>
      </c>
      <c r="C49" s="1773" t="s">
        <v>2064</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t="s">
        <v>56</v>
      </c>
      <c r="C53" s="1429" t="s">
        <v>2069</v>
      </c>
      <c r="D53" s="2339" t="s">
        <v>2070</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3"/>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3"/>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3"/>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3"/>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3"/>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3">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3"/>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3"/>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3"/>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4" sqref="F34"/>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60" t="s">
        <v>2081</v>
      </c>
      <c r="B1" s="3161"/>
      <c r="C1" s="3161"/>
      <c r="D1" s="3161"/>
      <c r="E1" s="3161"/>
      <c r="F1" s="3161"/>
      <c r="G1" s="316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4" t="s">
        <v>2084</v>
      </c>
      <c r="B3" s="1270" t="s">
        <v>2085</v>
      </c>
      <c r="C3" s="2372" t="s">
        <v>2086</v>
      </c>
      <c r="D3" s="2373"/>
      <c r="E3" s="430" t="s">
        <v>2084</v>
      </c>
      <c r="F3" s="2374" t="s">
        <v>2087</v>
      </c>
      <c r="G3" s="2375" t="s">
        <v>2088</v>
      </c>
      <c r="H3" s="2370"/>
      <c r="I3" s="2370"/>
      <c r="J3" s="2370"/>
      <c r="K3" s="2370"/>
      <c r="L3" s="2370"/>
      <c r="M3" s="2370"/>
      <c r="N3" s="2370"/>
      <c r="O3" s="2370"/>
      <c r="P3" s="2370"/>
      <c r="Q3" s="2370"/>
      <c r="R3" s="2370"/>
    </row>
    <row r="4" spans="1:29" ht="41.25">
      <c r="A4" s="430"/>
      <c r="B4" s="1797" t="s">
        <v>2089</v>
      </c>
      <c r="C4" s="2376" t="s">
        <v>2090</v>
      </c>
      <c r="D4" s="2373"/>
      <c r="E4" s="2377"/>
      <c r="F4" s="41" t="s">
        <v>2091</v>
      </c>
      <c r="G4" s="2378" t="s">
        <v>2092</v>
      </c>
      <c r="H4" s="2370"/>
      <c r="I4" s="2370"/>
      <c r="J4" s="2370"/>
      <c r="K4" s="2370"/>
      <c r="L4" s="2370"/>
      <c r="M4" s="2370"/>
      <c r="N4" s="2370"/>
      <c r="O4" s="2370"/>
      <c r="P4" s="2370"/>
      <c r="Q4" s="2370"/>
      <c r="R4" s="2370"/>
    </row>
    <row r="5" spans="1:29" ht="41.25">
      <c r="A5" s="430"/>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0"/>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0"/>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0"/>
      <c r="B8" s="1797" t="s">
        <v>2098</v>
      </c>
      <c r="C8" s="2378" t="s">
        <v>2099</v>
      </c>
      <c r="D8" s="2379"/>
      <c r="E8" s="2379"/>
      <c r="F8" s="1135"/>
      <c r="G8" s="1135"/>
      <c r="H8" s="2370"/>
      <c r="I8" s="2370"/>
      <c r="J8" s="2370"/>
      <c r="K8" s="2370"/>
      <c r="L8" s="2370"/>
      <c r="M8" s="2370"/>
      <c r="N8" s="2370"/>
      <c r="O8" s="2370"/>
      <c r="P8" s="2370"/>
      <c r="Q8" s="2370"/>
      <c r="R8" s="2370"/>
    </row>
    <row r="9" spans="1:29" ht="27">
      <c r="A9" s="430"/>
      <c r="B9" s="1797" t="s">
        <v>2102</v>
      </c>
      <c r="C9" s="2376" t="s">
        <v>2103</v>
      </c>
      <c r="D9" s="2373"/>
      <c r="E9" s="2379"/>
      <c r="F9" s="1135"/>
      <c r="G9" s="1135"/>
      <c r="H9" s="2370"/>
      <c r="I9" s="2370"/>
      <c r="J9" s="2370"/>
      <c r="K9" s="2370"/>
      <c r="L9" s="2370"/>
      <c r="M9" s="2370"/>
      <c r="N9" s="2370"/>
      <c r="O9" s="2370"/>
      <c r="P9" s="2370"/>
      <c r="Q9" s="2370"/>
      <c r="R9" s="2370"/>
    </row>
    <row r="10" spans="1:29" s="116" customFormat="1" ht="15.75" thickBot="1">
      <c r="A10" s="2383"/>
      <c r="B10" s="2384" t="s">
        <v>2104</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7" t="s">
        <v>2108</v>
      </c>
      <c r="B15" s="1269" t="s">
        <v>2085</v>
      </c>
      <c r="C15" s="2405" t="str">
        <f>C3</f>
        <v>估价对象周边居住用地比例、居住小区规模和社区发展完善程度，综合评价居住社区成熟度一般</v>
      </c>
      <c r="D15" s="2373"/>
      <c r="E15" s="2406" t="s">
        <v>2109</v>
      </c>
      <c r="F15" s="1269" t="s">
        <v>2110</v>
      </c>
      <c r="G15" s="134" t="str">
        <f>G3</f>
        <v>估价对象位于XX开发区，园区建设成熟度XX，产业集聚程度XX</v>
      </c>
    </row>
    <row r="16" spans="1:29" ht="42.75">
      <c r="A16" s="644"/>
      <c r="B16" s="2407" t="s">
        <v>2089</v>
      </c>
      <c r="C16" s="2408" t="str">
        <f>C4</f>
        <v>估价对象位于XX商圈，周边商业氛围成熟，人流量大，商业繁华度好</v>
      </c>
      <c r="D16" s="2373"/>
      <c r="E16" s="2409"/>
      <c r="F16" s="2410" t="s">
        <v>2091</v>
      </c>
      <c r="G16" s="135" t="str">
        <f>G4</f>
        <v>估价对象周边道路状况、公共交通通达情况、停车便捷程度，综合评价交通便捷度较好</v>
      </c>
    </row>
    <row r="17" spans="1:18" ht="42.75">
      <c r="A17" s="644"/>
      <c r="B17" s="2407" t="s">
        <v>2093</v>
      </c>
      <c r="C17" s="2408" t="str">
        <f>C5</f>
        <v>估价对象位于XX商圈，周边办公楼项目较多，入驻率高，办公集聚程度较好</v>
      </c>
      <c r="D17" s="2379"/>
      <c r="E17" s="2409"/>
      <c r="F17" s="2410" t="s">
        <v>2111</v>
      </c>
      <c r="G17" s="1571"/>
    </row>
    <row r="18" spans="1:18" ht="57">
      <c r="A18" s="644"/>
      <c r="B18" s="2410" t="s">
        <v>2097</v>
      </c>
      <c r="C18" s="135" t="str">
        <f>C6</f>
        <v>估价对象周边道路状况、公共交通通达情况、停车便捷程度，综合评价交通便捷度较好</v>
      </c>
      <c r="D18" s="2379"/>
      <c r="E18" s="2409"/>
      <c r="F18" s="2410" t="s">
        <v>2100</v>
      </c>
      <c r="G18" s="135" t="str">
        <f>G7</f>
        <v>该园区内是否有污染型企业，绿化情况，卫生条件，整体环境状况判断</v>
      </c>
    </row>
    <row r="19" spans="1:18" ht="28.5">
      <c r="A19" s="644"/>
      <c r="B19" s="2410" t="s">
        <v>2112</v>
      </c>
      <c r="C19" s="1571"/>
      <c r="D19" s="2373"/>
      <c r="E19" s="2409"/>
      <c r="F19" s="1797" t="s">
        <v>2095</v>
      </c>
      <c r="G19" s="135" t="str">
        <f>G5</f>
        <v>估价对象所在区域公共配套设施齐备情况</v>
      </c>
    </row>
    <row r="20" spans="1:18" ht="28.5">
      <c r="A20" s="644"/>
      <c r="B20" s="2410" t="s">
        <v>2113</v>
      </c>
      <c r="C20" s="2408" t="str">
        <f>C9</f>
        <v>区域自然环境：；人文环境；综合评价环境状况一般</v>
      </c>
      <c r="D20" s="2379"/>
      <c r="E20" s="2409"/>
      <c r="F20" s="1797" t="s">
        <v>2114</v>
      </c>
      <c r="G20" s="135" t="str">
        <f>G6</f>
        <v>估价对象所在区域基础设施水平</v>
      </c>
    </row>
    <row r="21" spans="1:18" ht="28.5">
      <c r="A21" s="644"/>
      <c r="B21" s="1797" t="s">
        <v>2095</v>
      </c>
      <c r="C21" s="135" t="str">
        <f>C7</f>
        <v>估价对象所在区域公共配套设施齐备情况</v>
      </c>
      <c r="D21" s="2373"/>
      <c r="E21" s="2409"/>
      <c r="F21" s="2410" t="s">
        <v>2115</v>
      </c>
      <c r="G21" s="2411"/>
    </row>
    <row r="22" spans="1:18" ht="13.5" customHeight="1">
      <c r="A22" s="644"/>
      <c r="B22" s="1797" t="s">
        <v>2098</v>
      </c>
      <c r="C22" s="135" t="str">
        <f>C8</f>
        <v>估价对象所在区域基础设施水平</v>
      </c>
      <c r="D22" s="2373"/>
      <c r="E22" s="2409"/>
      <c r="F22" s="2410" t="s">
        <v>2104</v>
      </c>
      <c r="G22" s="1571"/>
    </row>
    <row r="23" spans="1:18" s="2370" customFormat="1" ht="15.75" thickBot="1">
      <c r="A23" s="644"/>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158096.87</v>
      </c>
      <c r="C1" s="1744"/>
      <c r="D1" s="1744"/>
      <c r="E1" s="1744"/>
      <c r="F1" s="1744"/>
      <c r="G1" s="1742"/>
    </row>
    <row r="2" spans="1:10" ht="16.5">
      <c r="A2" s="1745" t="s">
        <v>1349</v>
      </c>
      <c r="B2" s="1745">
        <f>SUM(C14:C23)</f>
        <v>59391.98</v>
      </c>
      <c r="C2" s="1744"/>
      <c r="D2" s="1744"/>
      <c r="E2" s="1744"/>
      <c r="F2" s="1744"/>
      <c r="G2" s="1742"/>
    </row>
    <row r="3" spans="1:10" ht="16.5">
      <c r="A3" s="1745" t="s">
        <v>1358</v>
      </c>
      <c r="B3" s="1746">
        <f>项目基本情况!D3</f>
        <v>43481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274424</v>
      </c>
      <c r="C5" s="1745">
        <f ca="1">ROUND(B5*10000/$B$1,0)</f>
        <v>17358</v>
      </c>
      <c r="D5" s="1745">
        <f ca="1">ROUND(B5*10000/$B$2,0)</f>
        <v>46206</v>
      </c>
      <c r="E5" s="1744"/>
      <c r="F5" s="1742"/>
      <c r="G5" s="1742"/>
    </row>
    <row r="6" spans="1:10" ht="16.5">
      <c r="A6" s="1745" t="s">
        <v>1352</v>
      </c>
      <c r="B6" s="1745">
        <f ca="1">SUM(G14:G23)</f>
        <v>273967</v>
      </c>
      <c r="C6" s="1745">
        <f ca="1">ROUND(B6*10000/$B$1,0)</f>
        <v>17329</v>
      </c>
      <c r="D6" s="1745">
        <f ca="1">ROUND(B6*10000/$B$2,0)</f>
        <v>46129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158096.87</v>
      </c>
      <c r="C14" s="1743">
        <f>结果表!C118</f>
        <v>59391.98</v>
      </c>
      <c r="D14" s="1743">
        <f ca="1">结果表!H118</f>
        <v>274424</v>
      </c>
      <c r="E14" s="1743">
        <f ca="1">ROUND(D14*10000/B14,0)</f>
        <v>17358</v>
      </c>
      <c r="F14" s="1743">
        <f ca="1">ROUND(D14*10000/C14,0)</f>
        <v>46206</v>
      </c>
      <c r="G14" s="1743">
        <f ca="1">结果表!D122</f>
        <v>273967</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G27" sqref="G27"/>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2118</v>
      </c>
      <c r="B1" s="2421"/>
      <c r="C1" s="2422"/>
      <c r="D1" s="2421"/>
      <c r="E1" s="2421"/>
      <c r="F1" s="2423" t="s">
        <v>2119</v>
      </c>
      <c r="G1" s="2073" t="s">
        <v>3321</v>
      </c>
      <c r="H1" s="2424" t="str">
        <f>IF(G1="现房","——","估价对象范围")</f>
        <v>——</v>
      </c>
      <c r="I1" s="2425"/>
    </row>
    <row r="2" spans="1:12" ht="21.75" customHeight="1" thickBot="1">
      <c r="A2" s="3234" t="str">
        <f>项目基本情况!S2</f>
        <v>北京市房地产</v>
      </c>
      <c r="B2" s="3235"/>
      <c r="C2" s="3235"/>
      <c r="D2" s="3235"/>
      <c r="E2" s="3235"/>
      <c r="F2" s="3235"/>
      <c r="G2" s="3235"/>
      <c r="H2" s="3235"/>
      <c r="I2" s="3236"/>
    </row>
    <row r="3" spans="1:12" ht="12.75">
      <c r="A3" s="3237" t="s">
        <v>2120</v>
      </c>
      <c r="B3" s="3238"/>
      <c r="C3" s="3238"/>
      <c r="D3" s="3238"/>
      <c r="E3" s="3238"/>
      <c r="F3" s="3238"/>
      <c r="G3" s="3238"/>
      <c r="H3" s="3238"/>
      <c r="I3" s="3238"/>
    </row>
    <row r="4" spans="1:12" ht="14.25">
      <c r="A4" s="2428" t="s">
        <v>2121</v>
      </c>
      <c r="B4" s="2429" t="s">
        <v>2122</v>
      </c>
      <c r="C4" s="2430" t="s">
        <v>3319</v>
      </c>
      <c r="D4" s="2430" t="s">
        <v>3320</v>
      </c>
      <c r="E4" s="3218" t="s">
        <v>2123</v>
      </c>
      <c r="F4" s="3231"/>
      <c r="G4" s="3231"/>
      <c r="H4" s="3231"/>
      <c r="I4" s="321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209" t="s">
        <v>2124</v>
      </c>
      <c r="B5" s="3115">
        <v>25</v>
      </c>
      <c r="C5" s="3239"/>
      <c r="D5" s="3227"/>
      <c r="E5" s="139" t="s">
        <v>2125</v>
      </c>
      <c r="F5" s="2432"/>
      <c r="G5" s="2432"/>
      <c r="H5" s="2432"/>
      <c r="I5" s="1833"/>
    </row>
    <row r="6" spans="1:12" ht="12.75">
      <c r="A6" s="3209"/>
      <c r="B6" s="3115"/>
      <c r="C6" s="3241"/>
      <c r="D6" s="3227"/>
      <c r="E6" s="139" t="s">
        <v>2126</v>
      </c>
      <c r="F6" s="2432"/>
      <c r="G6" s="2432"/>
      <c r="H6" s="2432"/>
      <c r="I6" s="1833"/>
    </row>
    <row r="7" spans="1:12" ht="12.75">
      <c r="A7" s="3209"/>
      <c r="B7" s="3115"/>
      <c r="C7" s="3240"/>
      <c r="D7" s="3227"/>
      <c r="E7" s="139" t="s">
        <v>2127</v>
      </c>
      <c r="F7" s="2432"/>
      <c r="G7" s="2432"/>
      <c r="H7" s="2432"/>
      <c r="I7" s="1833"/>
    </row>
    <row r="8" spans="1:12" ht="12.75">
      <c r="A8" s="3209" t="s">
        <v>2128</v>
      </c>
      <c r="B8" s="3115">
        <v>15</v>
      </c>
      <c r="C8" s="3239"/>
      <c r="D8" s="3227"/>
      <c r="E8" s="139" t="s">
        <v>2129</v>
      </c>
      <c r="F8" s="2432"/>
      <c r="G8" s="2432"/>
      <c r="H8" s="2432"/>
      <c r="I8" s="1833"/>
    </row>
    <row r="9" spans="1:12" ht="12.75">
      <c r="A9" s="3209"/>
      <c r="B9" s="3115"/>
      <c r="C9" s="3240"/>
      <c r="D9" s="3227"/>
      <c r="E9" s="139" t="s">
        <v>2130</v>
      </c>
      <c r="F9" s="2432"/>
      <c r="G9" s="2432"/>
      <c r="H9" s="2432"/>
      <c r="I9" s="1833"/>
    </row>
    <row r="10" spans="1:12" ht="12.75">
      <c r="A10" s="3209" t="s">
        <v>2131</v>
      </c>
      <c r="B10" s="3115">
        <v>15</v>
      </c>
      <c r="C10" s="3239"/>
      <c r="D10" s="3227"/>
      <c r="E10" s="139" t="s">
        <v>2132</v>
      </c>
      <c r="F10" s="2432"/>
      <c r="G10" s="2432"/>
      <c r="H10" s="2432"/>
      <c r="I10" s="1833"/>
    </row>
    <row r="11" spans="1:12" ht="12.75">
      <c r="A11" s="3209"/>
      <c r="B11" s="3115"/>
      <c r="C11" s="3240"/>
      <c r="D11" s="3227"/>
      <c r="E11" s="139" t="s">
        <v>2133</v>
      </c>
      <c r="F11" s="2432"/>
      <c r="G11" s="2432"/>
      <c r="H11" s="2432"/>
      <c r="I11" s="1833"/>
    </row>
    <row r="12" spans="1:12" ht="12.75">
      <c r="A12" s="3209" t="s">
        <v>2134</v>
      </c>
      <c r="B12" s="3115">
        <v>15</v>
      </c>
      <c r="C12" s="3239"/>
      <c r="D12" s="3227"/>
      <c r="E12" s="139" t="s">
        <v>2135</v>
      </c>
      <c r="F12" s="2432"/>
      <c r="G12" s="2432"/>
      <c r="H12" s="2432"/>
      <c r="I12" s="1833"/>
    </row>
    <row r="13" spans="1:12" ht="12.75">
      <c r="A13" s="3209"/>
      <c r="B13" s="3115"/>
      <c r="C13" s="3240"/>
      <c r="D13" s="3227"/>
      <c r="E13" s="139" t="s">
        <v>2136</v>
      </c>
      <c r="F13" s="2432"/>
      <c r="G13" s="2432"/>
      <c r="H13" s="2432"/>
      <c r="I13" s="1833"/>
    </row>
    <row r="14" spans="1:12" ht="12.75">
      <c r="A14" s="3209" t="s">
        <v>2137</v>
      </c>
      <c r="B14" s="3115">
        <v>30</v>
      </c>
      <c r="C14" s="3239">
        <v>4</v>
      </c>
      <c r="D14" s="3227">
        <v>6</v>
      </c>
      <c r="E14" s="139" t="s">
        <v>2138</v>
      </c>
      <c r="F14" s="2432"/>
      <c r="G14" s="2432"/>
      <c r="H14" s="2432"/>
      <c r="I14" s="1833"/>
    </row>
    <row r="15" spans="1:12" ht="12.75">
      <c r="A15" s="3209"/>
      <c r="B15" s="3115"/>
      <c r="C15" s="3241"/>
      <c r="D15" s="3227"/>
      <c r="E15" s="139" t="s">
        <v>2139</v>
      </c>
      <c r="F15" s="2432"/>
      <c r="G15" s="2432"/>
      <c r="H15" s="2432"/>
      <c r="I15" s="1833"/>
    </row>
    <row r="16" spans="1:12" ht="12.75">
      <c r="A16" s="3209"/>
      <c r="B16" s="3115"/>
      <c r="C16" s="3240"/>
      <c r="D16" s="3227"/>
      <c r="E16" s="139" t="s">
        <v>2140</v>
      </c>
      <c r="F16" s="2432"/>
      <c r="G16" s="2432"/>
      <c r="H16" s="2432"/>
      <c r="I16" s="1833"/>
    </row>
    <row r="17" spans="1:35" ht="15">
      <c r="A17" s="2433" t="s">
        <v>2141</v>
      </c>
      <c r="B17" s="63"/>
      <c r="C17" s="140">
        <f>SUM(C5:C16)</f>
        <v>4</v>
      </c>
      <c r="D17" s="140">
        <f>SUM(D5:D16)</f>
        <v>6</v>
      </c>
      <c r="E17" s="137"/>
      <c r="F17" s="137"/>
      <c r="G17" s="137"/>
      <c r="H17" s="137"/>
      <c r="I17" s="137"/>
      <c r="K17" s="2431"/>
      <c r="L17" s="2434" t="s">
        <v>2142</v>
      </c>
      <c r="M17" s="2434" t="s">
        <v>2143</v>
      </c>
    </row>
    <row r="18" spans="1:35" ht="15.75" thickBot="1">
      <c r="A18" s="2435" t="s">
        <v>2144</v>
      </c>
      <c r="B18" s="2436"/>
      <c r="C18" s="141">
        <f>ROUND(C17/SUM(C17:D17),2)</f>
        <v>0.4</v>
      </c>
      <c r="D18" s="141">
        <f>1-C18</f>
        <v>0.6</v>
      </c>
      <c r="E18" s="137"/>
      <c r="F18" s="137"/>
      <c r="G18" s="137"/>
      <c r="H18" s="137"/>
      <c r="I18" s="137"/>
      <c r="K18" s="2431" t="s">
        <v>2145</v>
      </c>
      <c r="L18" s="2431">
        <f>IF(C1="",'数据-汇总表'!E3,SUMIF(项目类型,C1,'数据-汇总表'!E17:E26)+SUMIF(项目类型,C1,'数据-汇总表'!I17:I26))</f>
        <v>158096.87</v>
      </c>
      <c r="M18" s="2431">
        <f>IF(C1="",'数据-汇总表'!E3,SUMIF(项目类型,C1,'数据-汇总表'!E17:E26))</f>
        <v>158096.87</v>
      </c>
    </row>
    <row r="19" spans="1:35" ht="15">
      <c r="A19" s="2437" t="s">
        <v>2146</v>
      </c>
      <c r="B19" s="2438" t="s">
        <v>2147</v>
      </c>
      <c r="C19" s="142">
        <f ca="1">SUMIF(INDIRECT("'"&amp;C4&amp;"'"&amp;"!A:A"),结果表!B19,INDIRECT("'"&amp;C4&amp;"'"&amp;"!B:B"))</f>
        <v>372431</v>
      </c>
      <c r="D19" s="143">
        <f ca="1">SUMIF(INDIRECT("'"&amp;D4&amp;"'"&amp;"!A:A"),结果表!B19,INDIRECT("'"&amp;D4&amp;"'"&amp;"!B:B"))</f>
        <v>209086</v>
      </c>
      <c r="E19" s="2437" t="s">
        <v>2148</v>
      </c>
      <c r="F19" s="2438" t="s">
        <v>2147</v>
      </c>
      <c r="G19" s="144">
        <f ca="1">ROUND(C19*$C$18+D19*$D$18,0)</f>
        <v>274424</v>
      </c>
      <c r="H19" s="2439" t="s">
        <v>2149</v>
      </c>
      <c r="I19" s="137"/>
      <c r="K19" s="2431" t="s">
        <v>2150</v>
      </c>
      <c r="L19" s="2431">
        <f>IF(C1="",'数据-汇总表'!D3,SUMIF(项目类型,C1,'数据-汇总表'!D17:D26)+SUMIF(项目类型,C1,'数据-汇总表'!H17:H27))</f>
        <v>59391.98</v>
      </c>
      <c r="M19" s="2431">
        <f>IF(C1="",'数据-汇总表'!D3,SUMIF(项目类型,C1,'数据-汇总表'!D17:D26))</f>
        <v>59391.98</v>
      </c>
    </row>
    <row r="20" spans="1:35" ht="15">
      <c r="A20" s="2440"/>
      <c r="B20" s="1249" t="s">
        <v>2151</v>
      </c>
      <c r="C20" s="145">
        <f ca="1">SUMIF(INDIRECT("'"&amp;C4&amp;"'"&amp;"!A:A"),结果表!B20,INDIRECT("'"&amp;C4&amp;"'"&amp;"!B:B"))</f>
        <v>23557</v>
      </c>
      <c r="D20" s="146">
        <f ca="1">SUMIF(INDIRECT("'"&amp;D4&amp;"'"&amp;"!A:A"),结果表!B20,INDIRECT("'"&amp;D4&amp;"'"&amp;"!B:B"))</f>
        <v>13566</v>
      </c>
      <c r="E20" s="2440"/>
      <c r="F20" s="1249" t="s">
        <v>2151</v>
      </c>
      <c r="G20" s="147">
        <f ca="1">ROUND(C20*$C$18+D20*$D$18,0)</f>
        <v>17562</v>
      </c>
      <c r="H20" s="982" t="s">
        <v>2152</v>
      </c>
      <c r="I20" s="137"/>
    </row>
    <row r="21" spans="1:35" ht="15" customHeight="1" thickBot="1">
      <c r="A21" s="1002"/>
      <c r="B21" s="2441" t="s">
        <v>2153</v>
      </c>
      <c r="C21" s="788">
        <f ca="1">ROUND(C19*10000/L19,0)</f>
        <v>62707</v>
      </c>
      <c r="D21" s="789">
        <f ca="1">ROUND(D19*10000/L19,0)</f>
        <v>35204</v>
      </c>
      <c r="E21" s="1002"/>
      <c r="F21" s="2441" t="s">
        <v>2153</v>
      </c>
      <c r="G21" s="148">
        <f ca="1">ROUND(G19*10000/L19,0)</f>
        <v>46206</v>
      </c>
      <c r="H21" s="2442" t="s">
        <v>2152</v>
      </c>
      <c r="I21" s="137"/>
    </row>
    <row r="22" spans="1:35" ht="15" thickBot="1">
      <c r="A22" s="2283" t="s">
        <v>2154</v>
      </c>
      <c r="B22" s="2443"/>
      <c r="C22" s="2444"/>
      <c r="D22" s="790">
        <f ca="1">IF(C19&lt;D19,D19/C19-1,C19/D19-1)</f>
        <v>0.78123355939661199</v>
      </c>
      <c r="E22" s="137"/>
      <c r="F22" s="137"/>
      <c r="G22" s="137"/>
      <c r="H22" s="137"/>
      <c r="I22" s="137"/>
    </row>
    <row r="23" spans="1:35" ht="13.5" thickBot="1">
      <c r="A23" s="2421"/>
      <c r="B23" s="2421"/>
      <c r="C23" s="2421"/>
      <c r="D23" s="2421"/>
      <c r="E23" s="137"/>
      <c r="F23" s="137"/>
      <c r="G23" s="137"/>
      <c r="H23" s="137"/>
      <c r="I23" s="137"/>
    </row>
    <row r="24" spans="1:35" ht="14.25">
      <c r="A24" s="3248" t="s">
        <v>2155</v>
      </c>
      <c r="B24" s="2438" t="s">
        <v>2147</v>
      </c>
      <c r="C24" s="144">
        <f>IF(B30=0,0,D30)</f>
        <v>0</v>
      </c>
      <c r="D24" s="2445"/>
      <c r="E24" s="137"/>
      <c r="F24" s="137"/>
      <c r="G24" s="137"/>
      <c r="H24" s="137"/>
      <c r="I24" s="137"/>
    </row>
    <row r="25" spans="1:35" ht="14.25">
      <c r="A25" s="3249"/>
      <c r="B25" s="1249" t="s">
        <v>2151</v>
      </c>
      <c r="C25" s="149">
        <f>IF(B30=0,0,C30)</f>
        <v>0</v>
      </c>
      <c r="D25" s="2446"/>
      <c r="E25" s="137"/>
      <c r="F25" s="137"/>
      <c r="G25" s="137"/>
      <c r="H25" s="137"/>
      <c r="I25" s="137"/>
      <c r="K25" s="794">
        <f ca="1">G19/'数据-汇总表'!F27</f>
        <v>2.3544091721955556</v>
      </c>
    </row>
    <row r="26" spans="1:35" ht="13.5" customHeight="1">
      <c r="A26" s="2447" t="s">
        <v>2156</v>
      </c>
      <c r="B26" s="150" t="s">
        <v>2157</v>
      </c>
      <c r="C26" s="150" t="s">
        <v>2158</v>
      </c>
      <c r="D26" s="151" t="s">
        <v>2159</v>
      </c>
      <c r="E26" s="137"/>
      <c r="F26" s="137"/>
      <c r="G26" s="137"/>
      <c r="H26" s="137"/>
      <c r="I26" s="137"/>
    </row>
    <row r="27" spans="1:35" ht="14.25">
      <c r="A27" s="2447"/>
      <c r="B27" s="150">
        <v>0</v>
      </c>
      <c r="C27" s="150">
        <v>0</v>
      </c>
      <c r="D27" s="151">
        <f>ROUND(C27*B27/10000,0)</f>
        <v>0</v>
      </c>
      <c r="E27" s="137"/>
      <c r="F27" s="137"/>
      <c r="G27" s="137"/>
      <c r="H27" s="137"/>
      <c r="I27" s="137"/>
      <c r="K27" s="794">
        <f ca="1">G19-1.6*'数据-汇总表'!E19</f>
        <v>193970.576</v>
      </c>
    </row>
    <row r="28" spans="1:35" ht="14.25">
      <c r="A28" s="2447"/>
      <c r="B28" s="150"/>
      <c r="C28" s="150"/>
      <c r="D28" s="151"/>
      <c r="E28" s="137"/>
      <c r="F28" s="137"/>
      <c r="G28" s="137"/>
      <c r="H28" s="137"/>
      <c r="I28" s="137"/>
      <c r="K28" s="794">
        <f ca="1">K27/'数据-汇总表'!E21</f>
        <v>2.160546687864028</v>
      </c>
    </row>
    <row r="29" spans="1:35" ht="14.25">
      <c r="A29" s="2447"/>
      <c r="B29" s="150"/>
      <c r="C29" s="150"/>
      <c r="D29" s="151"/>
      <c r="E29" s="137"/>
      <c r="F29" s="137"/>
      <c r="G29" s="137"/>
      <c r="H29" s="137"/>
      <c r="I29" s="137"/>
    </row>
    <row r="30" spans="1:35" ht="14.25">
      <c r="A30" s="150" t="s">
        <v>2160</v>
      </c>
      <c r="B30" s="150"/>
      <c r="C30" s="150"/>
      <c r="D30" s="150"/>
      <c r="E30" s="2928" t="s">
        <v>3037</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2161</v>
      </c>
      <c r="B32" s="2451"/>
      <c r="C32" s="152">
        <f ca="1">IF(D32="总价",G19-C24,G20-C25)</f>
        <v>274424</v>
      </c>
      <c r="D32" s="2452" t="s">
        <v>2162</v>
      </c>
      <c r="E32" s="137"/>
      <c r="F32" s="137"/>
      <c r="G32" s="137"/>
      <c r="H32" s="137"/>
      <c r="I32" s="137"/>
    </row>
    <row r="33" spans="1:15" ht="15">
      <c r="A33" s="959" t="s">
        <v>2163</v>
      </c>
      <c r="B33" s="2453"/>
      <c r="C33" s="2454" t="s">
        <v>3314</v>
      </c>
      <c r="D33" s="2455"/>
      <c r="E33" s="2456" t="s">
        <v>2164</v>
      </c>
      <c r="F33" s="2457" t="str">
        <f>IF(D32="楼面单价","取值（单价）","取值（总价）")</f>
        <v>取值（总价）</v>
      </c>
      <c r="G33" s="137"/>
      <c r="H33" s="137"/>
      <c r="I33" s="137"/>
    </row>
    <row r="34" spans="1:15" ht="15">
      <c r="A34" s="2458"/>
      <c r="B34" s="2459" t="s">
        <v>2165</v>
      </c>
      <c r="C34" s="156">
        <f ca="1">IF(C33="自定义",F34,C32-C35)</f>
        <v>170601</v>
      </c>
      <c r="D34" s="1057">
        <f ca="1">IF(C33="自定义",ROUND(C34/C32,3),IF(C33="收益比率",SUMIF(INDIRECT("'"&amp;D33&amp;"'"&amp;"!b:b"),"土地收益比率",INDIRECT("'"&amp;D33&amp;"'"&amp;"!c:c")),SUMIF(INDIRECT("'"&amp;D33&amp;"'"&amp;"!b:b"),"土地成本比率",INDIRECT("'"&amp;D33&amp;"'"&amp;"!c:c"))))</f>
        <v>0.622</v>
      </c>
      <c r="E34" s="2460" t="s">
        <v>2166</v>
      </c>
      <c r="F34" s="1738">
        <f ca="1">C32-F35</f>
        <v>170601</v>
      </c>
      <c r="G34" s="137"/>
      <c r="H34" s="137"/>
      <c r="I34" s="137"/>
    </row>
    <row r="35" spans="1:15" ht="15.75" thickBot="1">
      <c r="A35" s="2461"/>
      <c r="B35" s="2462" t="s">
        <v>2167</v>
      </c>
      <c r="C35" s="1443">
        <f ca="1">IF(C33="自定义",F35,ROUND(C32*D35,0))</f>
        <v>103823</v>
      </c>
      <c r="D35" s="1444">
        <f ca="1">IF(C33="自定义",ROUND(C35/C32,3),IF(C33="收益比率",SUMIF(INDIRECT("'"&amp;D33&amp;"'"&amp;"!b:b"),"建筑物收益比率",INDIRECT("'"&amp;D33&amp;"'"&amp;"!c:c")),SUMIF(INDIRECT("'"&amp;D33&amp;"'"&amp;"!b:b"),"建筑物成本比率",INDIRECT("'"&amp;D33&amp;"'"&amp;"!c:c"))))</f>
        <v>0.378</v>
      </c>
      <c r="E35" s="2463" t="s">
        <v>2168</v>
      </c>
      <c r="F35" s="162">
        <f ca="1">收益法!C13+'收益法-住宅'!C13</f>
        <v>103823</v>
      </c>
      <c r="G35" s="137"/>
      <c r="H35" s="137"/>
      <c r="I35" s="137"/>
    </row>
    <row r="36" spans="1:15" ht="15.75" thickBot="1">
      <c r="A36" s="3228" t="s">
        <v>2169</v>
      </c>
      <c r="B36" s="2464" t="s">
        <v>2170</v>
      </c>
      <c r="C36" s="153"/>
      <c r="D36" s="2465"/>
      <c r="E36" s="2466"/>
      <c r="F36" s="2467"/>
      <c r="G36" s="137"/>
      <c r="H36" s="137"/>
      <c r="I36" s="137"/>
    </row>
    <row r="37" spans="1:15" ht="15.75" thickBot="1">
      <c r="A37" s="3229"/>
      <c r="B37" s="2269" t="s">
        <v>2171</v>
      </c>
      <c r="C37" s="155"/>
      <c r="D37" s="1394"/>
      <c r="E37" s="1394"/>
      <c r="F37" s="2467"/>
      <c r="G37" s="137"/>
      <c r="H37" s="137"/>
      <c r="I37" s="137"/>
    </row>
    <row r="38" spans="1:15" ht="15.75" thickBot="1">
      <c r="A38" s="3230"/>
      <c r="B38" s="2468" t="s">
        <v>2172</v>
      </c>
      <c r="C38" s="726">
        <f>E40+E41+E42</f>
        <v>457</v>
      </c>
      <c r="D38" s="2469" t="s">
        <v>2173</v>
      </c>
      <c r="E38" s="1394"/>
      <c r="F38" s="2467"/>
      <c r="G38" s="137"/>
      <c r="H38" s="137"/>
      <c r="I38" s="137"/>
    </row>
    <row r="39" spans="1:15" ht="15">
      <c r="A39" s="2440" t="s">
        <v>2174</v>
      </c>
      <c r="B39" s="2470" t="s">
        <v>2175</v>
      </c>
      <c r="C39" s="2471" t="s">
        <v>2176</v>
      </c>
      <c r="D39" s="2471" t="s">
        <v>2177</v>
      </c>
      <c r="E39" s="2472" t="s">
        <v>2178</v>
      </c>
      <c r="F39" s="2467"/>
      <c r="G39" s="137"/>
      <c r="H39" s="137"/>
      <c r="I39" s="137"/>
    </row>
    <row r="40" spans="1:15" ht="14.25">
      <c r="A40" s="2473" t="s">
        <v>2179</v>
      </c>
      <c r="B40" s="157">
        <f>面积清单!S42+面积清单!S43</f>
        <v>17748.11</v>
      </c>
      <c r="C40" s="158">
        <v>90</v>
      </c>
      <c r="D40" s="3024">
        <v>3.0499999999999999E-2</v>
      </c>
      <c r="E40" s="159">
        <f>ROUND(B40*C40*(1+D40)/10000,0)</f>
        <v>165</v>
      </c>
      <c r="F40" s="2467"/>
      <c r="G40" s="137"/>
      <c r="H40" s="137"/>
      <c r="I40" s="137"/>
    </row>
    <row r="41" spans="1:15" ht="14.25">
      <c r="A41" s="2473" t="s">
        <v>2180</v>
      </c>
      <c r="B41" s="157">
        <f>面积清单!S44</f>
        <v>4558.58</v>
      </c>
      <c r="C41" s="158">
        <v>167</v>
      </c>
      <c r="D41" s="3024">
        <v>3.0499999999999999E-2</v>
      </c>
      <c r="E41" s="159">
        <f>ROUND(B41*C41*(1+D41)/10000,0)</f>
        <v>78</v>
      </c>
      <c r="F41" s="2467"/>
      <c r="G41" s="137"/>
      <c r="H41" s="137"/>
      <c r="I41" s="137"/>
    </row>
    <row r="42" spans="1:15" ht="15" thickBot="1">
      <c r="A42" s="2474"/>
      <c r="B42" s="160">
        <f>面积清单!X44</f>
        <v>1197.69</v>
      </c>
      <c r="C42" s="161">
        <v>1734</v>
      </c>
      <c r="D42" s="3046">
        <v>3.0499999999999999E-2</v>
      </c>
      <c r="E42" s="159">
        <f>ROUND(B42*C42*(1+D42)/10000,0)</f>
        <v>214</v>
      </c>
      <c r="F42" s="2467"/>
      <c r="G42" s="137"/>
      <c r="H42" s="137"/>
      <c r="I42" s="137"/>
    </row>
    <row r="43" spans="1:15" ht="12.75">
      <c r="A43" s="2168"/>
      <c r="B43" s="2168"/>
      <c r="C43" s="2168"/>
      <c r="D43" s="2168"/>
      <c r="E43" s="2168"/>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245" t="s">
        <v>2183</v>
      </c>
      <c r="B45" s="3246"/>
      <c r="C45" s="3247"/>
      <c r="D45" s="163">
        <f ca="1">ROUND(H101*F45,0)</f>
        <v>274424</v>
      </c>
      <c r="E45" s="164" t="s">
        <v>2184</v>
      </c>
      <c r="F45" s="165">
        <v>1</v>
      </c>
      <c r="G45" s="166" t="s">
        <v>2185</v>
      </c>
      <c r="H45" s="137"/>
      <c r="I45" s="137"/>
      <c r="J45" s="3164" t="s">
        <v>2186</v>
      </c>
      <c r="K45" s="3164"/>
      <c r="L45" s="3164"/>
      <c r="M45" s="3164"/>
      <c r="N45" s="3164"/>
      <c r="O45" s="3164"/>
    </row>
    <row r="46" spans="1:15" ht="14.25" customHeight="1">
      <c r="A46" s="3242" t="s">
        <v>2187</v>
      </c>
      <c r="B46" s="3243"/>
      <c r="C46" s="3243"/>
      <c r="D46" s="3243"/>
      <c r="E46" s="3243"/>
      <c r="F46" s="3243"/>
      <c r="G46" s="3244"/>
      <c r="H46" s="2483"/>
      <c r="I46" s="167"/>
      <c r="J46" s="1811">
        <v>1</v>
      </c>
      <c r="K46" s="3164" t="s">
        <v>2188</v>
      </c>
      <c r="L46" s="3164"/>
      <c r="M46" s="3165"/>
      <c r="N46" s="3165"/>
      <c r="O46" s="3165"/>
    </row>
    <row r="47" spans="1:15" ht="12" customHeight="1">
      <c r="A47" s="168" t="s">
        <v>2189</v>
      </c>
      <c r="B47" s="169"/>
      <c r="C47" s="170"/>
      <c r="D47" s="171" t="s">
        <v>2190</v>
      </c>
      <c r="E47" s="23" t="s">
        <v>2191</v>
      </c>
      <c r="F47" s="172" t="s">
        <v>2192</v>
      </c>
      <c r="G47" s="173" t="s">
        <v>2193</v>
      </c>
      <c r="H47" s="2483"/>
      <c r="I47" s="167"/>
      <c r="J47" s="1811">
        <v>2</v>
      </c>
      <c r="K47" s="3164" t="s">
        <v>2194</v>
      </c>
      <c r="L47" s="3164"/>
      <c r="M47" s="3166">
        <f>'数据-取费表'!B2</f>
        <v>43481</v>
      </c>
      <c r="N47" s="3166"/>
      <c r="O47" s="3166"/>
    </row>
    <row r="48" spans="1:15" ht="25.5">
      <c r="A48" s="3232" t="s">
        <v>2195</v>
      </c>
      <c r="B48" s="3233"/>
      <c r="C48" s="3233"/>
      <c r="D48" s="139">
        <f>IF(H48="情况1",0,IF(H48="情况2",D52,IF(H48="情况3",D53,IF(H48="情况4",D54))))</f>
        <v>0</v>
      </c>
      <c r="E48" s="1800" t="str">
        <f>IF(H48="情况4","(销售额-原购置价)×税（费）率","销售额×税（费）率")</f>
        <v>销售额×税（费）率</v>
      </c>
      <c r="F48" s="174" t="str">
        <f>IF(H48="情况1","免征",'数据-取费表'!B41)</f>
        <v>免征</v>
      </c>
      <c r="G48" s="2484" t="s">
        <v>2196</v>
      </c>
      <c r="H48" s="2485" t="s">
        <v>2197</v>
      </c>
      <c r="I48" s="2483"/>
      <c r="J48" s="1811">
        <v>3</v>
      </c>
      <c r="K48" s="3164" t="s">
        <v>2198</v>
      </c>
      <c r="L48" s="3164"/>
      <c r="M48" s="3167">
        <f ca="1">H101</f>
        <v>274424</v>
      </c>
      <c r="N48" s="3167"/>
      <c r="O48" s="3167"/>
    </row>
    <row r="49" spans="1:35" ht="25.5" customHeight="1">
      <c r="A49" s="175" t="s">
        <v>2199</v>
      </c>
      <c r="B49" s="3212" t="s">
        <v>2200</v>
      </c>
      <c r="C49" s="3212"/>
      <c r="D49" s="176">
        <v>0</v>
      </c>
      <c r="E49" s="22" t="s">
        <v>2201</v>
      </c>
      <c r="F49" s="27" t="s">
        <v>34</v>
      </c>
      <c r="G49" s="3193"/>
      <c r="H49" s="137"/>
      <c r="I49" s="2486"/>
      <c r="J49" s="1811">
        <v>4</v>
      </c>
      <c r="K49" s="3164" t="str">
        <f>IF(项目基本情况!E8="房地产抵押价值","房地产抵押价值","抵押担保权已注销时的房地产抵押价值")</f>
        <v>房地产抵押价值</v>
      </c>
      <c r="L49" s="3164"/>
      <c r="M49" s="3167">
        <f ca="1">IF(项目基本情况!E8="房地产抵押价值",H107,H109)</f>
        <v>273967</v>
      </c>
      <c r="N49" s="3167"/>
      <c r="O49" s="3167"/>
    </row>
    <row r="50" spans="1:35" ht="25.5" customHeight="1">
      <c r="A50" s="177"/>
      <c r="B50" s="3212" t="s">
        <v>2202</v>
      </c>
      <c r="C50" s="3212"/>
      <c r="D50" s="178"/>
      <c r="E50" s="30"/>
      <c r="F50" s="179"/>
      <c r="G50" s="3194"/>
      <c r="H50" s="137"/>
      <c r="I50" s="2486"/>
      <c r="J50" s="3164" t="s">
        <v>2203</v>
      </c>
      <c r="K50" s="3164"/>
      <c r="L50" s="3164"/>
      <c r="M50" s="3164"/>
      <c r="N50" s="3164"/>
      <c r="O50" s="3164"/>
    </row>
    <row r="51" spans="1:35" ht="12" customHeight="1">
      <c r="A51" s="180"/>
      <c r="B51" s="3212" t="s">
        <v>2204</v>
      </c>
      <c r="C51" s="3212"/>
      <c r="D51" s="181"/>
      <c r="E51" s="29"/>
      <c r="F51" s="179"/>
      <c r="G51" s="3195"/>
      <c r="H51" s="137"/>
      <c r="I51" s="2486"/>
      <c r="J51" s="2487" t="s">
        <v>2205</v>
      </c>
      <c r="K51" s="3164" t="s">
        <v>2206</v>
      </c>
      <c r="L51" s="3164"/>
      <c r="M51" s="2487" t="s">
        <v>2207</v>
      </c>
      <c r="N51" s="2487" t="s">
        <v>2208</v>
      </c>
      <c r="O51" s="2487" t="s">
        <v>2209</v>
      </c>
    </row>
    <row r="52" spans="1:35" ht="24" customHeight="1">
      <c r="A52" s="182" t="s">
        <v>2210</v>
      </c>
      <c r="B52" s="3212" t="s">
        <v>2211</v>
      </c>
      <c r="C52" s="3212"/>
      <c r="D52" s="181">
        <f ca="1">ROUND(D45*'数据-取费表'!B41/(1+'数据-取费表'!C42),0)</f>
        <v>14375</v>
      </c>
      <c r="E52" s="11" t="s">
        <v>2212</v>
      </c>
      <c r="F52" s="183">
        <f>'数据-取费表'!B41</f>
        <v>5.5000000000000007E-2</v>
      </c>
      <c r="G52" s="2488"/>
      <c r="H52" s="137"/>
      <c r="I52" s="2486"/>
      <c r="J52" s="1811">
        <v>1</v>
      </c>
      <c r="K52" s="3187" t="s">
        <v>2213</v>
      </c>
      <c r="L52" s="3187"/>
      <c r="M52" s="1753">
        <f>D48</f>
        <v>0</v>
      </c>
      <c r="N52" s="1811" t="str">
        <f>E48</f>
        <v>销售额×税（费）率</v>
      </c>
      <c r="O52" s="1754" t="str">
        <f>F48</f>
        <v>免征</v>
      </c>
    </row>
    <row r="53" spans="1:35" ht="12" customHeight="1">
      <c r="A53" s="182" t="s">
        <v>2214</v>
      </c>
      <c r="B53" s="3213" t="s">
        <v>2215</v>
      </c>
      <c r="C53" s="3214"/>
      <c r="D53" s="181">
        <f ca="1">ROUND(D45*'数据-取费表'!B41/(1+'数据-取费表'!C42),0)</f>
        <v>14375</v>
      </c>
      <c r="E53" s="11" t="s">
        <v>2212</v>
      </c>
      <c r="F53" s="183">
        <f>'数据-取费表'!B41</f>
        <v>5.5000000000000007E-2</v>
      </c>
      <c r="G53" s="2488"/>
      <c r="H53" s="137"/>
      <c r="I53" s="2486"/>
      <c r="J53" s="1811">
        <v>2</v>
      </c>
      <c r="K53" s="3187" t="s">
        <v>2216</v>
      </c>
      <c r="L53" s="3187"/>
      <c r="M53" s="1753">
        <f t="shared" ref="M53:O54" ca="1" si="0">D55</f>
        <v>137</v>
      </c>
      <c r="N53" s="1811" t="str">
        <f t="shared" si="0"/>
        <v>销售额×税（费）率</v>
      </c>
      <c r="O53" s="1754">
        <f t="shared" si="0"/>
        <v>5.0000000000000001E-4</v>
      </c>
    </row>
    <row r="54" spans="1:35" ht="12" customHeight="1">
      <c r="A54" s="182" t="s">
        <v>2217</v>
      </c>
      <c r="B54" s="3213" t="s">
        <v>2218</v>
      </c>
      <c r="C54" s="3214"/>
      <c r="D54" s="181">
        <f ca="1">C68</f>
        <v>14375</v>
      </c>
      <c r="E54" s="29" t="s">
        <v>2219</v>
      </c>
      <c r="F54" s="183">
        <f>'数据-取费表'!B41</f>
        <v>5.5000000000000007E-2</v>
      </c>
      <c r="G54" s="2488"/>
      <c r="H54" s="2489"/>
      <c r="I54" s="2486"/>
      <c r="J54" s="1811">
        <v>3</v>
      </c>
      <c r="K54" s="3187" t="s">
        <v>2220</v>
      </c>
      <c r="L54" s="3187"/>
      <c r="M54" s="1753">
        <f t="shared" ca="1" si="0"/>
        <v>155572</v>
      </c>
      <c r="N54" s="1811" t="str">
        <f t="shared" si="0"/>
        <v>增值额×税（费）率</v>
      </c>
      <c r="O54" s="1755" t="str">
        <f t="shared" si="0"/>
        <v>——</v>
      </c>
    </row>
    <row r="55" spans="1:35" ht="24" customHeight="1">
      <c r="A55" s="3251" t="s">
        <v>2221</v>
      </c>
      <c r="B55" s="3233"/>
      <c r="C55" s="3233"/>
      <c r="D55" s="184">
        <f ca="1">IF(H55="个人住宅",0,ROUND(D45*I55,0))</f>
        <v>137</v>
      </c>
      <c r="E55" s="11" t="s">
        <v>2222</v>
      </c>
      <c r="F55" s="183">
        <f>IF(H55="正常",I55,"免征")</f>
        <v>5.0000000000000001E-4</v>
      </c>
      <c r="G55" s="2488"/>
      <c r="H55" s="2485" t="s">
        <v>2223</v>
      </c>
      <c r="I55" s="185">
        <f>'数据-取费表'!B49</f>
        <v>5.0000000000000001E-4</v>
      </c>
      <c r="J55" s="1811" t="str">
        <f>IF(H59="非个人房产","",4)</f>
        <v/>
      </c>
      <c r="K55" s="3187" t="str">
        <f>IF(H59="非个人房产","——","个人所得税")</f>
        <v>——</v>
      </c>
      <c r="L55" s="3187"/>
      <c r="M55" s="1756" t="str">
        <f>D59</f>
        <v>——</v>
      </c>
      <c r="N55" s="1809" t="str">
        <f>E59</f>
        <v>——</v>
      </c>
      <c r="O55" s="1757" t="str">
        <f>F59</f>
        <v>——</v>
      </c>
    </row>
    <row r="56" spans="1:35" ht="24.75">
      <c r="A56" s="3251" t="s">
        <v>2224</v>
      </c>
      <c r="B56" s="3233"/>
      <c r="C56" s="3233"/>
      <c r="D56" s="184">
        <f ca="1">IF(H56="个人住宅",D57,D58)</f>
        <v>155572</v>
      </c>
      <c r="E56" s="11" t="s">
        <v>2225</v>
      </c>
      <c r="F56" s="183" t="str">
        <f>IF(H56="正常",F58,"免征")</f>
        <v>——</v>
      </c>
      <c r="G56" s="2490" t="s">
        <v>2226</v>
      </c>
      <c r="H56" s="2491" t="s">
        <v>2223</v>
      </c>
      <c r="I56" s="2492"/>
      <c r="J56" s="1811" t="str">
        <f>IF(项目基本情况!K6="上海银行",IF(J55="",4,J55+1),"")</f>
        <v/>
      </c>
      <c r="K56" s="3170" t="str">
        <f>IF(项目基本情况!K6="上海银行","其他处置费用","")</f>
        <v/>
      </c>
      <c r="L56" s="3171"/>
      <c r="M56" s="1753" t="str">
        <f>IF(项目基本情况!K6="上海银行",M69,"")</f>
        <v/>
      </c>
      <c r="N56" s="3173" t="str">
        <f>IF(项目基本情况!K6="上海银行","包含处置中涉及的律师、诉讼、拍卖、评估等费用","")</f>
        <v/>
      </c>
      <c r="O56" s="3174"/>
    </row>
    <row r="57" spans="1:35" ht="12.75">
      <c r="A57" s="182" t="s">
        <v>2199</v>
      </c>
      <c r="B57" s="3218" t="s">
        <v>2227</v>
      </c>
      <c r="C57" s="3219"/>
      <c r="D57" s="186">
        <v>0</v>
      </c>
      <c r="E57" s="22" t="s">
        <v>2201</v>
      </c>
      <c r="F57" s="154"/>
      <c r="G57" s="2488"/>
      <c r="H57" s="2492"/>
      <c r="I57" s="2492"/>
      <c r="J57" s="3187">
        <f>IF(AND(J55="",J56=""),4,IF(项目基本情况!K6="上海银行",结果表!J56+1,结果表!J55+1))</f>
        <v>4</v>
      </c>
      <c r="K57" s="3187" t="s">
        <v>2228</v>
      </c>
      <c r="L57" s="2493" t="s">
        <v>2229</v>
      </c>
      <c r="M57" s="1758"/>
      <c r="N57" s="1759">
        <f ca="1">SUMIF(M52:M56,"&lt;9e307")</f>
        <v>155709</v>
      </c>
      <c r="O57" s="2494"/>
      <c r="P57" s="1752">
        <f ca="1">N57/M49</f>
        <v>0.56834947274671765</v>
      </c>
    </row>
    <row r="58" spans="1:35" ht="24.75">
      <c r="A58" s="182" t="s">
        <v>2210</v>
      </c>
      <c r="B58" s="3218" t="s">
        <v>2230</v>
      </c>
      <c r="C58" s="3231"/>
      <c r="D58" s="184">
        <f ca="1">IF(H58="转让取得",C81,C97)</f>
        <v>155572</v>
      </c>
      <c r="E58" s="11" t="s">
        <v>2225</v>
      </c>
      <c r="F58" s="23" t="s">
        <v>34</v>
      </c>
      <c r="G58" s="2488"/>
      <c r="H58" s="2491" t="s">
        <v>2231</v>
      </c>
      <c r="I58" s="2492"/>
      <c r="J58" s="3187"/>
      <c r="K58" s="3187"/>
      <c r="L58" s="2493" t="s">
        <v>2232</v>
      </c>
      <c r="M58" s="1760"/>
      <c r="N58" s="2495" t="str">
        <f ca="1">NUMBERSTRING(INT(N57*10000),2)&amp;"元整"</f>
        <v>壹拾伍亿伍仟柒佰零玖万元整</v>
      </c>
      <c r="O58" s="2496"/>
    </row>
    <row r="59" spans="1:35" ht="24.75" thickBot="1">
      <c r="A59" s="3191" t="s">
        <v>2233</v>
      </c>
      <c r="B59" s="3192"/>
      <c r="C59" s="3192"/>
      <c r="D59" s="187" t="str">
        <f>IF(H59="非个人房产","——",IF(H59="个人住宅",0,ROUND(D45*I59,0)))</f>
        <v>——</v>
      </c>
      <c r="E59" s="188" t="str">
        <f>IF(H59="非个人房产","——","销售额×税（费）率")</f>
        <v>——</v>
      </c>
      <c r="F59" s="189" t="str">
        <f>IF(H59="非个人房产","——",IF(H59="个人住宅","免征",I59))</f>
        <v>——</v>
      </c>
      <c r="G59" s="2497" t="s">
        <v>2226</v>
      </c>
      <c r="H59" s="2491" t="s">
        <v>2234</v>
      </c>
      <c r="I59" s="190">
        <v>0.01</v>
      </c>
      <c r="J59" s="3189">
        <f>J57+1</f>
        <v>5</v>
      </c>
      <c r="K59" s="3187" t="s">
        <v>2235</v>
      </c>
      <c r="L59" s="1811" t="s">
        <v>2229</v>
      </c>
      <c r="M59" s="1761"/>
      <c r="N59" s="1762">
        <f ca="1">M49-N57</f>
        <v>118258</v>
      </c>
      <c r="O59" s="2498"/>
    </row>
    <row r="60" spans="1:35" ht="12" customHeight="1">
      <c r="A60" s="2499"/>
      <c r="B60" s="2421"/>
      <c r="C60" s="2421"/>
      <c r="D60" s="2421"/>
      <c r="E60" s="2169"/>
      <c r="F60" s="2492"/>
      <c r="G60" s="2492"/>
      <c r="H60" s="2500"/>
      <c r="I60" s="137"/>
      <c r="J60" s="3190"/>
      <c r="K60" s="3187"/>
      <c r="L60" s="2493" t="s">
        <v>2232</v>
      </c>
      <c r="M60" s="1760"/>
      <c r="N60" s="2495" t="str">
        <f ca="1">NUMBERSTRING(INT(N59*10000),2)&amp;"元整"</f>
        <v>壹拾壹亿捌仟贰佰伍拾捌万元整</v>
      </c>
      <c r="O60" s="2496"/>
    </row>
    <row r="61" spans="1:35" ht="13.5" thickBot="1">
      <c r="A61" s="3250" t="s">
        <v>2236</v>
      </c>
      <c r="B61" s="3250"/>
      <c r="C61" s="3250"/>
      <c r="D61" s="3250"/>
      <c r="E61" s="3250"/>
      <c r="F61" s="2492"/>
      <c r="G61" s="2492"/>
      <c r="H61" s="2500"/>
      <c r="I61" s="137"/>
      <c r="J61" s="1811">
        <f>J59+1</f>
        <v>6</v>
      </c>
      <c r="K61" s="3187" t="s">
        <v>2237</v>
      </c>
      <c r="L61" s="3187"/>
      <c r="M61" s="1763"/>
      <c r="N61" s="1764">
        <f ca="1">ROUND(N59*10000/'数据-汇总表'!E3,0)</f>
        <v>7480</v>
      </c>
      <c r="O61" s="2501"/>
    </row>
    <row r="62" spans="1:35" ht="12.75">
      <c r="A62" s="3207" t="s">
        <v>2238</v>
      </c>
      <c r="B62" s="3208"/>
      <c r="C62" s="1803"/>
      <c r="D62" s="1803" t="s">
        <v>2239</v>
      </c>
      <c r="E62" s="191" t="s">
        <v>2240</v>
      </c>
      <c r="F62" s="2492"/>
      <c r="G62" s="2492"/>
      <c r="H62" s="2500"/>
      <c r="I62" s="137"/>
    </row>
    <row r="63" spans="1:35" ht="12.75">
      <c r="A63" s="202" t="s">
        <v>775</v>
      </c>
      <c r="B63" s="192" t="s">
        <v>2241</v>
      </c>
      <c r="C63" s="193">
        <f ca="1">ROUND((C64+C65)/(1+'数据-取费表'!C42),0)</f>
        <v>261356</v>
      </c>
      <c r="D63" s="194"/>
      <c r="E63" s="195"/>
      <c r="F63" s="2492"/>
      <c r="G63" s="2492"/>
      <c r="H63" s="2500"/>
      <c r="I63" s="137"/>
      <c r="J63" s="3172" t="s">
        <v>2242</v>
      </c>
      <c r="K63" s="2502" t="s">
        <v>2243</v>
      </c>
      <c r="L63" s="1751">
        <f ca="1">IF(M49&gt;10000,M49*0.5%,IF(AND(M49&gt;1000,M49&lt;=10000),M49*1%,IF(AND(M49&gt;100,M49&lt;=1000),M49*3%,IF(AND(M49&gt;10,M49&lt;=100),M49*5%,M49*8%))))</f>
        <v>1369.835</v>
      </c>
      <c r="M63" s="23">
        <f ca="1">ROUND(L63,1)</f>
        <v>1369.8</v>
      </c>
      <c r="Z63" s="2426"/>
      <c r="AI63" s="2427"/>
    </row>
    <row r="64" spans="1:35" ht="14.25" customHeight="1">
      <c r="A64" s="196" t="s">
        <v>770</v>
      </c>
      <c r="B64" s="197" t="s">
        <v>2244</v>
      </c>
      <c r="C64" s="198">
        <f ca="1">D45</f>
        <v>274424</v>
      </c>
      <c r="D64" s="199" t="s">
        <v>32</v>
      </c>
      <c r="E64" s="200"/>
      <c r="F64" s="2492"/>
      <c r="G64" s="2492"/>
      <c r="H64" s="2500"/>
      <c r="I64" s="137"/>
      <c r="J64" s="3172"/>
      <c r="K64" s="2502" t="s">
        <v>2245</v>
      </c>
      <c r="L64" s="1751">
        <f ca="1">IF(M49&gt;2000,M49*0.5%,IF(AND(M49&gt;1000,M49&lt;=2000),M49*0.6%,IF(AND(M49&gt;500,M49&lt;=1000),M49*0.7%,IF(AND(M49&gt;200,M49&lt;=500),M49*0.8%,IF(AND(M49&gt;100,M49&lt;=200),M49*0.9%,IF(AND(M49&gt;50,M49&lt;=100),M49*1%,IF(AND(M49&gt;20,M49&lt;=50),M49*1.5%,IF(AND(M49&gt;10,M49&lt;=20),M49*2%,IF(AND(M49&gt;1,M49&lt;=10),M49*2.5%)))))))))</f>
        <v>1369.835</v>
      </c>
      <c r="M64" s="23">
        <f t="shared" ref="M64:M65" ca="1" si="1">ROUND(L64,1)</f>
        <v>1369.8</v>
      </c>
      <c r="N64" s="137" t="s">
        <v>2246</v>
      </c>
      <c r="Z64" s="2426"/>
      <c r="AI64" s="2427"/>
    </row>
    <row r="65" spans="1:35" ht="14.25" customHeight="1">
      <c r="A65" s="196" t="s">
        <v>771</v>
      </c>
      <c r="B65" s="197" t="s">
        <v>2247</v>
      </c>
      <c r="C65" s="201"/>
      <c r="D65" s="199"/>
      <c r="E65" s="200"/>
      <c r="F65" s="2492"/>
      <c r="G65" s="2492"/>
      <c r="H65" s="2500"/>
      <c r="I65" s="137"/>
      <c r="J65" s="3172"/>
      <c r="K65" s="2502" t="s">
        <v>2248</v>
      </c>
      <c r="L65" s="1751">
        <f ca="1">IF(M49&gt;1000,M49*0.1%,IF(AND(M49&gt;500,M49&lt;=1000),M49*0.5%,IF(AND(M49&gt;50,M49&lt;=500),M49*1%,IF(AND(M49&gt;1,M49&lt;=50),M49*1.5%))))</f>
        <v>273.96699999999998</v>
      </c>
      <c r="M65" s="23">
        <f t="shared" ca="1" si="1"/>
        <v>274</v>
      </c>
      <c r="N65" s="137" t="s">
        <v>2246</v>
      </c>
      <c r="Z65" s="2426"/>
      <c r="AI65" s="2427"/>
    </row>
    <row r="66" spans="1:35" ht="14.25" customHeight="1">
      <c r="A66" s="202" t="s">
        <v>772</v>
      </c>
      <c r="B66" s="203" t="s">
        <v>2249</v>
      </c>
      <c r="C66" s="204"/>
      <c r="D66" s="205" t="s">
        <v>32</v>
      </c>
      <c r="E66" s="1775" t="s">
        <v>1367</v>
      </c>
      <c r="F66" s="2492"/>
      <c r="G66" s="2492"/>
      <c r="H66" s="2500"/>
      <c r="I66" s="137"/>
      <c r="J66" s="3172"/>
      <c r="K66" s="2502" t="s">
        <v>2250</v>
      </c>
      <c r="L66" s="1751">
        <f ca="1">M49*0.5%</f>
        <v>1369.835</v>
      </c>
      <c r="M66" s="23">
        <f ca="1">IF(L66&gt;0.5,0.5,ROUND(L66,0))</f>
        <v>0.5</v>
      </c>
      <c r="N66" s="137" t="s">
        <v>2251</v>
      </c>
      <c r="Z66" s="2426"/>
      <c r="AI66" s="2427"/>
    </row>
    <row r="67" spans="1:35" ht="14.25" customHeight="1">
      <c r="A67" s="202" t="s">
        <v>773</v>
      </c>
      <c r="B67" s="203" t="s">
        <v>2252</v>
      </c>
      <c r="C67" s="206">
        <f ca="1">C63-C66</f>
        <v>261356</v>
      </c>
      <c r="D67" s="199" t="s">
        <v>32</v>
      </c>
      <c r="E67" s="200"/>
      <c r="F67" s="2492"/>
      <c r="G67" s="2492"/>
      <c r="H67" s="2500"/>
      <c r="I67" s="137"/>
      <c r="J67" s="3172"/>
      <c r="K67" s="2502" t="s">
        <v>2253</v>
      </c>
      <c r="L67" s="1751">
        <f ca="1">IF(M49&gt;=10000,(8.25+(M49-10000)*0.01%),IF(AND(M49&gt;=8000,M49&lt;10000),(7.85+(M49-8000)*0.02%),IF(AND(M49&gt;=5000,M49&lt;8000),(6.65+(M49-5000)*0.04%),IF(AND(M49&gt;=2000,M49&lt;5000),(4.25+(PM49-2000)*0.08%),IF(AND(M49&gt;=1000,M49&lt;2000),(2.75+(M49-1000)*0.15%),IF(AND(M49&gt;=100,M49&lt;1000),(0.5+(M49-100)*0.25%),IF(AND(M49&gt;0,M49&lt;100),M49*0.5%)))))))</f>
        <v>34.646700000000003</v>
      </c>
      <c r="M67" s="23">
        <f ca="1">ROUND(L67*0.9,1)</f>
        <v>31.2</v>
      </c>
      <c r="Z67" s="2426"/>
      <c r="AI67" s="2427"/>
    </row>
    <row r="68" spans="1:35" ht="14.25" customHeight="1" thickBot="1">
      <c r="A68" s="207" t="s">
        <v>774</v>
      </c>
      <c r="B68" s="208" t="s">
        <v>2254</v>
      </c>
      <c r="C68" s="209">
        <f ca="1">IF(C67&lt;=0,0,ROUND(C67*D68,0))</f>
        <v>14375</v>
      </c>
      <c r="D68" s="210">
        <f>'数据-取费表'!B41</f>
        <v>5.5000000000000007E-2</v>
      </c>
      <c r="E68" s="211"/>
      <c r="F68" s="2492"/>
      <c r="G68" s="2492"/>
      <c r="H68" s="2500"/>
      <c r="I68" s="137"/>
      <c r="J68" s="3172"/>
      <c r="K68" s="2502" t="s">
        <v>2255</v>
      </c>
      <c r="L68" s="1751">
        <f ca="1">IF(M49&gt;10000,M49*0.5%,IF(AND(M49&gt;5000,M49&lt;=10000),M49*1%,IF(AND(M49&gt;1000,M49&lt;=5000),M49*2%,IF(AND(M49&gt;200,M49&lt;=1000),M49*3%,M49*5%))))</f>
        <v>1369.835</v>
      </c>
      <c r="M68" s="23">
        <f ca="1">ROUND(L68,1)</f>
        <v>1369.8</v>
      </c>
      <c r="Z68" s="2426"/>
      <c r="AI68" s="2427"/>
    </row>
    <row r="69" spans="1:35" s="2449" customFormat="1" ht="16.5" customHeight="1">
      <c r="A69" s="2503"/>
      <c r="B69" s="2504"/>
      <c r="C69" s="2505"/>
      <c r="D69" s="2506"/>
      <c r="E69" s="2507"/>
      <c r="F69" s="2169"/>
      <c r="G69" s="2169"/>
      <c r="H69" s="2168"/>
      <c r="I69" s="2421"/>
      <c r="J69" s="3172"/>
      <c r="K69" s="2502" t="s">
        <v>2256</v>
      </c>
      <c r="L69" s="2508"/>
      <c r="M69" s="23">
        <f ca="1">ROUND(SUM(M63:M68),0)</f>
        <v>4415</v>
      </c>
      <c r="N69" s="1752">
        <f ca="1">M69/M49</f>
        <v>1.6115079553376866E-2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16" t="s">
        <v>2257</v>
      </c>
      <c r="B70" s="3217"/>
      <c r="C70" s="3217"/>
      <c r="D70" s="3217"/>
      <c r="E70" s="3217"/>
      <c r="F70" s="3217"/>
      <c r="G70" s="3217"/>
      <c r="H70" s="321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07" t="s">
        <v>2238</v>
      </c>
      <c r="B71" s="3208"/>
      <c r="C71" s="1803"/>
      <c r="D71" s="1803" t="s">
        <v>2239</v>
      </c>
      <c r="E71" s="212" t="s">
        <v>2240</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2258</v>
      </c>
      <c r="C72" s="206">
        <f ca="1">ROUND(D45/(1+'数据-取费表'!C42),0)</f>
        <v>261356</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2259</v>
      </c>
      <c r="C73" s="206">
        <f ca="1">C74+C78</f>
        <v>1307</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2260</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2261</v>
      </c>
      <c r="C75" s="217"/>
      <c r="D75" s="199" t="s">
        <v>32</v>
      </c>
      <c r="E75" s="218" t="s">
        <v>2262</v>
      </c>
      <c r="F75" s="2514" t="s">
        <v>2263</v>
      </c>
      <c r="G75" s="218" t="s">
        <v>2264</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2265</v>
      </c>
      <c r="C76" s="199">
        <f>IF(F75="购房发票",ROUND(C75*H75*D76,0),0)</f>
        <v>0</v>
      </c>
      <c r="D76" s="221">
        <v>0.05</v>
      </c>
      <c r="E76" s="3213" t="s">
        <v>2266</v>
      </c>
      <c r="F76" s="3212"/>
      <c r="G76" s="3212"/>
      <c r="H76" s="321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6" t="s">
        <v>2269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2270</v>
      </c>
      <c r="C78" s="224">
        <f ca="1">ROUND(D45*D78/(1+'数据-取费表'!C42),0)</f>
        <v>1307</v>
      </c>
      <c r="D78" s="225">
        <f>'数据-取费表'!B43</f>
        <v>5.000000000000001E-3</v>
      </c>
      <c r="E78" s="3204" t="s">
        <v>2271</v>
      </c>
      <c r="F78" s="3205"/>
      <c r="G78" s="3205"/>
      <c r="H78" s="320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2272</v>
      </c>
      <c r="C79" s="206">
        <f ca="1">C72-C73</f>
        <v>260049</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2273</v>
      </c>
      <c r="C80" s="226">
        <f ca="1">IF(C79&lt;=0,0,C79/C73)</f>
        <v>198.96633511859218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2274</v>
      </c>
      <c r="C81" s="227">
        <f ca="1">ROUND(IF(C79&lt;=0,0,IF(C80&gt;=200%,C79*60%-C73*35%,IF(C80&gt;=100%,C79*50%-C73*15%,IF(C80&gt;=50%,C79*40%-C73*5%,IF(C80&lt;50%,C79*30%,0))))),0)</f>
        <v>155572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16" t="s">
        <v>2275</v>
      </c>
      <c r="B83" s="3217"/>
      <c r="C83" s="3217"/>
      <c r="D83" s="3217"/>
      <c r="E83" s="3217"/>
      <c r="F83" s="3217"/>
      <c r="G83" s="3217"/>
      <c r="H83" s="321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07" t="s">
        <v>2238</v>
      </c>
      <c r="B84" s="3208"/>
      <c r="C84" s="1803"/>
      <c r="D84" s="1803" t="s">
        <v>2239</v>
      </c>
      <c r="E84" s="212" t="s">
        <v>2240</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2258</v>
      </c>
      <c r="C85" s="206">
        <f ca="1">ROUND(D45/(1+'数据-取费表'!C42),0)</f>
        <v>261356</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2259</v>
      </c>
      <c r="C86" s="206">
        <f ca="1">IF(H88="仅含出让金",C87+C90+C91+C92+C93+C94,C87+C91+C92+C93+C94)</f>
        <v>1307</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2276</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2277</v>
      </c>
      <c r="C88" s="235"/>
      <c r="D88" s="225"/>
      <c r="E88" s="236" t="s">
        <v>2278</v>
      </c>
      <c r="F88" s="1799"/>
      <c r="G88" s="237"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2267</v>
      </c>
      <c r="C89" s="224">
        <f>ROUND(C88*D89,0)</f>
        <v>0</v>
      </c>
      <c r="D89" s="225">
        <f>'数据-取费表'!B48+'数据-取费表'!B49</f>
        <v>3.0499999999999999E-2</v>
      </c>
      <c r="E89" s="236" t="s">
        <v>2280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2281</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2282</v>
      </c>
      <c r="B91" s="197" t="s">
        <v>2283</v>
      </c>
      <c r="C91" s="224">
        <f>IF(H91="——",成本法!C33,I91)</f>
        <v>0</v>
      </c>
      <c r="D91" s="225"/>
      <c r="E91" s="3204" t="s">
        <v>2284</v>
      </c>
      <c r="F91" s="3205"/>
      <c r="G91" s="3205"/>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2286</v>
      </c>
      <c r="B92" s="197" t="s">
        <v>2287</v>
      </c>
      <c r="C92" s="224">
        <f>ROUND((C87+C90+C91)*D92,0)</f>
        <v>0</v>
      </c>
      <c r="D92" s="225">
        <v>0.1</v>
      </c>
      <c r="E92" s="3204" t="s">
        <v>2288</v>
      </c>
      <c r="F92" s="3205"/>
      <c r="G92" s="3205"/>
      <c r="H92" s="320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2289</v>
      </c>
      <c r="B93" s="197" t="s">
        <v>2270</v>
      </c>
      <c r="C93" s="224">
        <f ca="1">ROUND(D45*D93/(1+'数据-取费表'!C42),0)</f>
        <v>1307</v>
      </c>
      <c r="D93" s="225">
        <f>'数据-取费表'!B43</f>
        <v>5.000000000000001E-3</v>
      </c>
      <c r="E93" s="3204" t="s">
        <v>2271</v>
      </c>
      <c r="F93" s="3205"/>
      <c r="G93" s="3205"/>
      <c r="H93" s="320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2290</v>
      </c>
      <c r="B94" s="197" t="s">
        <v>2291</v>
      </c>
      <c r="C94" s="235">
        <f>ROUND((C87+C90+C91)*D94,0)</f>
        <v>0</v>
      </c>
      <c r="D94" s="225">
        <v>0.2</v>
      </c>
      <c r="E94" s="3252" t="s">
        <v>2292</v>
      </c>
      <c r="F94" s="3253"/>
      <c r="G94" s="3253"/>
      <c r="H94" s="325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2272</v>
      </c>
      <c r="C95" s="206">
        <f ca="1">ROUND(C85-C86,0)</f>
        <v>260049</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2273</v>
      </c>
      <c r="C96" s="226">
        <f ca="1">IF(C95&lt;=0,0,C95/C86)</f>
        <v>198.96633511859218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2274</v>
      </c>
      <c r="C97" s="227">
        <f ca="1">ROUND(IF(C95&lt;=0,0,IF(C96&gt;=200%,C95*60%-C86*35%,IF(C96&gt;=100%,C95*50%-C86*15%,IF(C96&gt;=50%,C95*40%-C86*5%,IF(C96&lt;50%,C95*30%,0))))),0)</f>
        <v>155572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2293</v>
      </c>
      <c r="B99" s="2421"/>
      <c r="C99" s="2421"/>
      <c r="D99" s="2421"/>
      <c r="E99" s="2169"/>
      <c r="F99" s="2169"/>
      <c r="G99" s="2169"/>
      <c r="H99" s="2168"/>
      <c r="I99" s="137"/>
    </row>
    <row r="100" spans="1:35" ht="18.75" customHeight="1">
      <c r="A100" s="3156" t="s">
        <v>2294</v>
      </c>
      <c r="B100" s="3157"/>
      <c r="C100" s="3157"/>
      <c r="D100" s="3188"/>
      <c r="E100" s="3157" t="s">
        <v>2295</v>
      </c>
      <c r="F100" s="3157"/>
      <c r="G100" s="3157"/>
      <c r="H100" s="3188"/>
      <c r="I100" s="137"/>
    </row>
    <row r="101" spans="1:35" ht="18.75" customHeight="1">
      <c r="A101" s="3196" t="s">
        <v>2296</v>
      </c>
      <c r="B101" s="3197"/>
      <c r="C101" s="735" t="str">
        <f>C4</f>
        <v>成本法</v>
      </c>
      <c r="D101" s="736" t="str">
        <f>D4</f>
        <v>收益法（汇总）</v>
      </c>
      <c r="E101" s="3168" t="s">
        <v>2297</v>
      </c>
      <c r="F101" s="3169"/>
      <c r="G101" s="2523" t="s">
        <v>2298</v>
      </c>
      <c r="H101" s="1047">
        <f ca="1">H118</f>
        <v>274424</v>
      </c>
      <c r="I101" s="137"/>
    </row>
    <row r="102" spans="1:35" ht="18.75" customHeight="1">
      <c r="A102" s="3198" t="s">
        <v>2299</v>
      </c>
      <c r="B102" s="2523" t="s">
        <v>2298</v>
      </c>
      <c r="C102" s="735">
        <f ca="1">C19</f>
        <v>372431</v>
      </c>
      <c r="D102" s="736">
        <f ca="1">D19</f>
        <v>209086</v>
      </c>
      <c r="E102" s="3168"/>
      <c r="F102" s="3169"/>
      <c r="G102" s="2523" t="s">
        <v>2300</v>
      </c>
      <c r="H102" s="370">
        <f ca="1">I118</f>
        <v>17358</v>
      </c>
      <c r="I102" s="137"/>
    </row>
    <row r="103" spans="1:35" ht="42.75" customHeight="1">
      <c r="A103" s="3198"/>
      <c r="B103" s="2523" t="s">
        <v>2300</v>
      </c>
      <c r="C103" s="737">
        <f ca="1">C20</f>
        <v>23557</v>
      </c>
      <c r="D103" s="738">
        <f ca="1">D20</f>
        <v>13566</v>
      </c>
      <c r="E103" s="3162" t="s">
        <v>2301</v>
      </c>
      <c r="F103" s="3163"/>
      <c r="G103" s="2524" t="s">
        <v>2302</v>
      </c>
      <c r="H103" s="1047">
        <f>IF(D36="正常操作",H104+H105+H106,H105+H106)</f>
        <v>457</v>
      </c>
      <c r="I103" s="137"/>
    </row>
    <row r="104" spans="1:35" ht="18.75" customHeight="1">
      <c r="A104" s="3198" t="s">
        <v>2303</v>
      </c>
      <c r="B104" s="2525" t="s">
        <v>2298</v>
      </c>
      <c r="C104" s="739">
        <f ca="1">H118</f>
        <v>274424</v>
      </c>
      <c r="D104" s="740"/>
      <c r="E104" s="2269" t="s">
        <v>2304</v>
      </c>
      <c r="F104" s="2261"/>
      <c r="G104" s="2524" t="s">
        <v>2302</v>
      </c>
      <c r="H104" s="1048">
        <f>IF(D36="同一抵押权人同一抵押物续贷",C36&amp;"（未扣减，详见特别提示）",C36)</f>
        <v>0</v>
      </c>
      <c r="I104" s="137"/>
    </row>
    <row r="105" spans="1:35" ht="18.75" customHeight="1" thickBot="1">
      <c r="A105" s="3210"/>
      <c r="B105" s="2526" t="s">
        <v>2300</v>
      </c>
      <c r="C105" s="741">
        <f ca="1">I118</f>
        <v>17358</v>
      </c>
      <c r="D105" s="742"/>
      <c r="E105" s="2269" t="s">
        <v>2305</v>
      </c>
      <c r="F105" s="2261"/>
      <c r="G105" s="2524" t="s">
        <v>2302</v>
      </c>
      <c r="H105" s="1048">
        <f>C37</f>
        <v>0</v>
      </c>
      <c r="I105" s="137"/>
    </row>
    <row r="106" spans="1:35" ht="18.75" customHeight="1">
      <c r="A106" s="2421" t="s">
        <v>2306</v>
      </c>
      <c r="B106" s="2421"/>
      <c r="C106" s="2421"/>
      <c r="D106" s="2421"/>
      <c r="E106" s="2527" t="s">
        <v>2307</v>
      </c>
      <c r="F106" s="2261"/>
      <c r="G106" s="2524" t="s">
        <v>2302</v>
      </c>
      <c r="H106" s="1048">
        <f>C38</f>
        <v>457</v>
      </c>
      <c r="I106" s="137"/>
    </row>
    <row r="107" spans="1:35" ht="18.75" customHeight="1">
      <c r="A107" s="137"/>
      <c r="B107" s="137"/>
      <c r="C107" s="137"/>
      <c r="D107" s="137"/>
      <c r="E107" s="3199" t="str">
        <f>IF(项目基本情况!E8="已注销","——","3.房地产抵押价值")</f>
        <v>3.房地产抵押价值</v>
      </c>
      <c r="F107" s="3169"/>
      <c r="G107" s="2523" t="s">
        <v>2298</v>
      </c>
      <c r="H107" s="1047">
        <f ca="1">IF(E107="——","——",H101-H103)</f>
        <v>273967</v>
      </c>
      <c r="I107" s="137"/>
    </row>
    <row r="108" spans="1:35" ht="18.75" customHeight="1">
      <c r="A108" s="137"/>
      <c r="B108" s="137"/>
      <c r="C108" s="137"/>
      <c r="D108" s="137"/>
      <c r="E108" s="3199"/>
      <c r="F108" s="3169"/>
      <c r="G108" s="2523" t="s">
        <v>2300</v>
      </c>
      <c r="H108" s="370">
        <f ca="1">ROUND(H107*10000/'数据-汇总表'!E3,0)</f>
        <v>17329</v>
      </c>
      <c r="I108" s="137"/>
    </row>
    <row r="109" spans="1:35" ht="18.75" customHeight="1">
      <c r="A109" s="137"/>
      <c r="B109" s="137"/>
      <c r="C109" s="137"/>
      <c r="D109" s="137"/>
      <c r="E109" s="3199" t="str">
        <f>IF(项目基本情况!E8="已注销及未注销","4.抵押担保权已注销时的房地产抵押价值",IF(项目基本情况!E8="已注销","3.抵押担保权已注销时的房地产抵押价值","——"))</f>
        <v>——</v>
      </c>
      <c r="F109" s="3169"/>
      <c r="G109" s="2523" t="s">
        <v>2298</v>
      </c>
      <c r="H109" s="347" t="str">
        <f>IF(E109="——","——",H101-H105-H106)</f>
        <v>——</v>
      </c>
      <c r="I109" s="137"/>
    </row>
    <row r="110" spans="1:35" ht="18.75" customHeight="1">
      <c r="A110" s="137"/>
      <c r="B110" s="137"/>
      <c r="C110" s="137"/>
      <c r="D110" s="137"/>
      <c r="E110" s="3199"/>
      <c r="F110" s="3169"/>
      <c r="G110" s="2523" t="s">
        <v>2300</v>
      </c>
      <c r="H110" s="370" t="str">
        <f>IF(H109="——","——",ROUND(H109*10000/'数据-汇总表'!E3,0))</f>
        <v>——</v>
      </c>
      <c r="I110" s="137"/>
    </row>
    <row r="111" spans="1:35" ht="18.75" customHeight="1">
      <c r="A111" s="137"/>
      <c r="B111" s="137"/>
      <c r="C111" s="137"/>
      <c r="D111" s="137"/>
      <c r="E111" s="3200" t="str">
        <f>IF(项目基本情况!E9="抵押净值",IF(OR(项目基本情况!E8="已注销",项目基本情况!E8="房地产抵押价值"),"4.抵押净值","5.抵押净值"),"——")</f>
        <v>——</v>
      </c>
      <c r="F111" s="3201"/>
      <c r="G111" s="2523" t="s">
        <v>2298</v>
      </c>
      <c r="H111" s="1047" t="str">
        <f>IF(E111="——","——",N59)</f>
        <v>——</v>
      </c>
      <c r="I111" s="137"/>
    </row>
    <row r="112" spans="1:35" ht="18.75" customHeight="1" thickBot="1">
      <c r="A112" s="137"/>
      <c r="B112" s="137"/>
      <c r="C112" s="137"/>
      <c r="D112" s="137"/>
      <c r="E112" s="3202"/>
      <c r="F112" s="3203"/>
      <c r="G112" s="2528" t="s">
        <v>2300</v>
      </c>
      <c r="H112" s="789" t="str">
        <f>IF(E111="——","——",N61)</f>
        <v>——</v>
      </c>
      <c r="I112" s="137"/>
    </row>
    <row r="113" spans="1:11" ht="18.75" customHeight="1">
      <c r="A113" s="137"/>
      <c r="B113" s="137"/>
      <c r="C113" s="137"/>
      <c r="D113" s="137"/>
      <c r="E113" s="3211" t="s">
        <v>2306</v>
      </c>
      <c r="F113" s="3211"/>
      <c r="G113" s="3211"/>
      <c r="H113" s="3211"/>
      <c r="I113" s="137"/>
    </row>
    <row r="114" spans="1:11" ht="3.75" customHeight="1">
      <c r="A114" s="2421"/>
      <c r="B114" s="2421"/>
      <c r="C114" s="2421"/>
      <c r="D114" s="2421"/>
      <c r="E114" s="2499"/>
      <c r="F114" s="2499"/>
      <c r="G114" s="2499"/>
      <c r="H114" s="2499"/>
      <c r="I114" s="2421"/>
    </row>
    <row r="115" spans="1:11" ht="18.75" customHeight="1">
      <c r="A115" s="3224" t="s">
        <v>2308</v>
      </c>
      <c r="B115" s="3225"/>
      <c r="C115" s="3225"/>
      <c r="D115" s="3225"/>
      <c r="E115" s="3225"/>
      <c r="F115" s="3225"/>
      <c r="G115" s="3225"/>
      <c r="H115" s="3225"/>
      <c r="I115" s="3226"/>
    </row>
    <row r="116" spans="1:11" ht="27" customHeight="1">
      <c r="A116" s="3115" t="s">
        <v>2309</v>
      </c>
      <c r="B116" s="3178" t="s">
        <v>2310</v>
      </c>
      <c r="C116" s="3178" t="s">
        <v>2311</v>
      </c>
      <c r="D116" s="3184" t="s">
        <v>2312</v>
      </c>
      <c r="E116" s="3185"/>
      <c r="F116" s="3220" t="s">
        <v>2313</v>
      </c>
      <c r="G116" s="3220"/>
      <c r="H116" s="3115" t="s">
        <v>2314</v>
      </c>
      <c r="I116" s="3115"/>
    </row>
    <row r="117" spans="1:11" ht="18.75" customHeight="1">
      <c r="A117" s="3115"/>
      <c r="B117" s="3179"/>
      <c r="C117" s="3179"/>
      <c r="D117" s="1797" t="s">
        <v>2315</v>
      </c>
      <c r="E117" s="1797" t="s">
        <v>2316</v>
      </c>
      <c r="F117" s="1797" t="s">
        <v>2315</v>
      </c>
      <c r="G117" s="1797" t="s">
        <v>2317</v>
      </c>
      <c r="H117" s="1797" t="s">
        <v>2315</v>
      </c>
      <c r="I117" s="1797" t="s">
        <v>2317</v>
      </c>
    </row>
    <row r="118" spans="1:11" ht="24.75" customHeight="1">
      <c r="A118" s="2529" t="str">
        <f>项目基本情况!S2</f>
        <v>北京市房地产</v>
      </c>
      <c r="B118" s="1797">
        <f>M18</f>
        <v>158096.87</v>
      </c>
      <c r="C118" s="1797">
        <f>M19</f>
        <v>59391.98</v>
      </c>
      <c r="D118" s="1797">
        <f ca="1">ROUND(IF(D32="总价",C34,E118*B118/10000),0)</f>
        <v>170601</v>
      </c>
      <c r="E118" s="1797">
        <f ca="1">ROUND(IF(C33="自定义",IF(D32="楼面单价",C34,D118*10000/B118),I118-G118),0)</f>
        <v>10791</v>
      </c>
      <c r="F118" s="1797">
        <f ca="1">ROUND(IF(D32="总价",C35,G118*B118/10000),0)</f>
        <v>103823</v>
      </c>
      <c r="G118" s="1797">
        <f ca="1">ROUND(IF(D32="楼面单价",C35,F118*10000/B118),0)</f>
        <v>6567</v>
      </c>
      <c r="H118" s="1797">
        <f ca="1">ROUND(IF(D32="总价",C32,I118*B118/10000),0)</f>
        <v>274424</v>
      </c>
      <c r="I118" s="1797">
        <f ca="1">ROUND(IF(D32="楼面单价",C32,H118*10000/B118),0)</f>
        <v>17358</v>
      </c>
    </row>
    <row r="119" spans="1:11" ht="18.75" customHeight="1">
      <c r="A119" s="3115" t="s">
        <v>2318</v>
      </c>
      <c r="B119" s="3115"/>
      <c r="C119" s="3115"/>
      <c r="D119" s="3180" t="str">
        <f ca="1">NUMBERSTRING(INT(D118*10000),2)&amp;"元整"</f>
        <v>壹拾柒亿零陆佰零壹万元整</v>
      </c>
      <c r="E119" s="3181"/>
      <c r="F119" s="3180" t="str">
        <f ca="1">NUMBERSTRING(INT(F118*10000),2)&amp;"元整"</f>
        <v>壹拾亿叁仟捌佰贰拾叁万元整</v>
      </c>
      <c r="G119" s="3181"/>
      <c r="H119" s="3180" t="str">
        <f ca="1">NUMBERSTRING(INT(H118*10000),2)&amp;"元整"</f>
        <v>贰拾柒亿肆仟肆佰贰拾肆万元整</v>
      </c>
      <c r="I119" s="3181"/>
    </row>
    <row r="120" spans="1:11" ht="18.75" customHeight="1">
      <c r="A120" s="3175" t="str">
        <f>IF(项目基本情况!B9="房地产市场价值","",MID(E103,3,LEN(E103)-2))</f>
        <v>估价师知悉的法定优先受偿款</v>
      </c>
      <c r="B120" s="3176"/>
      <c r="C120" s="3177"/>
      <c r="D120" s="3175">
        <f>H103</f>
        <v>457</v>
      </c>
      <c r="E120" s="3176"/>
      <c r="F120" s="3176"/>
      <c r="G120" s="3176"/>
      <c r="H120" s="3176"/>
      <c r="I120" s="3177"/>
      <c r="K120" s="2426" t="str">
        <f>IF(D120=0,"故，本次评估不存在"&amp;A120,"故，本次评估"&amp;A120&amp;"为人民币"&amp;D120&amp;"万元整。")</f>
        <v>故，本次评估估价师知悉的法定优先受偿款为人民币457万元整。</v>
      </c>
    </row>
    <row r="121" spans="1:11" ht="18.75" customHeight="1">
      <c r="A121" s="3221" t="s">
        <v>2318</v>
      </c>
      <c r="B121" s="3222"/>
      <c r="C121" s="3223"/>
      <c r="D121" s="3180" t="str">
        <f>IF(D120=0,"零元整",NUMBERSTRING(INT(D120*10000),2)&amp;"元整")</f>
        <v>肆佰伍拾柒万元整</v>
      </c>
      <c r="E121" s="3182"/>
      <c r="F121" s="3182"/>
      <c r="G121" s="3182"/>
      <c r="H121" s="3182"/>
      <c r="I121" s="3181"/>
    </row>
    <row r="122" spans="1:11" ht="18.75" customHeight="1">
      <c r="A122" s="3186" t="str">
        <f>IF(项目基本情况!B9="房地产市场价值","",MID(E107,3,LEN(E107)-2))</f>
        <v>房地产抵押价值</v>
      </c>
      <c r="B122" s="3186"/>
      <c r="C122" s="3186"/>
      <c r="D122" s="3175">
        <f ca="1">H107</f>
        <v>273967</v>
      </c>
      <c r="E122" s="3176"/>
      <c r="F122" s="3176"/>
      <c r="G122" s="3176"/>
      <c r="H122" s="3176"/>
      <c r="I122" s="3177"/>
    </row>
    <row r="123" spans="1:11" ht="18.75" customHeight="1">
      <c r="A123" s="3115" t="s">
        <v>2318</v>
      </c>
      <c r="B123" s="3115"/>
      <c r="C123" s="3115"/>
      <c r="D123" s="3180" t="str">
        <f ca="1">NUMBERSTRING(INT(D122*10000),2)&amp;"元整"</f>
        <v>贰拾柒亿叁仟玖佰陆拾柒万元整</v>
      </c>
      <c r="E123" s="3182"/>
      <c r="F123" s="3182"/>
      <c r="G123" s="3182"/>
      <c r="H123" s="3182"/>
      <c r="I123" s="3181"/>
    </row>
    <row r="124" spans="1:11" ht="18.75" customHeight="1">
      <c r="A124" s="3186" t="str">
        <f>IF(项目基本情况!B9="房地产市场价值","",MID(E109,3,LEN(E109)-2))</f>
        <v/>
      </c>
      <c r="B124" s="3186"/>
      <c r="C124" s="3186"/>
      <c r="D124" s="3175" t="str">
        <f>H109</f>
        <v>——</v>
      </c>
      <c r="E124" s="3176"/>
      <c r="F124" s="3176"/>
      <c r="G124" s="3176"/>
      <c r="H124" s="3176"/>
      <c r="I124" s="3177"/>
    </row>
    <row r="125" spans="1:11" ht="18.75" customHeight="1">
      <c r="A125" s="3115" t="s">
        <v>2318</v>
      </c>
      <c r="B125" s="3115"/>
      <c r="C125" s="3115"/>
      <c r="D125" s="3180" t="e">
        <f>NUMBERSTRING(INT(D124*10000),2)&amp;"元整"</f>
        <v>#VALUE!</v>
      </c>
      <c r="E125" s="3182"/>
      <c r="F125" s="3182"/>
      <c r="G125" s="3182"/>
      <c r="H125" s="3182"/>
      <c r="I125" s="3181"/>
    </row>
    <row r="126" spans="1:11" ht="18.75" customHeight="1">
      <c r="A126" s="3186" t="str">
        <f>IF(项目基本情况!B9="房地产市场价值","",MID(E111,3,LEN(E111)-2))</f>
        <v/>
      </c>
      <c r="B126" s="3186"/>
      <c r="C126" s="3186"/>
      <c r="D126" s="3175" t="str">
        <f>H111</f>
        <v>——</v>
      </c>
      <c r="E126" s="3176"/>
      <c r="F126" s="3176"/>
      <c r="G126" s="3176"/>
      <c r="H126" s="3176"/>
      <c r="I126" s="3177"/>
    </row>
    <row r="127" spans="1:11" ht="18.75" customHeight="1">
      <c r="A127" s="3115" t="s">
        <v>2318</v>
      </c>
      <c r="B127" s="3115"/>
      <c r="C127" s="3115"/>
      <c r="D127" s="3180" t="e">
        <f>NUMBERSTRING(INT(D126*10000),2)&amp;"元整"</f>
        <v>#VALUE!</v>
      </c>
      <c r="E127" s="3182"/>
      <c r="F127" s="3182"/>
      <c r="G127" s="3182"/>
      <c r="H127" s="3182"/>
      <c r="I127" s="3181"/>
    </row>
    <row r="128" spans="1:11" ht="21.75" customHeight="1">
      <c r="A128" s="3183" t="s">
        <v>2319</v>
      </c>
      <c r="B128" s="3183"/>
      <c r="C128" s="3183"/>
      <c r="D128" s="3183"/>
      <c r="E128" s="3183"/>
      <c r="F128" s="3183"/>
      <c r="G128" s="3183"/>
      <c r="H128" s="3183"/>
      <c r="I128" s="3183"/>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2322</v>
      </c>
      <c r="G135" s="2547"/>
      <c r="H135" s="2547"/>
      <c r="I135" s="2548" t="s">
        <v>2323</v>
      </c>
    </row>
    <row r="136" spans="1:35" ht="21.75" customHeight="1">
      <c r="A136" s="794"/>
      <c r="B136" s="2549"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2325</v>
      </c>
    </row>
    <row r="139" spans="1:35" ht="21.75" customHeight="1">
      <c r="A139" s="794"/>
      <c r="B139" s="2549" t="s">
        <v>2326</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2325</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9" t="str">
        <f>项目基本情况!B1</f>
        <v>北京市房地产抵押价值预评估</v>
      </c>
      <c r="C37" s="3049"/>
      <c r="D37" s="3049"/>
      <c r="E37" s="3049"/>
      <c r="F37" s="3049"/>
      <c r="G37" s="3049"/>
      <c r="H37" s="3049"/>
      <c r="I37" s="3049"/>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7</v>
      </c>
    </row>
    <row r="2" spans="1:9" s="243" customFormat="1" ht="18" customHeight="1">
      <c r="A2" s="244" t="s">
        <v>2328</v>
      </c>
      <c r="B2" s="245">
        <f ca="1">IF(D2="——",C52,C52-E2)</f>
        <v>372431</v>
      </c>
      <c r="C2" s="242" t="s">
        <v>2329</v>
      </c>
      <c r="D2" s="2552" t="s">
        <v>70</v>
      </c>
      <c r="E2" s="1442" t="e">
        <f ca="1">SUMIF(INDIRECT("'"&amp;G2&amp;"'"&amp;"!A:A"),"承租人权益价值",INDIRECT("'"&amp;G2&amp;"'"&amp;"!c:c"))</f>
        <v>#REF!</v>
      </c>
      <c r="F2" s="2553" t="s">
        <v>2329</v>
      </c>
      <c r="G2" s="2554"/>
    </row>
    <row r="3" spans="1:9" s="243" customFormat="1" ht="18" customHeight="1" thickBot="1">
      <c r="A3" s="246" t="s">
        <v>2330</v>
      </c>
      <c r="B3" s="247">
        <f ca="1">ROUND(B2*10000/(IF(B1="",'数据-汇总表'!E3,INDIRECT("'数据-取费表'!k"&amp;$G$1))),0)</f>
        <v>23557</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187351</v>
      </c>
      <c r="D5" s="254" t="s">
        <v>2335</v>
      </c>
      <c r="E5" s="255" t="s">
        <v>2336</v>
      </c>
      <c r="F5" s="255" t="s">
        <v>2337</v>
      </c>
      <c r="G5" s="256"/>
    </row>
    <row r="6" spans="1:9" s="257" customFormat="1" ht="13.5" customHeight="1">
      <c r="A6" s="951" t="s">
        <v>2338</v>
      </c>
      <c r="B6" s="258" t="s">
        <v>2339</v>
      </c>
      <c r="C6" s="259">
        <f ca="1">基准地价修正!B2+'土地比较法-住宅、综合'!B2</f>
        <v>180546</v>
      </c>
      <c r="D6" s="260"/>
      <c r="E6" s="261"/>
      <c r="F6" s="261"/>
      <c r="G6" s="262"/>
    </row>
    <row r="7" spans="1:9" s="257" customFormat="1" ht="13.5" customHeight="1">
      <c r="A7" s="951" t="s">
        <v>2340</v>
      </c>
      <c r="B7" s="258" t="s">
        <v>2341</v>
      </c>
      <c r="C7" s="263">
        <f ca="1">ROUND(C6*F7,0)</f>
        <v>5507</v>
      </c>
      <c r="D7" s="263"/>
      <c r="E7" s="261"/>
      <c r="F7" s="264">
        <f>'数据-取费表'!B48+'数据-取费表'!B49</f>
        <v>3.0499999999999999E-2</v>
      </c>
      <c r="G7" s="262"/>
    </row>
    <row r="8" spans="1:9" s="266" customFormat="1">
      <c r="A8" s="951" t="s">
        <v>2342</v>
      </c>
      <c r="B8" s="258" t="s">
        <v>2343</v>
      </c>
      <c r="C8" s="263">
        <f ca="1">IF(G8="已包含在土地购买价格中","0",IF(B1="",'数据-取费表'!B29,IF(G9="全部缴纳",C9+C10,H9)))</f>
        <v>1298</v>
      </c>
      <c r="D8" s="265"/>
      <c r="E8" s="263"/>
      <c r="F8" s="264"/>
      <c r="G8" s="2555" t="s">
        <v>3308</v>
      </c>
    </row>
    <row r="9" spans="1:9" s="257" customFormat="1" ht="13.5" customHeight="1">
      <c r="A9" s="952" t="s">
        <v>800</v>
      </c>
      <c r="B9" s="267" t="s">
        <v>2344</v>
      </c>
      <c r="C9" s="268">
        <f ca="1">ROUND(D9*E9/10000,0)</f>
        <v>1347</v>
      </c>
      <c r="D9" s="1034">
        <f ca="1">IF(B1="",'数据-汇总表'!E5,IF(INDIRECT("'数据-取费表'!c"&amp;$G$1)="住宅",INDIRECT("'数据-取费表'!k"&amp;$G$1),0))</f>
        <v>89778.47</v>
      </c>
      <c r="E9" s="268">
        <f>'数据-取费表'!B27</f>
        <v>150</v>
      </c>
      <c r="F9" s="264"/>
      <c r="G9" s="2556" t="s">
        <v>3309</v>
      </c>
      <c r="H9" s="1392"/>
      <c r="I9" s="2557" t="s">
        <v>2345</v>
      </c>
    </row>
    <row r="10" spans="1:9" s="257" customFormat="1" ht="13.5" customHeight="1">
      <c r="A10" s="952" t="s">
        <v>801</v>
      </c>
      <c r="B10" s="267" t="s">
        <v>2346</v>
      </c>
      <c r="C10" s="268">
        <f ca="1">ROUND(D10*E10/10000,0)</f>
        <v>1298</v>
      </c>
      <c r="D10" s="1034">
        <f ca="1">IF(B1="",'数据-汇总表'!E6,IF(INDIRECT("'数据-取费表'!c"&amp;$G$1)="住宅",INDIRECT("'数据-取费表'!s"&amp;$G$1),INDIRECT("'数据-取费表'!k"&amp;$G$1)+INDIRECT("'数据-取费表'!s"&amp;$G$1)))</f>
        <v>68318.399999999994</v>
      </c>
      <c r="E10" s="268">
        <f>'数据-取费表'!B28</f>
        <v>190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158096.87</v>
      </c>
      <c r="E19" s="254">
        <f>'数据-取费表'!B31</f>
        <v>200</v>
      </c>
      <c r="F19" s="274"/>
      <c r="G19" s="2555" t="s">
        <v>3310</v>
      </c>
    </row>
    <row r="20" spans="1:7" s="257" customFormat="1" ht="13.5" customHeight="1">
      <c r="A20" s="298" t="s">
        <v>2359</v>
      </c>
      <c r="B20" s="253" t="s">
        <v>2360</v>
      </c>
      <c r="C20" s="275">
        <f ca="1">ROUND((C5+C19)*F20,0)</f>
        <v>3747</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18399</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18221</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178</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38220</v>
      </c>
      <c r="D27" s="278">
        <f ca="1">C29</f>
        <v>4.0000000000000001E-3</v>
      </c>
      <c r="E27" s="279" t="s">
        <v>2380</v>
      </c>
      <c r="F27" s="289">
        <f ca="1">IF(B1="",'数据-取费表'!Q16,INDIRECT("'数据-取费表'!q"&amp;$G$1))</f>
        <v>0.2</v>
      </c>
      <c r="G27" s="290" t="s">
        <v>2381</v>
      </c>
    </row>
    <row r="28" spans="1:7" s="257" customFormat="1" ht="13.5" customHeight="1">
      <c r="A28" s="953" t="s">
        <v>791</v>
      </c>
      <c r="B28" s="291" t="s">
        <v>2382</v>
      </c>
      <c r="C28" s="292">
        <f ca="1">ROUND((C5+C19+C20)*F27*'数据-取费表'!B21/'数据-取费表'!B20,0)</f>
        <v>38220</v>
      </c>
      <c r="D28" s="278"/>
      <c r="E28" s="279"/>
      <c r="F28" s="289"/>
      <c r="G28" s="290"/>
    </row>
    <row r="29" spans="1:7" s="257" customFormat="1" ht="13.5" customHeight="1">
      <c r="A29" s="953" t="s">
        <v>792</v>
      </c>
      <c r="B29" s="291" t="s">
        <v>2383</v>
      </c>
      <c r="C29" s="281">
        <f ca="1">ROUND(C21*F27*'数据-取费表'!B21/'数据-取费表'!B20,4)</f>
        <v>4.0000000000000001E-3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268499</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77687</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69597</v>
      </c>
      <c r="D34" s="260"/>
      <c r="E34" s="263"/>
      <c r="F34" s="300">
        <f ca="1">IF('数据-取费表'!B24=0,1,IF(B1="",'数据-取费表'!N16,INDIRECT("'数据-取费表'!n"&amp;$G$1)))</f>
        <v>1</v>
      </c>
      <c r="G34" s="262" t="s">
        <v>2392</v>
      </c>
    </row>
    <row r="35" spans="1:7" ht="13.5" customHeight="1">
      <c r="A35" s="953" t="s">
        <v>796</v>
      </c>
      <c r="B35" s="258" t="s">
        <v>2393</v>
      </c>
      <c r="C35" s="263">
        <f ca="1">ROUND(C34*F35,0)</f>
        <v>2088</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1796</v>
      </c>
      <c r="D36" s="263"/>
      <c r="E36" s="263"/>
      <c r="F36" s="302">
        <f>'数据-取费表'!B34</f>
        <v>0.05</v>
      </c>
      <c r="G36" s="303" t="s">
        <v>2396</v>
      </c>
    </row>
    <row r="37" spans="1:7" s="301" customFormat="1" ht="13.5" customHeight="1">
      <c r="A37" s="953" t="s">
        <v>798</v>
      </c>
      <c r="B37" s="258" t="s">
        <v>2397</v>
      </c>
      <c r="C37" s="292">
        <f ca="1">ROUND(E37*D37*F34/10000,0)</f>
        <v>3162</v>
      </c>
      <c r="D37" s="260">
        <f ca="1">D19</f>
        <v>158096.87</v>
      </c>
      <c r="E37" s="292">
        <f>'数据-取费表'!B35</f>
        <v>200</v>
      </c>
      <c r="F37" s="302"/>
      <c r="G37" s="304" t="s">
        <v>2398</v>
      </c>
    </row>
    <row r="38" spans="1:7" ht="13.5" customHeight="1">
      <c r="A38" s="953" t="s">
        <v>799</v>
      </c>
      <c r="B38" s="258" t="s">
        <v>2399</v>
      </c>
      <c r="C38" s="263">
        <f ca="1">ROUND(C34*F38,0)</f>
        <v>1044</v>
      </c>
      <c r="D38" s="263"/>
      <c r="E38" s="263"/>
      <c r="F38" s="302">
        <f>'数据-取费表'!B36</f>
        <v>1.4999999999999999E-2</v>
      </c>
      <c r="G38" s="262" t="s">
        <v>2394</v>
      </c>
    </row>
    <row r="39" spans="1:7" s="257" customFormat="1" ht="13.5" customHeight="1">
      <c r="A39" s="298" t="s">
        <v>2400</v>
      </c>
      <c r="B39" s="253" t="s">
        <v>2401</v>
      </c>
      <c r="C39" s="275">
        <f ca="1">ROUND(C33*F20,0)</f>
        <v>1554</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3764</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3690</v>
      </c>
      <c r="D42" s="281"/>
      <c r="E42" s="281"/>
      <c r="F42" s="282"/>
      <c r="G42" s="3255" t="s">
        <v>2410</v>
      </c>
    </row>
    <row r="43" spans="1:7" ht="13.5" customHeight="1">
      <c r="A43" s="953" t="s">
        <v>792</v>
      </c>
      <c r="B43" s="258" t="s">
        <v>2411</v>
      </c>
      <c r="C43" s="281">
        <f ca="1">ROUND(IF('数据-取费表'!B22&lt;=1,C39*F22*'数据-取费表'!B21/2,C39*(POWER((1+F22),'数据-取费表'!B21/2)-1)),0)</f>
        <v>74</v>
      </c>
      <c r="D43" s="281"/>
      <c r="E43" s="281"/>
      <c r="F43" s="282"/>
      <c r="G43" s="3256"/>
    </row>
    <row r="44" spans="1:7" ht="13.5" customHeight="1">
      <c r="A44" s="953" t="s">
        <v>793</v>
      </c>
      <c r="B44" s="258" t="s">
        <v>2412</v>
      </c>
      <c r="C44" s="281">
        <f ca="1">ROUND(IF('数据-取费表'!B22&lt;=1,C40*F22*'数据-取费表'!B21/2,C40*(POWER((1+F22),'数据-取费表'!B21/2)-1)),4)</f>
        <v>1E-3</v>
      </c>
      <c r="D44" s="281"/>
      <c r="E44" s="281"/>
      <c r="F44" s="282"/>
      <c r="G44" s="3257"/>
    </row>
    <row r="45" spans="1:7" s="257" customFormat="1" ht="13.5" customHeight="1">
      <c r="A45" s="298" t="s">
        <v>2413</v>
      </c>
      <c r="B45" s="287" t="s">
        <v>2379</v>
      </c>
      <c r="C45" s="288">
        <f ca="1">C46</f>
        <v>15848</v>
      </c>
      <c r="D45" s="278">
        <f ca="1">C47</f>
        <v>4.0000000000000001E-3</v>
      </c>
      <c r="E45" s="279" t="s">
        <v>2405</v>
      </c>
      <c r="F45" s="289"/>
      <c r="G45" s="290" t="s">
        <v>2414</v>
      </c>
    </row>
    <row r="46" spans="1:7" s="257" customFormat="1" ht="13.5" customHeight="1">
      <c r="A46" s="953" t="s">
        <v>791</v>
      </c>
      <c r="B46" s="291" t="s">
        <v>2415</v>
      </c>
      <c r="C46" s="292">
        <f ca="1">ROUND((C33+C39)*F27,0)</f>
        <v>15848</v>
      </c>
      <c r="D46" s="306"/>
      <c r="E46" s="279"/>
      <c r="F46" s="289"/>
      <c r="G46" s="290"/>
    </row>
    <row r="47" spans="1:7" s="257" customFormat="1" ht="13.5" customHeight="1">
      <c r="A47" s="953" t="s">
        <v>792</v>
      </c>
      <c r="B47" s="291" t="s">
        <v>2416</v>
      </c>
      <c r="C47" s="281">
        <f ca="1">ROUND(C40*F27,4)</f>
        <v>4.0000000000000001E-3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107146</v>
      </c>
      <c r="D49" s="275"/>
      <c r="E49" s="275"/>
      <c r="F49" s="307"/>
      <c r="G49" s="277" t="s">
        <v>2420</v>
      </c>
    </row>
    <row r="50" spans="1:7" s="301" customFormat="1" ht="24">
      <c r="A50" s="298" t="s">
        <v>2421</v>
      </c>
      <c r="B50" s="253" t="s">
        <v>2422</v>
      </c>
      <c r="C50" s="275"/>
      <c r="D50" s="275"/>
      <c r="E50" s="275"/>
      <c r="F50" s="307">
        <f>IF('数据-取费表'!B24=0,'数据-取费表'!N16,1)</f>
        <v>0.97</v>
      </c>
      <c r="G50" s="290" t="s">
        <v>2423</v>
      </c>
    </row>
    <row r="51" spans="1:7" ht="16.5" customHeight="1">
      <c r="A51" s="298" t="s">
        <v>2424</v>
      </c>
      <c r="B51" s="253" t="s">
        <v>2425</v>
      </c>
      <c r="C51" s="275">
        <f ca="1">ROUND(C49*F50,0)</f>
        <v>103932</v>
      </c>
      <c r="D51" s="275"/>
      <c r="E51" s="275"/>
      <c r="F51" s="307"/>
      <c r="G51" s="277" t="s">
        <v>2426</v>
      </c>
    </row>
    <row r="52" spans="1:7" s="251" customFormat="1" ht="16.5" thickBot="1">
      <c r="A52" s="308" t="s">
        <v>2427</v>
      </c>
      <c r="B52" s="309"/>
      <c r="C52" s="310">
        <f ca="1">C31+C51</f>
        <v>372431</v>
      </c>
      <c r="D52" s="309"/>
      <c r="E52" s="309"/>
      <c r="F52" s="309"/>
      <c r="G52" s="311"/>
    </row>
    <row r="55" spans="1:7" ht="15">
      <c r="B55" s="313" t="s">
        <v>2428</v>
      </c>
      <c r="C55" s="314"/>
    </row>
    <row r="56" spans="1:7">
      <c r="B56" s="316" t="s">
        <v>1509</v>
      </c>
      <c r="C56" s="318">
        <f ca="1">1-C57</f>
        <v>0.72099999999999997</v>
      </c>
    </row>
    <row r="57" spans="1:7">
      <c r="B57" s="316" t="s">
        <v>1510</v>
      </c>
      <c r="C57" s="317">
        <f ca="1">ROUND(C51/C52,3)</f>
        <v>0.27900000000000003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8" t="s">
        <v>2429</v>
      </c>
      <c r="D1" s="241"/>
      <c r="E1" s="241"/>
      <c r="F1" s="241"/>
      <c r="G1" s="1381">
        <f>MATCH(B1,'数据-取费表'!A6:A16,0)+5</f>
        <v>7</v>
      </c>
      <c r="H1" s="1284" t="str">
        <f>IF(ISERROR(FIND("住宅",B1)),"非住宅","住宅")</f>
        <v>非住宅</v>
      </c>
    </row>
    <row r="2" spans="1:8" s="243" customFormat="1" ht="18" customHeight="1">
      <c r="A2" s="244" t="s">
        <v>2328</v>
      </c>
      <c r="B2" s="245">
        <f ca="1">ROUND(IF(D2="——",C52/10000,C52/10000-E2),0)</f>
        <v>112253</v>
      </c>
      <c r="C2" s="242" t="s">
        <v>2329</v>
      </c>
      <c r="D2" s="2552" t="s">
        <v>70</v>
      </c>
      <c r="E2" s="1442" t="e">
        <f ca="1">SUMIF(INDIRECT("'"&amp;G2&amp;"'"&amp;"!A:A"),"承租人权益价值",INDIRECT("'"&amp;G2&amp;"'"&amp;"!c:c"))</f>
        <v>#REF!</v>
      </c>
      <c r="F2" s="2553" t="s">
        <v>2329</v>
      </c>
      <c r="G2" s="2554"/>
    </row>
    <row r="3" spans="1:8" s="243" customFormat="1" ht="18" customHeight="1" thickBot="1">
      <c r="A3" s="246" t="s">
        <v>2330</v>
      </c>
      <c r="B3" s="247">
        <f ca="1">ROUND(B2*10000/(IF(B1="",'数据-汇总表'!E3,INDIRECT("'数据-取费表'!k"&amp;$G$1))),0)</f>
        <v>7100</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26447267</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26447267</v>
      </c>
      <c r="D8" s="265"/>
      <c r="E8" s="263"/>
      <c r="F8" s="264"/>
      <c r="G8" s="2555"/>
    </row>
    <row r="9" spans="1:8" s="257" customFormat="1" ht="13.5" customHeight="1">
      <c r="A9" s="952" t="s">
        <v>800</v>
      </c>
      <c r="B9" s="267" t="s">
        <v>2344</v>
      </c>
      <c r="C9" s="268">
        <f ca="1">ROUND(D9*E9,0)</f>
        <v>13466771</v>
      </c>
      <c r="D9" s="1034">
        <f ca="1">IF(B1="",'数据-汇总表'!E5,IF(INDIRECT("'数据-取费表'!c"&amp;$G$1)="住宅",INDIRECT("'数据-取费表'!k"&amp;$G$1),0))</f>
        <v>89778.47</v>
      </c>
      <c r="E9" s="268">
        <f>'数据-取费表'!B27</f>
        <v>150</v>
      </c>
      <c r="F9" s="264"/>
      <c r="G9" s="269"/>
    </row>
    <row r="10" spans="1:8" s="257" customFormat="1" ht="13.5" customHeight="1">
      <c r="A10" s="952" t="s">
        <v>801</v>
      </c>
      <c r="B10" s="267" t="s">
        <v>2346</v>
      </c>
      <c r="C10" s="268">
        <f ca="1">ROUND(D10*E10,0)</f>
        <v>12980496</v>
      </c>
      <c r="D10" s="1034">
        <f ca="1">IF(B1="",'数据-汇总表'!E6,IF(INDIRECT("'数据-取费表'!c"&amp;$G$1)="住宅",INDIRECT("'数据-取费表'!s"&amp;$G$1),INDIRECT("'数据-取费表'!k"&amp;$G$1)+INDIRECT("'数据-取费表'!s"&amp;$G$1)))</f>
        <v>68318.399999999994</v>
      </c>
      <c r="E10" s="268">
        <f>'数据-取费表'!B28</f>
        <v>190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31619374</v>
      </c>
      <c r="D19" s="1038">
        <f ca="1">D9+D10</f>
        <v>158096.87</v>
      </c>
      <c r="E19" s="254">
        <f>'数据-取费表'!B31</f>
        <v>200</v>
      </c>
      <c r="F19" s="274"/>
      <c r="G19" s="2555"/>
    </row>
    <row r="20" spans="1:7" s="257" customFormat="1" ht="13.5" customHeight="1">
      <c r="A20" s="298" t="s">
        <v>2440</v>
      </c>
      <c r="B20" s="253" t="s">
        <v>2441</v>
      </c>
      <c r="C20" s="275">
        <f ca="1">ROUND((C5+C19)*F20,0)</f>
        <v>1161333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5702507</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2572162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3075182</v>
      </c>
      <c r="D24" s="281"/>
      <c r="E24" s="281"/>
      <c r="F24" s="282"/>
      <c r="G24" s="283" t="s">
        <v>2452</v>
      </c>
    </row>
    <row r="25" spans="1:7" s="257" customFormat="1" ht="24">
      <c r="A25" s="953" t="s">
        <v>2342</v>
      </c>
      <c r="B25" s="258" t="s">
        <v>2453</v>
      </c>
      <c r="C25" s="1383">
        <f ca="1">ROUND(IF('数据-取费表'!B22&lt;=1,C20*F22*'数据-取费表'!B22/2,C20*(POWER((1+F22),'数据-取费表'!B22/2)-1)),0)</f>
        <v>55163</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11845595</v>
      </c>
      <c r="D27" s="278">
        <f ca="1">C29</f>
        <v>4.0000000000000001E-3</v>
      </c>
      <c r="E27" s="279" t="s">
        <v>2380</v>
      </c>
      <c r="F27" s="289">
        <f ca="1">IF(B1="",'数据-取费表'!Q16,INDIRECT("'数据-取费表'!q"&amp;$G$1))</f>
        <v>0.2</v>
      </c>
      <c r="G27" s="290" t="s">
        <v>2381</v>
      </c>
    </row>
    <row r="28" spans="1:7" s="257" customFormat="1" ht="13.5" customHeight="1">
      <c r="A28" s="953" t="s">
        <v>791</v>
      </c>
      <c r="B28" s="291" t="s">
        <v>2382</v>
      </c>
      <c r="C28" s="292">
        <f ca="1">ROUND((C5+C19+C20)*F27,0)</f>
        <v>11845595</v>
      </c>
      <c r="D28" s="278"/>
      <c r="E28" s="279"/>
      <c r="F28" s="289"/>
      <c r="G28" s="290"/>
    </row>
    <row r="29" spans="1:7" s="257" customFormat="1" ht="13.5" customHeight="1">
      <c r="A29" s="953" t="s">
        <v>792</v>
      </c>
      <c r="B29" s="291" t="s">
        <v>2383</v>
      </c>
      <c r="C29" s="281">
        <f ca="1">ROUND(C21*F27,4)</f>
        <v>4.0000000000000001E-3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83217078</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776870897</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695976870</v>
      </c>
      <c r="D34" s="260"/>
      <c r="E34" s="263"/>
      <c r="F34" s="300"/>
      <c r="G34" s="262"/>
    </row>
    <row r="35" spans="1:7" ht="13.5" customHeight="1">
      <c r="A35" s="953" t="s">
        <v>796</v>
      </c>
      <c r="B35" s="258" t="s">
        <v>2393</v>
      </c>
      <c r="C35" s="263">
        <f ca="1">ROUND(C34*F35,0)</f>
        <v>20879306</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17955694</v>
      </c>
      <c r="D36" s="263"/>
      <c r="E36" s="263"/>
      <c r="F36" s="302">
        <f>'数据-取费表'!B34</f>
        <v>0.05</v>
      </c>
      <c r="G36" s="303" t="s">
        <v>2396</v>
      </c>
    </row>
    <row r="37" spans="1:7" s="301" customFormat="1" ht="13.5" customHeight="1">
      <c r="A37" s="953" t="s">
        <v>798</v>
      </c>
      <c r="B37" s="258" t="s">
        <v>2397</v>
      </c>
      <c r="C37" s="292">
        <f ca="1">ROUND(E37*D37,0)</f>
        <v>31619374</v>
      </c>
      <c r="D37" s="260">
        <f ca="1">D19</f>
        <v>158096.87</v>
      </c>
      <c r="E37" s="292">
        <f>'数据-取费表'!B35</f>
        <v>200</v>
      </c>
      <c r="F37" s="302"/>
      <c r="G37" s="304"/>
    </row>
    <row r="38" spans="1:7" ht="13.5" customHeight="1">
      <c r="A38" s="953" t="s">
        <v>799</v>
      </c>
      <c r="B38" s="258" t="s">
        <v>2399</v>
      </c>
      <c r="C38" s="263">
        <f ca="1">ROUND(C34*F38,0)</f>
        <v>10439653</v>
      </c>
      <c r="D38" s="263"/>
      <c r="E38" s="263"/>
      <c r="F38" s="302">
        <f>'数据-取费表'!B36</f>
        <v>1.4999999999999999E-2</v>
      </c>
      <c r="G38" s="262" t="s">
        <v>2394</v>
      </c>
    </row>
    <row r="39" spans="1:7" s="257" customFormat="1" ht="13.5" customHeight="1">
      <c r="A39" s="298" t="s">
        <v>2400</v>
      </c>
      <c r="B39" s="253" t="s">
        <v>2401</v>
      </c>
      <c r="C39" s="275">
        <f ca="1">ROUND(C33*F20,0)</f>
        <v>15537418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37639395</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36901368</v>
      </c>
      <c r="D42" s="281"/>
      <c r="E42" s="281"/>
      <c r="F42" s="282"/>
      <c r="G42" s="3255" t="s">
        <v>2457</v>
      </c>
    </row>
    <row r="43" spans="1:7" ht="13.5" customHeight="1">
      <c r="A43" s="953" t="s">
        <v>792</v>
      </c>
      <c r="B43" s="258" t="s">
        <v>2411</v>
      </c>
      <c r="C43" s="281">
        <f ca="1">ROUND(IF('数据-取费表'!B22&lt;=1,C39*F22*'数据-取费表'!B20/2,C39*(POWER((1+F22),'数据-取费表'!B20/2)-1)),0)</f>
        <v>738027</v>
      </c>
      <c r="D43" s="281"/>
      <c r="E43" s="281"/>
      <c r="F43" s="282"/>
      <c r="G43" s="3256"/>
    </row>
    <row r="44" spans="1:7" ht="13.5" customHeight="1">
      <c r="A44" s="953" t="s">
        <v>793</v>
      </c>
      <c r="B44" s="258" t="s">
        <v>2412</v>
      </c>
      <c r="C44" s="281">
        <f ca="1">ROUND(IF('数据-取费表'!B22&lt;=1,C40*F22*'数据-取费表'!B20/2,C40*(POWER((1+F22),'数据-取费表'!B20/2)-1)),4)</f>
        <v>1E-3</v>
      </c>
      <c r="D44" s="281"/>
      <c r="E44" s="281"/>
      <c r="F44" s="282"/>
      <c r="G44" s="3257"/>
    </row>
    <row r="45" spans="1:7" s="257" customFormat="1" ht="13.5" customHeight="1">
      <c r="A45" s="298" t="s">
        <v>2413</v>
      </c>
      <c r="B45" s="287" t="s">
        <v>2379</v>
      </c>
      <c r="C45" s="288">
        <f ca="1">C46</f>
        <v>158481663</v>
      </c>
      <c r="D45" s="278">
        <f ca="1">C47</f>
        <v>4.0000000000000001E-3</v>
      </c>
      <c r="E45" s="279" t="s">
        <v>2405</v>
      </c>
      <c r="F45" s="289"/>
      <c r="G45" s="290" t="s">
        <v>2414</v>
      </c>
    </row>
    <row r="46" spans="1:7" s="257" customFormat="1" ht="13.5" customHeight="1">
      <c r="A46" s="953" t="s">
        <v>791</v>
      </c>
      <c r="B46" s="291" t="s">
        <v>2415</v>
      </c>
      <c r="C46" s="292">
        <f ca="1">ROUND((C33+C39)*F27,0)</f>
        <v>158481663</v>
      </c>
      <c r="D46" s="306"/>
      <c r="E46" s="279"/>
      <c r="F46" s="289"/>
      <c r="G46" s="290"/>
    </row>
    <row r="47" spans="1:7" s="257" customFormat="1" ht="13.5" customHeight="1">
      <c r="A47" s="953" t="s">
        <v>792</v>
      </c>
      <c r="B47" s="291" t="s">
        <v>2416</v>
      </c>
      <c r="C47" s="281">
        <f ca="1">ROUND(C40*F27,4)</f>
        <v>4.0000000000000001E-3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1071460409</v>
      </c>
      <c r="D49" s="275"/>
      <c r="E49" s="275"/>
      <c r="F49" s="307"/>
      <c r="G49" s="277" t="s">
        <v>2420</v>
      </c>
    </row>
    <row r="50" spans="1:7" s="301" customFormat="1">
      <c r="A50" s="298" t="s">
        <v>2421</v>
      </c>
      <c r="B50" s="253" t="s">
        <v>2422</v>
      </c>
      <c r="C50" s="275"/>
      <c r="D50" s="275"/>
      <c r="E50" s="275"/>
      <c r="F50" s="307">
        <f>IF('数据-取费表'!B24=0,'数据-取费表'!N16,1)</f>
        <v>0.97</v>
      </c>
      <c r="G50" s="290"/>
    </row>
    <row r="51" spans="1:7" ht="16.5" customHeight="1">
      <c r="A51" s="298" t="s">
        <v>2424</v>
      </c>
      <c r="B51" s="253" t="s">
        <v>2459</v>
      </c>
      <c r="C51" s="275">
        <f ca="1">ROUND(C49*F50,0)</f>
        <v>1039316597</v>
      </c>
      <c r="D51" s="275"/>
      <c r="E51" s="275"/>
      <c r="F51" s="307"/>
      <c r="G51" s="277" t="s">
        <v>2426</v>
      </c>
    </row>
    <row r="52" spans="1:7" s="251" customFormat="1" ht="16.5" thickBot="1">
      <c r="A52" s="308" t="s">
        <v>2427</v>
      </c>
      <c r="B52" s="309"/>
      <c r="C52" s="310">
        <f ca="1">C31+C51</f>
        <v>1122533675</v>
      </c>
      <c r="D52" s="309"/>
      <c r="E52" s="309"/>
      <c r="F52" s="309"/>
      <c r="G52" s="311"/>
    </row>
    <row r="55" spans="1:7" ht="15">
      <c r="B55" s="313" t="s">
        <v>2428</v>
      </c>
      <c r="C55" s="314"/>
    </row>
    <row r="56" spans="1:7">
      <c r="B56" s="316" t="s">
        <v>1509</v>
      </c>
      <c r="C56" s="318">
        <f ca="1">1-C57</f>
        <v>7.3999999999999955E-2</v>
      </c>
    </row>
    <row r="57" spans="1:7">
      <c r="B57" s="316" t="s">
        <v>1510</v>
      </c>
      <c r="C57" s="317">
        <f ca="1">ROUND(C51/C52,3)</f>
        <v>0.92600000000000005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3" zoomScale="90" zoomScaleNormal="90" zoomScaleSheetLayoutView="96" workbookViewId="0">
      <selection activeCell="M17" sqref="M1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2805</v>
      </c>
      <c r="B1" s="240"/>
      <c r="C1" s="244" t="s">
        <v>2806</v>
      </c>
      <c r="D1" s="387">
        <f>SUM(D29:D30,D33:D39)</f>
        <v>49085.7</v>
      </c>
      <c r="E1" s="2722"/>
      <c r="F1" s="2722"/>
      <c r="G1" s="2722"/>
      <c r="H1" s="2722"/>
      <c r="I1" s="2722"/>
      <c r="J1" s="2722"/>
      <c r="K1" s="1372"/>
      <c r="L1" s="2723" t="s">
        <v>2807</v>
      </c>
      <c r="M1" s="1082">
        <f>SUMPRODUCT((区片价!B5:B9=I2)*(区片价!C3:F3=E2)*(区片价!C5:F9))</f>
        <v>0</v>
      </c>
      <c r="N1" s="1085">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19501</v>
      </c>
      <c r="C2" s="2726" t="s">
        <v>2814</v>
      </c>
      <c r="D2" s="2727" t="s">
        <v>2815</v>
      </c>
      <c r="E2" s="2728" t="s">
        <v>1373</v>
      </c>
      <c r="F2" s="2727" t="s">
        <v>2816</v>
      </c>
      <c r="G2" s="2729" t="str">
        <f>IF(E2="商业",项目基本情况!B37,IF(E2="办公",项目基本情况!C37,IF(E2="住宅",项目基本情况!D37,项目基本情况!E37)))</f>
        <v>八级</v>
      </c>
      <c r="H2" s="2727" t="s">
        <v>2817</v>
      </c>
      <c r="I2" s="2729" t="str">
        <f>IF(E2="商业",项目基本情况!B38,IF(E2="办公",项目基本情况!C38,IF(E2="住宅",项目基本情况!D38,项目基本情况!E38)))</f>
        <v>Ⅷ-昌1</v>
      </c>
      <c r="J2" s="2730"/>
      <c r="K2" s="1372"/>
      <c r="L2" s="2731"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13049</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3973</v>
      </c>
      <c r="C3" s="2726" t="s">
        <v>2820</v>
      </c>
      <c r="D3" s="2727" t="s">
        <v>2821</v>
      </c>
      <c r="E3" s="3025" t="s">
        <v>3377</v>
      </c>
      <c r="F3" s="2733" t="s">
        <v>2822</v>
      </c>
      <c r="G3" s="915">
        <f>IF(F3="宗地容积率",'数据-汇总表'!I4,IF(F3="估价对象容积率",'数据-汇总表'!I6,'数据-汇总表'!I7))</f>
        <v>2.2000000000000002</v>
      </c>
      <c r="H3" s="197" t="s">
        <v>2823</v>
      </c>
      <c r="I3" s="946"/>
      <c r="J3" s="2730" t="s">
        <v>2824</v>
      </c>
      <c r="K3" s="1372"/>
      <c r="L3" s="2731"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8600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2"/>
      <c r="B4" s="3273"/>
      <c r="C4" s="3273"/>
      <c r="D4" s="3274"/>
      <c r="E4" s="3274"/>
      <c r="F4" s="3274"/>
      <c r="G4" s="3274"/>
      <c r="H4" s="3274"/>
      <c r="I4" s="3274"/>
      <c r="J4" s="3275"/>
      <c r="K4" s="1372"/>
      <c r="L4" s="2731"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6768</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6">
        <f>ROUND(IF(E2="商业",IF(F16="增加",C6*C7+C16,C6*C7-C16),IF(E2="住宅",IF(F16="增加",C6*C12+C16,C6*C12-C16),IF(F16="增加",C6+C16,C6-C16))),0)</f>
        <v>5585</v>
      </c>
      <c r="D5" s="1789">
        <f>ROUND(IF(F16="增加",C6+C16,C6-C16),0)</f>
        <v>5585</v>
      </c>
      <c r="E5" s="1789"/>
      <c r="F5" s="2736"/>
      <c r="G5" s="2737"/>
      <c r="H5" s="2737"/>
      <c r="I5" s="2737"/>
      <c r="J5" s="2738"/>
      <c r="K5" s="2739"/>
      <c r="L5" s="2731"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5056</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2829</v>
      </c>
      <c r="B6" s="2745" t="s">
        <v>2830</v>
      </c>
      <c r="C6" s="917">
        <f>SUMIF(L1:L12,G2,M1:M12)</f>
        <v>5550</v>
      </c>
      <c r="D6" s="2746" t="s">
        <v>2831</v>
      </c>
      <c r="E6" s="2747"/>
      <c r="F6" s="2747"/>
      <c r="G6" s="2748"/>
      <c r="H6" s="2748"/>
      <c r="I6" s="2748"/>
      <c r="J6" s="2749"/>
      <c r="K6" s="1844"/>
      <c r="L6" s="2731"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3803</v>
      </c>
      <c r="U6" s="1605"/>
      <c r="V6" s="1604">
        <f t="shared" ca="1" si="1"/>
        <v>0</v>
      </c>
      <c r="W6" s="1608"/>
      <c r="X6" s="1608"/>
      <c r="Y6" s="1608"/>
      <c r="Z6" s="1608"/>
      <c r="AA6" s="1608"/>
      <c r="AB6" s="1608"/>
      <c r="AC6" s="2740"/>
      <c r="AD6" s="2741"/>
      <c r="AE6" s="2741"/>
      <c r="AF6" s="2741"/>
      <c r="AG6" s="2741"/>
      <c r="AH6" s="2741"/>
      <c r="AI6" s="2741"/>
      <c r="AJ6" s="2742"/>
    </row>
    <row r="7" spans="1:36" ht="24">
      <c r="A7" s="3258" t="str">
        <f>IF(E2="商业",IF(C8="不临58条商业街","",2),"")</f>
        <v/>
      </c>
      <c r="B7" s="2750" t="s">
        <v>2833</v>
      </c>
      <c r="C7" s="918">
        <f>IF(C8="不临58条商业街",1,ROUND(1+(1.6*E8+1.2*E9+0.8*E10+0.4*E11)*C9,4))</f>
        <v>1</v>
      </c>
      <c r="D7" s="2751" t="s">
        <v>2834</v>
      </c>
      <c r="E7" s="947"/>
      <c r="F7" s="2752"/>
      <c r="G7" s="2753"/>
      <c r="H7" s="2753"/>
      <c r="I7" s="2753"/>
      <c r="J7" s="2754"/>
      <c r="K7" s="1844"/>
      <c r="L7" s="2731"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3041</v>
      </c>
      <c r="U7" s="1605"/>
      <c r="V7" s="1604">
        <f t="shared" ca="1" si="1"/>
        <v>0</v>
      </c>
      <c r="W7" s="1818" t="s">
        <v>2836</v>
      </c>
      <c r="X7" s="1606" t="str">
        <f>G2</f>
        <v>八级</v>
      </c>
      <c r="Y7" s="1606" t="s">
        <v>2837</v>
      </c>
      <c r="Z7" s="1607">
        <f>G3</f>
        <v>2.2000000000000002</v>
      </c>
      <c r="AA7" s="1608"/>
      <c r="AB7" s="1608"/>
      <c r="AC7" s="1609"/>
      <c r="AD7" s="1610"/>
      <c r="AE7" s="1610"/>
      <c r="AF7" s="1610"/>
      <c r="AG7" s="1610"/>
      <c r="AH7" s="1610"/>
      <c r="AI7" s="1610"/>
      <c r="AJ7" s="1611"/>
    </row>
    <row r="8" spans="1:36" ht="25.5">
      <c r="A8" s="3259"/>
      <c r="B8" s="197" t="s">
        <v>2838</v>
      </c>
      <c r="C8" s="2755" t="s">
        <v>3151</v>
      </c>
      <c r="D8" s="919" t="s">
        <v>139</v>
      </c>
      <c r="E8" s="920" t="e">
        <f>ROUND(C11/E7,4)</f>
        <v>#DIV/0!</v>
      </c>
      <c r="F8" s="2756" t="s">
        <v>2839</v>
      </c>
      <c r="G8" s="2757"/>
      <c r="H8" s="2757"/>
      <c r="I8" s="2757"/>
      <c r="J8" s="2758"/>
      <c r="K8" s="1372"/>
      <c r="L8" s="2731" t="s">
        <v>2840</v>
      </c>
      <c r="M8" s="1083">
        <f>SUMPRODUCT((区片价!B206:B244=I2)*(区片价!C3:F3=E2)*(区片价!C206:F244))</f>
        <v>5550</v>
      </c>
      <c r="N8" s="1085">
        <f>SUMPRODUCT((因素修正幅度!B206:B244=I2)*(因素修正幅度!C3:F3=E2)*(因素修正幅度!C206:F244))</f>
        <v>0.15</v>
      </c>
      <c r="O8" s="1372"/>
      <c r="P8" s="1372"/>
      <c r="Q8" s="1372"/>
      <c r="R8" s="1604">
        <v>7</v>
      </c>
      <c r="S8" s="1605"/>
      <c r="T8" s="1604">
        <f t="shared" ca="1" si="0"/>
        <v>0</v>
      </c>
      <c r="U8" s="1605"/>
      <c r="V8" s="1604">
        <f t="shared" ca="1" si="1"/>
        <v>0</v>
      </c>
      <c r="W8" s="3269" t="s">
        <v>2841</v>
      </c>
      <c r="X8" s="3270"/>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9"/>
      <c r="B9" s="197" t="s">
        <v>2854</v>
      </c>
      <c r="C9" s="921">
        <f>SUMIF(修正!C59:C119,C8,修正!E59:E119)</f>
        <v>0</v>
      </c>
      <c r="D9" s="199" t="s">
        <v>140</v>
      </c>
      <c r="E9" s="199" t="e">
        <f>ROUND(C11/E7,4)</f>
        <v>#DIV/0!</v>
      </c>
      <c r="F9" s="2756" t="s">
        <v>2855</v>
      </c>
      <c r="G9" s="2757"/>
      <c r="H9" s="2757"/>
      <c r="I9" s="2757"/>
      <c r="J9" s="2758"/>
      <c r="K9" s="1372"/>
      <c r="L9" s="2731"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71"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9"/>
      <c r="B10" s="197" t="s">
        <v>2859</v>
      </c>
      <c r="C10" s="199">
        <f>SUMIF(修正!C59:C119,C8,修正!F59:F119)</f>
        <v>0</v>
      </c>
      <c r="D10" s="199" t="s">
        <v>141</v>
      </c>
      <c r="E10" s="199" t="e">
        <f>ROUND(C11/E7,4)</f>
        <v>#DIV/0!</v>
      </c>
      <c r="F10" s="2756" t="s">
        <v>2860</v>
      </c>
      <c r="G10" s="2757"/>
      <c r="H10" s="2757"/>
      <c r="I10" s="2757"/>
      <c r="J10" s="2758"/>
      <c r="K10" s="1372"/>
      <c r="L10" s="2731"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7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9"/>
      <c r="B11" s="2759" t="s">
        <v>2862</v>
      </c>
      <c r="C11" s="922">
        <f>C10/4</f>
        <v>0</v>
      </c>
      <c r="D11" s="922" t="s">
        <v>142</v>
      </c>
      <c r="E11" s="922" t="e">
        <f>ROUND(C11/E7,4)</f>
        <v>#DIV/0!</v>
      </c>
      <c r="F11" s="2760" t="s">
        <v>2863</v>
      </c>
      <c r="G11" s="2761"/>
      <c r="H11" s="2761"/>
      <c r="I11" s="2761"/>
      <c r="J11" s="2762"/>
      <c r="K11" s="1372"/>
      <c r="L11" s="2731"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71" t="s">
        <v>2865</v>
      </c>
      <c r="X11" s="1616" t="s">
        <v>2866</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58" t="s">
        <v>2867</v>
      </c>
      <c r="B12" s="2763" t="s">
        <v>2868</v>
      </c>
      <c r="C12" s="918">
        <f>ROUND(C15*D15*E15*F15*G15*H15*I15*J15,4)</f>
        <v>1.21</v>
      </c>
      <c r="D12" s="2764" t="s">
        <v>2869</v>
      </c>
      <c r="E12" s="2765"/>
      <c r="F12" s="2765"/>
      <c r="G12" s="2766"/>
      <c r="H12" s="2766"/>
      <c r="I12" s="2766"/>
      <c r="J12" s="2767"/>
      <c r="K12" s="1372"/>
      <c r="L12" s="2768"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71"/>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6"/>
      <c r="B13" s="2769" t="s">
        <v>2872</v>
      </c>
      <c r="C13" s="2770" t="s">
        <v>2873</v>
      </c>
      <c r="D13" s="1810" t="s">
        <v>2874</v>
      </c>
      <c r="E13" s="1810" t="s">
        <v>2875</v>
      </c>
      <c r="F13" s="29" t="s">
        <v>2876</v>
      </c>
      <c r="G13" s="2771" t="s">
        <v>2877</v>
      </c>
      <c r="H13" s="2771" t="s">
        <v>2877</v>
      </c>
      <c r="I13" s="2771" t="s">
        <v>2877</v>
      </c>
      <c r="J13" s="2772" t="s">
        <v>2877</v>
      </c>
      <c r="K13" s="1372"/>
      <c r="L13" s="1372"/>
      <c r="M13" s="1372"/>
      <c r="N13" s="1372"/>
      <c r="O13" s="1372"/>
      <c r="P13" s="1372"/>
      <c r="Q13" s="1372"/>
      <c r="R13" s="1604">
        <v>12</v>
      </c>
      <c r="S13" s="1605"/>
      <c r="T13" s="1604">
        <f t="shared" ca="1" si="0"/>
        <v>0</v>
      </c>
      <c r="U13" s="1605"/>
      <c r="V13" s="1604">
        <f t="shared" ca="1" si="1"/>
        <v>0</v>
      </c>
      <c r="W13" s="3271"/>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76"/>
      <c r="B14" s="2773"/>
      <c r="C14" s="2774" t="s">
        <v>3324</v>
      </c>
      <c r="D14" s="2775" t="s">
        <v>3325</v>
      </c>
      <c r="E14" s="2775" t="s">
        <v>3325</v>
      </c>
      <c r="F14" s="2776" t="s">
        <v>3326</v>
      </c>
      <c r="G14" s="2777" t="s">
        <v>2878</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7"/>
      <c r="B15" s="2781" t="s">
        <v>2879</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82" t="s">
        <v>2815</v>
      </c>
      <c r="M15" s="919" t="s">
        <v>2880</v>
      </c>
      <c r="N15" s="919" t="s">
        <v>2881</v>
      </c>
      <c r="O15" s="919" t="s">
        <v>2882</v>
      </c>
      <c r="P15" s="2783"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8" t="s">
        <v>2884</v>
      </c>
      <c r="B16" s="2750" t="s">
        <v>2885</v>
      </c>
      <c r="C16" s="1803">
        <f>ROUND(SUM(G17:J17)/C17,0)</f>
        <v>35</v>
      </c>
      <c r="D16" s="2784" t="s">
        <v>2886</v>
      </c>
      <c r="E16" s="2785" t="s">
        <v>3327</v>
      </c>
      <c r="F16" s="2786" t="s">
        <v>3328</v>
      </c>
      <c r="G16" s="2787" t="s">
        <v>3329</v>
      </c>
      <c r="H16" s="2787" t="s">
        <v>3330</v>
      </c>
      <c r="I16" s="2787"/>
      <c r="J16" s="2788"/>
      <c r="K16" s="1372"/>
      <c r="L16" s="2789"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9"/>
      <c r="B17" s="2790" t="s">
        <v>2888</v>
      </c>
      <c r="C17" s="923">
        <f>SUMPRODUCT((修正!A2:A5=E2)*(修正!B1:M1=G2)*(修正!B2:M5))</f>
        <v>2</v>
      </c>
      <c r="D17" s="2791" t="s">
        <v>2889</v>
      </c>
      <c r="E17" s="922" t="str">
        <f>IF(OR(G2="八级",G2="九级",G2="十级",G2="十一级",G2="十二级"),"五通一平","七通一平")</f>
        <v>五通一平</v>
      </c>
      <c r="F17" s="923" t="s">
        <v>2890</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92"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5">
        <f>SUMIF(修正!C18:C39,E3,修正!E18:E39)</f>
        <v>0.9</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2893</v>
      </c>
      <c r="C19" s="926">
        <f>ROUND(IF(H19="按公示增长率计算",SUMPRODUCT((地价!A3:A25=YEAR(G19)&amp;"-"&amp;ROUNDUP(MONTH(G19)/3,0))*(地价!X2:AB2=E2)*(地价!X3:AB25)),IF(H19="地价指数",M20/M19,(1+I19)^O19)),4)</f>
        <v>1.3237000000000001</v>
      </c>
      <c r="D19" s="2802" t="s">
        <v>2894</v>
      </c>
      <c r="E19" s="927">
        <v>41640</v>
      </c>
      <c r="F19" s="2802" t="s">
        <v>2895</v>
      </c>
      <c r="G19" s="928">
        <f>'数据-取费表'!B2</f>
        <v>43481</v>
      </c>
      <c r="H19" s="2803" t="s">
        <v>3331</v>
      </c>
      <c r="I19" s="929" t="str">
        <f>IF(H19="季度增幅（自定义）",SUMIF(N21:N24,E2,O21:O24),"")</f>
        <v/>
      </c>
      <c r="J19" s="2800"/>
      <c r="K19" s="1379"/>
      <c r="L19" s="2804" t="s">
        <v>2896</v>
      </c>
      <c r="M19" s="1736">
        <f>ROUND(SUMIF(地价!B2:F2,E2,地价!B25:F25),0)</f>
        <v>258</v>
      </c>
      <c r="N19" s="2805"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2898</v>
      </c>
      <c r="C20" s="931">
        <f ca="1">ROUND(POWER(1+G20,J20-I20)*(POWER(1+G20,I20)-1)/(POWER(1+G20,J20)-1),4)</f>
        <v>0.93840000000000001</v>
      </c>
      <c r="D20" s="2811" t="s">
        <v>2899</v>
      </c>
      <c r="E20" s="1770">
        <f ca="1">存贷款利率!D4/100</f>
        <v>4.3499999999999997E-2</v>
      </c>
      <c r="F20" s="2811" t="s">
        <v>2891</v>
      </c>
      <c r="G20" s="936">
        <f ca="1">SUMIF(M15:P15,E2,M17:P17)</f>
        <v>5.3999999999999999E-2</v>
      </c>
      <c r="H20" s="2811" t="s">
        <v>2900</v>
      </c>
      <c r="I20" s="937">
        <f>SUMIF('数据-取费表'!C6:C15,E2,'数据-取费表'!F6:F15)/COUNTIF('数据-取费表'!C6:C15,E2)</f>
        <v>33.020000000000003</v>
      </c>
      <c r="J20" s="938">
        <f>IF(E2="住宅",70,IF(E2="商业",40,50))</f>
        <v>40</v>
      </c>
      <c r="K20" s="1379"/>
      <c r="L20" s="2812" t="s">
        <v>2901</v>
      </c>
      <c r="M20" s="1737">
        <f>ROUND(SUMPRODUCT((地价!A4:A25=YEAR(G19)&amp;"-"&amp;ROUNDUP(MONTH(G19)/3,0))*(地价!B2:F2=E2)*(地价!B4:F25)),0)</f>
        <v>341</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3332</v>
      </c>
      <c r="C21" s="939">
        <f>IF(B21="容积率修正",IF(G3&lt;=10,D22,J22),C23)</f>
        <v>0.95230000000000004</v>
      </c>
      <c r="D21" s="2818"/>
      <c r="E21" s="2818"/>
      <c r="F21" s="2818"/>
      <c r="G21" s="2818"/>
      <c r="H21" s="2818"/>
      <c r="I21" s="2818"/>
      <c r="J21" s="2819"/>
      <c r="K21" s="1379"/>
      <c r="N21" s="2820"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3" customFormat="1" ht="14.25">
      <c r="A22" s="2669" t="s">
        <v>2906</v>
      </c>
      <c r="B22" s="2821" t="s">
        <v>2907</v>
      </c>
      <c r="C22" s="1812" t="s">
        <v>2908</v>
      </c>
      <c r="D22" s="1812">
        <f>IF(E22=G22,F22,IF(G3&lt;=10,ROUND(F22+(H22-F22)*(G3-E22)/(G22-E22),4),"——"))</f>
        <v>0.95230000000000004</v>
      </c>
      <c r="E22" s="915">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812" t="s">
        <v>155</v>
      </c>
      <c r="J22" s="940" t="str">
        <f>IF(G3&gt;10,D113,"——")</f>
        <v>——</v>
      </c>
      <c r="K22" s="1379"/>
      <c r="N22" s="2820"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9" t="s">
        <v>2910</v>
      </c>
      <c r="B23" s="2822" t="s">
        <v>2911</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2913</v>
      </c>
      <c r="C24" s="926">
        <f>SUMIF(A45:A88,E2,B45:B88)</f>
        <v>1.0762</v>
      </c>
      <c r="D24" s="2798"/>
      <c r="E24" s="2828"/>
      <c r="F24" s="2828"/>
      <c r="G24" s="2828"/>
      <c r="H24" s="2828"/>
      <c r="I24" s="2828"/>
      <c r="J24" s="2829"/>
      <c r="K24" s="1379"/>
      <c r="N24" s="2830" t="s">
        <v>2914</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2915</v>
      </c>
      <c r="C25" s="932"/>
      <c r="D25" s="2753"/>
      <c r="E25" s="2753"/>
      <c r="F25" s="2832"/>
      <c r="G25" s="2753"/>
      <c r="H25" s="2753"/>
      <c r="I25" s="2753"/>
      <c r="J25" s="2754"/>
      <c r="K25" s="1372"/>
      <c r="N25" s="2833"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4"/>
      <c r="B26" s="2821" t="s">
        <v>2917</v>
      </c>
      <c r="C26" s="205">
        <f ca="1">E29+SUM(E33:E39)</f>
        <v>19501</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2918</v>
      </c>
      <c r="C27" s="933">
        <f ca="1">E30+SUM(I33:I39)</f>
        <v>591</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2919</v>
      </c>
      <c r="C28" s="2845" t="s">
        <v>2920</v>
      </c>
      <c r="D28" s="2845" t="s">
        <v>2921</v>
      </c>
      <c r="E28" s="2846" t="s">
        <v>2922</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2923</v>
      </c>
      <c r="C29" s="205">
        <f ca="1">ROUND(C5*C18*C19*C20*C21*C24,0)</f>
        <v>6399</v>
      </c>
      <c r="D29" s="2850">
        <f>'数据-基础表'!I14</f>
        <v>26779.01</v>
      </c>
      <c r="E29" s="944">
        <f ca="1">ROUND(C29*D29/10000,0)</f>
        <v>17136</v>
      </c>
      <c r="F29" s="2851" t="s">
        <v>2924</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2925</v>
      </c>
      <c r="C30" s="228">
        <f ca="1">ROUND(IF(E2="工业",C29*M39,C29*M38),0)</f>
        <v>1600</v>
      </c>
      <c r="D30" s="2856"/>
      <c r="E30" s="944">
        <f ca="1">ROUND(C30*D30/10000,0)</f>
        <v>0</v>
      </c>
      <c r="F30" s="2857" t="s">
        <v>2926</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2920</v>
      </c>
      <c r="D32" s="497" t="s">
        <v>2921</v>
      </c>
      <c r="E32" s="497" t="s">
        <v>2922</v>
      </c>
      <c r="F32" s="387" t="s">
        <v>2930</v>
      </c>
      <c r="G32" s="2865" t="s">
        <v>2920</v>
      </c>
      <c r="H32" s="2865" t="s">
        <v>2921</v>
      </c>
      <c r="I32" s="2865"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66" t="s">
        <v>2931</v>
      </c>
      <c r="B33" s="2866" t="s">
        <v>2932</v>
      </c>
      <c r="C33" s="205">
        <f ca="1">ROUND(D5*C19*C20*C24*F33,0)</f>
        <v>4480</v>
      </c>
      <c r="D33" s="2850"/>
      <c r="E33" s="199">
        <f ca="1">ROUND(C33*D33/10000,0)</f>
        <v>0</v>
      </c>
      <c r="F33" s="199">
        <f>SUMIF(修正!A45:A56,G2,修正!B45:B56)</f>
        <v>0.6</v>
      </c>
      <c r="G33" s="199">
        <f t="shared" ref="G33" ca="1" si="6">ROUND(IF(E2="工业",C33*$M$39,C33*$M$38),0)</f>
        <v>1120</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7"/>
      <c r="B34" s="2770" t="s">
        <v>2933</v>
      </c>
      <c r="C34" s="205">
        <f ca="1">ROUND(D5*C19*C20*C24*F34,0)</f>
        <v>2240</v>
      </c>
      <c r="D34" s="2850"/>
      <c r="E34" s="199">
        <f t="shared" ref="E34:E39" ca="1" si="7">ROUND(C34*D34/10000,0)</f>
        <v>0</v>
      </c>
      <c r="F34" s="199">
        <f>SUMIF(修正!A45:A56,G2,修正!C45:C56)</f>
        <v>0.3</v>
      </c>
      <c r="G34" s="199">
        <f ca="1">ROUND(IF(E2="工业",C34*$M$39,C34*$M$38),0)</f>
        <v>560</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7"/>
      <c r="B35" s="2770" t="s">
        <v>2934</v>
      </c>
      <c r="C35" s="205">
        <f ca="1">ROUND(D5*C19*C20*C24*F35,0)</f>
        <v>1493</v>
      </c>
      <c r="D35" s="2850"/>
      <c r="E35" s="199">
        <f t="shared" ca="1" si="7"/>
        <v>0</v>
      </c>
      <c r="F35" s="199">
        <f>SUMIF(修正!A45:A56,G2,修正!D45:D56)</f>
        <v>0.2</v>
      </c>
      <c r="G35" s="199">
        <f ca="1">ROUND(IF(E2="工业",C35*$M$39,C35*$M$38),0)</f>
        <v>373</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68"/>
      <c r="B36" s="2770" t="s">
        <v>2935</v>
      </c>
      <c r="C36" s="205">
        <f ca="1">ROUND(D5*C19*C20*C24*F36,0)</f>
        <v>1493</v>
      </c>
      <c r="D36" s="2850"/>
      <c r="E36" s="199">
        <f t="shared" ca="1" si="7"/>
        <v>0</v>
      </c>
      <c r="F36" s="199">
        <f>SUMIF(修正!A45:A56,G2,修正!E45:E56)</f>
        <v>0.2</v>
      </c>
      <c r="G36" s="199">
        <f ca="1">ROUND(IF(E2="工业",C36*$M$39,C36*$M$38),0)</f>
        <v>373</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2936</v>
      </c>
      <c r="C37" s="199">
        <f ca="1">ROUND(D5*C19*C20*C24*F37,0)</f>
        <v>1493</v>
      </c>
      <c r="D37" s="2850"/>
      <c r="E37" s="199">
        <f t="shared" ca="1" si="7"/>
        <v>0</v>
      </c>
      <c r="F37" s="205">
        <f>SUMIF(修正!A45:A56,G2,修正!F45:F56)</f>
        <v>0.2</v>
      </c>
      <c r="G37" s="199">
        <f ca="1">ROUND(IF(E2="工业",C37*$M$39,C37*$M$38),0)</f>
        <v>373</v>
      </c>
      <c r="H37" s="199">
        <f t="shared" si="8"/>
        <v>0</v>
      </c>
      <c r="I37" s="199">
        <f t="shared" ca="1" si="9"/>
        <v>0</v>
      </c>
      <c r="J37" s="2867"/>
      <c r="K37" s="1372"/>
      <c r="L37" s="2869" t="s">
        <v>2937</v>
      </c>
      <c r="M37" s="2870"/>
      <c r="N37" s="1372"/>
      <c r="O37" s="1372"/>
      <c r="P37" s="1372"/>
      <c r="Q37" s="1372"/>
      <c r="R37" s="1372"/>
      <c r="S37" s="1372"/>
      <c r="T37" s="1372"/>
      <c r="U37" s="1372"/>
      <c r="V37" s="1372"/>
      <c r="W37" s="1372"/>
      <c r="X37" s="1372"/>
      <c r="Y37" s="1372"/>
      <c r="Z37" s="1373"/>
    </row>
    <row r="38" spans="1:37">
      <c r="A38" s="2868"/>
      <c r="B38" s="2770" t="s">
        <v>2938</v>
      </c>
      <c r="C38" s="199">
        <f ca="1">ROUND(D5*C19*C41*C24*F38,0)</f>
        <v>1413</v>
      </c>
      <c r="D38" s="2850"/>
      <c r="E38" s="199">
        <f t="shared" ca="1" si="7"/>
        <v>0</v>
      </c>
      <c r="F38" s="205">
        <f>SUMIF(修正!A45:A56,G2,修正!G45:G56)</f>
        <v>0.2</v>
      </c>
      <c r="G38" s="199">
        <f ca="1">ROUND(IF(E2="工业",C38*$M$39,C38*$M$38),0)</f>
        <v>353</v>
      </c>
      <c r="H38" s="199">
        <f t="shared" si="8"/>
        <v>0</v>
      </c>
      <c r="I38" s="199">
        <f t="shared" ca="1" si="9"/>
        <v>0</v>
      </c>
      <c r="J38" s="2867"/>
      <c r="K38" s="1372"/>
      <c r="L38" s="1889" t="s">
        <v>2939</v>
      </c>
      <c r="M38" s="2871">
        <v>0.25</v>
      </c>
      <c r="N38" s="1372"/>
      <c r="O38" s="1372"/>
      <c r="P38" s="1372"/>
      <c r="Q38" s="1372"/>
      <c r="R38" s="1372"/>
      <c r="S38" s="1372"/>
      <c r="T38" s="1372"/>
      <c r="U38" s="1372"/>
      <c r="V38" s="1372"/>
      <c r="W38" s="1372"/>
      <c r="X38" s="1372"/>
      <c r="Y38" s="1372"/>
      <c r="Z38" s="1373"/>
    </row>
    <row r="39" spans="1:37" ht="13.5" thickBot="1">
      <c r="A39" s="2854"/>
      <c r="B39" s="2872" t="s">
        <v>2940</v>
      </c>
      <c r="C39" s="228">
        <f ca="1">ROUND(D5*C19*C41*C24*F39,0)</f>
        <v>1060</v>
      </c>
      <c r="D39" s="3026">
        <f>'数据-基础表'!M14</f>
        <v>22306.690000000002</v>
      </c>
      <c r="E39" s="228">
        <f t="shared" ca="1" si="7"/>
        <v>2365</v>
      </c>
      <c r="F39" s="934">
        <f>SUMIF(修正!A45:A56,G2,修正!H45:H56)</f>
        <v>0.15</v>
      </c>
      <c r="G39" s="228">
        <f ca="1">ROUND(IF(E2="工业",C39*$M$39,C39*$M$38),0)</f>
        <v>265</v>
      </c>
      <c r="H39" s="228">
        <f t="shared" si="8"/>
        <v>22306.690000000002</v>
      </c>
      <c r="I39" s="228">
        <f t="shared" ca="1" si="9"/>
        <v>591</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7">
        <f ca="1">ROUND(POWER(1+E41,H41-G41)*(POWER(1+E41,G41)-1)/(POWER(1+E41,H41)-1),4)</f>
        <v>0.88790000000000002</v>
      </c>
      <c r="D41" s="199" t="s">
        <v>2891</v>
      </c>
      <c r="E41" s="2942">
        <f ca="1">G20</f>
        <v>5.3999999999999999E-2</v>
      </c>
      <c r="F41" s="199" t="s">
        <v>2900</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2941</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2942</v>
      </c>
      <c r="B46" s="2880">
        <f>1+E48</f>
        <v>1.0762</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2943</v>
      </c>
      <c r="B47" s="1811" t="s">
        <v>2944</v>
      </c>
      <c r="C47" s="1811" t="s">
        <v>2945</v>
      </c>
      <c r="D47" s="1811" t="s">
        <v>2946</v>
      </c>
      <c r="E47" s="818" t="s">
        <v>2947</v>
      </c>
      <c r="F47" s="2884" t="s">
        <v>2948</v>
      </c>
      <c r="G47" s="1811" t="s">
        <v>754</v>
      </c>
      <c r="H47" s="2885"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3" t="s">
        <v>2951</v>
      </c>
      <c r="B48" s="2886" t="str">
        <f>估价对象房地状况!C4</f>
        <v>估价对象位于XX商圈，周边商业氛围成熟，人流量大，商业繁华度好</v>
      </c>
      <c r="C48" s="3001" t="s">
        <v>3333</v>
      </c>
      <c r="D48" s="1288">
        <f t="shared" ref="D48:D56" si="10">SUMIF($J$47:$N$47,C48,J48:N48)</f>
        <v>2.47E-2</v>
      </c>
      <c r="E48" s="820">
        <f>ROUND(SUM(D48:D56),4)</f>
        <v>7.6200000000000004E-2</v>
      </c>
      <c r="F48" s="2506">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3" t="s">
        <v>2952</v>
      </c>
      <c r="B49" s="2887" t="str">
        <f>估价对象房地状况!C18</f>
        <v>估价对象周边道路状况、公共交通通达情况、停车便捷程度，综合评价交通便捷度较好</v>
      </c>
      <c r="C49" s="3001" t="s">
        <v>3333</v>
      </c>
      <c r="D49" s="1288">
        <f t="shared" si="10"/>
        <v>1.8700000000000001E-2</v>
      </c>
      <c r="E49" s="821"/>
      <c r="F49" s="2506"/>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3" t="s">
        <v>2953</v>
      </c>
      <c r="B50" s="2887">
        <f>估价对象房地状况!C19</f>
        <v>0</v>
      </c>
      <c r="C50" s="3001" t="s">
        <v>3333</v>
      </c>
      <c r="D50" s="1288">
        <f t="shared" si="10"/>
        <v>3.7000000000000002E-3</v>
      </c>
      <c r="E50" s="821"/>
      <c r="F50" s="2506"/>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3" t="s">
        <v>2954</v>
      </c>
      <c r="B51" s="2888" t="s">
        <v>2955</v>
      </c>
      <c r="C51" s="3001" t="s">
        <v>3333</v>
      </c>
      <c r="D51" s="1288">
        <f t="shared" si="10"/>
        <v>3.7000000000000002E-3</v>
      </c>
      <c r="E51" s="821"/>
      <c r="F51" s="2506"/>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3" t="s">
        <v>2956</v>
      </c>
      <c r="B52" s="2887">
        <f>估价对象房地状况!C24</f>
        <v>0</v>
      </c>
      <c r="C52" s="3001" t="s">
        <v>3334</v>
      </c>
      <c r="D52" s="1288">
        <f t="shared" si="10"/>
        <v>0</v>
      </c>
      <c r="E52" s="821"/>
      <c r="F52" s="2506"/>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3" t="s">
        <v>2957</v>
      </c>
      <c r="B53" s="2889" t="s">
        <v>2958</v>
      </c>
      <c r="C53" s="3001" t="s">
        <v>3333</v>
      </c>
      <c r="D53" s="1288">
        <f t="shared" si="10"/>
        <v>2.2000000000000001E-3</v>
      </c>
      <c r="E53" s="821"/>
      <c r="F53" s="2506"/>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90" t="s">
        <v>2959</v>
      </c>
      <c r="B54" s="1727" t="str">
        <f>估价对象房地状况!C21</f>
        <v>估价对象所在区域公共配套设施齐备情况</v>
      </c>
      <c r="C54" s="3001" t="s">
        <v>3333</v>
      </c>
      <c r="D54" s="1288">
        <f t="shared" si="10"/>
        <v>3.7000000000000002E-3</v>
      </c>
      <c r="E54" s="821"/>
      <c r="F54" s="2506"/>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90" t="s">
        <v>2960</v>
      </c>
      <c r="B55" s="2887" t="str">
        <f>估价对象房地状况!C22</f>
        <v>估价对象所在区域基础设施水平</v>
      </c>
      <c r="C55" s="3001" t="s">
        <v>3335</v>
      </c>
      <c r="D55" s="1288">
        <f t="shared" si="10"/>
        <v>1.4999999999999999E-2</v>
      </c>
      <c r="E55" s="821"/>
      <c r="F55" s="2506"/>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91" t="s">
        <v>2961</v>
      </c>
      <c r="B56" s="2892" t="str">
        <f>估价对象房地状况!C20</f>
        <v>区域自然环境：；人文环境；综合评价环境状况一般</v>
      </c>
      <c r="C56" s="3001" t="s">
        <v>3333</v>
      </c>
      <c r="D56" s="1288">
        <f t="shared" si="10"/>
        <v>4.4999999999999997E-3</v>
      </c>
      <c r="E56" s="824"/>
      <c r="F56" s="2506"/>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9" t="s">
        <v>2962</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2943</v>
      </c>
      <c r="B58" s="1811"/>
      <c r="C58" s="1811" t="s">
        <v>2945</v>
      </c>
      <c r="D58" s="1811" t="s">
        <v>2946</v>
      </c>
      <c r="E58" s="818" t="s">
        <v>2947</v>
      </c>
      <c r="F58" s="2884" t="s">
        <v>2963</v>
      </c>
      <c r="G58" s="1811" t="s">
        <v>754</v>
      </c>
      <c r="H58" s="2885"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3" t="s">
        <v>2964</v>
      </c>
      <c r="B59" s="2886" t="str">
        <f>估价对象房地状况!C17</f>
        <v>估价对象位于XX商圈，周边办公楼项目较多，入驻率高，办公集聚程度较好</v>
      </c>
      <c r="C59" s="2775"/>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3" t="s">
        <v>2952</v>
      </c>
      <c r="B60" s="2887" t="str">
        <f>估价对象房地状况!C18</f>
        <v>估价对象周边道路状况、公共交通通达情况、停车便捷程度，综合评价交通便捷度较好</v>
      </c>
      <c r="C60" s="2775"/>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3" t="s">
        <v>2953</v>
      </c>
      <c r="B61" s="2887">
        <f>估价对象房地状况!C19</f>
        <v>0</v>
      </c>
      <c r="C61" s="2775"/>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3" t="s">
        <v>2954</v>
      </c>
      <c r="B62" s="2888" t="s">
        <v>2955</v>
      </c>
      <c r="C62" s="2775"/>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3" t="s">
        <v>2956</v>
      </c>
      <c r="B63" s="2887">
        <f>估价对象房地状况!C24</f>
        <v>0</v>
      </c>
      <c r="C63" s="2775"/>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3" t="s">
        <v>2957</v>
      </c>
      <c r="B64" s="2889" t="s">
        <v>2958</v>
      </c>
      <c r="C64" s="2775"/>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3" t="s">
        <v>2959</v>
      </c>
      <c r="B65" s="1727" t="str">
        <f>估价对象房地状况!C21</f>
        <v>估价对象所在区域公共配套设施齐备情况</v>
      </c>
      <c r="C65" s="2775"/>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3" t="s">
        <v>2960</v>
      </c>
      <c r="B66" s="1727" t="str">
        <f>估价对象房地状况!C22</f>
        <v>估价对象所在区域基础设施水平</v>
      </c>
      <c r="C66" s="2775"/>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1" t="s">
        <v>2961</v>
      </c>
      <c r="B67" s="2893" t="str">
        <f>估价对象房地状况!C20</f>
        <v>区域自然环境：；人文环境；综合评价环境状况一般</v>
      </c>
      <c r="C67" s="2775"/>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9" t="s">
        <v>2965</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2943</v>
      </c>
      <c r="B69" s="1811"/>
      <c r="C69" s="1811" t="s">
        <v>2945</v>
      </c>
      <c r="D69" s="1811" t="s">
        <v>2946</v>
      </c>
      <c r="E69" s="818" t="s">
        <v>2947</v>
      </c>
      <c r="F69" s="2884" t="s">
        <v>2963</v>
      </c>
      <c r="G69" s="1811" t="s">
        <v>754</v>
      </c>
      <c r="H69" s="2885"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3" t="s">
        <v>2966</v>
      </c>
      <c r="B70" s="2886" t="str">
        <f>估价对象房地状况!C15</f>
        <v>估价对象周边居住用地比例、居住小区规模和社区发展完善程度，综合评价居住社区成熟度一般</v>
      </c>
      <c r="C70" s="2775"/>
      <c r="D70" s="1288">
        <f t="shared" ref="D70:D78" si="21">SUMIF($J$69:$N$69,C70,J70:N70)</f>
        <v>0</v>
      </c>
      <c r="E70" s="820">
        <f>ROUND(SUM(D70:D78),4)</f>
        <v>0</v>
      </c>
      <c r="F70" s="2506"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3" t="s">
        <v>2952</v>
      </c>
      <c r="B71" s="2887" t="str">
        <f>估价对象房地状况!C18</f>
        <v>估价对象周边道路状况、公共交通通达情况、停车便捷程度，综合评价交通便捷度较好</v>
      </c>
      <c r="C71" s="2775"/>
      <c r="D71" s="1288">
        <f t="shared" si="21"/>
        <v>0</v>
      </c>
      <c r="E71" s="825"/>
      <c r="F71" s="2506"/>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3" t="s">
        <v>2953</v>
      </c>
      <c r="B72" s="2887">
        <f>估价对象房地状况!C19</f>
        <v>0</v>
      </c>
      <c r="C72" s="2775"/>
      <c r="D72" s="1288">
        <f t="shared" si="21"/>
        <v>0</v>
      </c>
      <c r="E72" s="825"/>
      <c r="F72" s="2506"/>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3" t="s">
        <v>2967</v>
      </c>
      <c r="B73" s="2887">
        <f>估价对象房地状况!C24</f>
        <v>0</v>
      </c>
      <c r="C73" s="2775"/>
      <c r="D73" s="1288">
        <f t="shared" si="21"/>
        <v>0</v>
      </c>
      <c r="E73" s="825"/>
      <c r="F73" s="2506"/>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3" t="s">
        <v>2959</v>
      </c>
      <c r="B74" s="1727" t="str">
        <f>估价对象房地状况!C21</f>
        <v>估价对象所在区域公共配套设施齐备情况</v>
      </c>
      <c r="C74" s="2775"/>
      <c r="D74" s="1288">
        <f t="shared" si="21"/>
        <v>0</v>
      </c>
      <c r="E74" s="825"/>
      <c r="F74" s="2506"/>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3" t="s">
        <v>2960</v>
      </c>
      <c r="B75" s="1727" t="str">
        <f>估价对象房地状况!C22</f>
        <v>估价对象所在区域基础设施水平</v>
      </c>
      <c r="C75" s="2775"/>
      <c r="D75" s="1288">
        <f t="shared" si="21"/>
        <v>0</v>
      </c>
      <c r="E75" s="825"/>
      <c r="F75" s="2506"/>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4" customFormat="1" ht="24">
      <c r="A76" s="2883" t="s">
        <v>2957</v>
      </c>
      <c r="B76" s="2889" t="s">
        <v>2958</v>
      </c>
      <c r="C76" s="2775"/>
      <c r="D76" s="1288">
        <f t="shared" si="21"/>
        <v>0</v>
      </c>
      <c r="E76" s="825"/>
      <c r="F76" s="2506"/>
      <c r="G76" s="1286"/>
      <c r="H76" s="1290" t="str">
        <f t="shared" si="22"/>
        <v>——</v>
      </c>
      <c r="I76" s="819">
        <v>0.05</v>
      </c>
      <c r="J76" s="1287">
        <f t="shared" si="23"/>
        <v>0</v>
      </c>
      <c r="K76" s="1287">
        <f t="shared" si="24"/>
        <v>0</v>
      </c>
      <c r="L76" s="1287">
        <v>0</v>
      </c>
      <c r="M76" s="1287">
        <f t="shared" si="25"/>
        <v>0</v>
      </c>
      <c r="N76" s="1287">
        <f t="shared" si="25"/>
        <v>0</v>
      </c>
      <c r="AA76" s="2894"/>
      <c r="AB76" s="1373"/>
      <c r="AC76" s="1373"/>
      <c r="AD76" s="1373"/>
      <c r="AE76" s="1373"/>
      <c r="AF76" s="1373"/>
      <c r="AG76" s="1373"/>
      <c r="AH76" s="2894"/>
      <c r="AI76" s="2894"/>
      <c r="AJ76" s="2894"/>
      <c r="AK76" s="2894"/>
    </row>
    <row r="77" spans="1:37" ht="38.25">
      <c r="A77" s="2883" t="s">
        <v>2961</v>
      </c>
      <c r="B77" s="2886" t="str">
        <f>估价对象房地状况!C20</f>
        <v>区域自然环境：；人文环境；综合评价环境状况一般</v>
      </c>
      <c r="C77" s="2775"/>
      <c r="D77" s="1288">
        <f t="shared" si="21"/>
        <v>0</v>
      </c>
      <c r="E77" s="825"/>
      <c r="F77" s="2506"/>
      <c r="G77" s="1286"/>
      <c r="H77" s="1290" t="str">
        <f t="shared" si="22"/>
        <v>——</v>
      </c>
      <c r="I77" s="819">
        <v>0.15</v>
      </c>
      <c r="J77" s="1287">
        <f t="shared" si="23"/>
        <v>0</v>
      </c>
      <c r="K77" s="1287">
        <f t="shared" si="24"/>
        <v>0</v>
      </c>
      <c r="L77" s="1287">
        <v>0</v>
      </c>
      <c r="M77" s="1287">
        <f t="shared" si="25"/>
        <v>0</v>
      </c>
      <c r="N77" s="1287">
        <f t="shared" si="25"/>
        <v>0</v>
      </c>
      <c r="Z77" s="2725"/>
      <c r="AA77" s="2801"/>
      <c r="AG77" s="1374"/>
      <c r="AK77" s="2801"/>
    </row>
    <row r="78" spans="1:37" ht="24.75" thickBot="1">
      <c r="A78" s="2891" t="s">
        <v>2968</v>
      </c>
      <c r="B78" s="2895"/>
      <c r="C78" s="2775"/>
      <c r="D78" s="1288">
        <f t="shared" si="21"/>
        <v>0</v>
      </c>
      <c r="E78" s="826"/>
      <c r="F78" s="2506"/>
      <c r="G78" s="1286"/>
      <c r="H78" s="1290" t="str">
        <f t="shared" si="22"/>
        <v>——</v>
      </c>
      <c r="I78" s="823">
        <v>0.04</v>
      </c>
      <c r="J78" s="1287">
        <f t="shared" si="23"/>
        <v>0</v>
      </c>
      <c r="K78" s="1287">
        <f t="shared" si="24"/>
        <v>0</v>
      </c>
      <c r="L78" s="1287">
        <v>0</v>
      </c>
      <c r="M78" s="1287">
        <f t="shared" si="25"/>
        <v>0</v>
      </c>
      <c r="N78" s="1287">
        <f t="shared" si="25"/>
        <v>0</v>
      </c>
      <c r="Z78" s="2725"/>
      <c r="AA78" s="2801"/>
      <c r="AG78" s="1374"/>
      <c r="AK78" s="2801"/>
    </row>
    <row r="79" spans="1:37" ht="15">
      <c r="A79" s="2879" t="s">
        <v>2969</v>
      </c>
      <c r="B79" s="2880">
        <f>1+E81</f>
        <v>1</v>
      </c>
      <c r="C79" s="813"/>
      <c r="D79" s="813"/>
      <c r="E79" s="814"/>
      <c r="F79" s="2882"/>
      <c r="G79" s="6"/>
      <c r="H79" s="6"/>
      <c r="I79" s="6"/>
      <c r="J79" s="7"/>
      <c r="K79" s="7"/>
      <c r="L79" s="7"/>
      <c r="M79" s="7"/>
      <c r="N79" s="7"/>
      <c r="Z79" s="2725"/>
      <c r="AA79" s="2801"/>
      <c r="AG79" s="1374"/>
      <c r="AK79" s="2801"/>
    </row>
    <row r="80" spans="1:37" ht="24.75">
      <c r="A80" s="2883" t="s">
        <v>2943</v>
      </c>
      <c r="B80" s="1811"/>
      <c r="C80" s="1811" t="s">
        <v>2945</v>
      </c>
      <c r="D80" s="1811" t="s">
        <v>2946</v>
      </c>
      <c r="E80" s="818" t="s">
        <v>2947</v>
      </c>
      <c r="F80" s="2884" t="s">
        <v>2963</v>
      </c>
      <c r="G80" s="1811" t="s">
        <v>754</v>
      </c>
      <c r="H80" s="2885" t="s">
        <v>2949</v>
      </c>
      <c r="I80" s="1811" t="s">
        <v>2950</v>
      </c>
      <c r="J80" s="602" t="s">
        <v>2598</v>
      </c>
      <c r="K80" s="602" t="s">
        <v>2599</v>
      </c>
      <c r="L80" s="602" t="s">
        <v>2600</v>
      </c>
      <c r="M80" s="602" t="s">
        <v>2601</v>
      </c>
      <c r="N80" s="602" t="s">
        <v>2602</v>
      </c>
      <c r="Z80" s="2725"/>
      <c r="AA80" s="2801"/>
      <c r="AG80" s="1374"/>
      <c r="AK80" s="2801"/>
    </row>
    <row r="81" spans="1:37" ht="38.25">
      <c r="A81" s="2883" t="s">
        <v>2970</v>
      </c>
      <c r="B81" s="2887" t="str">
        <f>估价对象房地状况!G15</f>
        <v>估价对象位于XX开发区，园区建设成熟度XX，产业集聚程度XX</v>
      </c>
      <c r="C81" s="2775"/>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5"/>
      <c r="AA81" s="2801"/>
      <c r="AG81" s="1374"/>
      <c r="AK81" s="2801"/>
    </row>
    <row r="82" spans="1:37" ht="51">
      <c r="A82" s="2883" t="s">
        <v>2952</v>
      </c>
      <c r="B82" s="2887" t="str">
        <f>估价对象房地状况!G16</f>
        <v>估价对象周边道路状况、公共交通通达情况、停车便捷程度，综合评价交通便捷度较好</v>
      </c>
      <c r="C82" s="2775"/>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5"/>
      <c r="AA82" s="2801"/>
      <c r="AG82" s="1374"/>
      <c r="AK82" s="2801"/>
    </row>
    <row r="83" spans="1:37" ht="24">
      <c r="A83" s="2883" t="s">
        <v>2953</v>
      </c>
      <c r="B83" s="2887">
        <f>估价对象房地状况!G17</f>
        <v>0</v>
      </c>
      <c r="C83" s="2775"/>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5"/>
      <c r="AA83" s="2801"/>
      <c r="AG83" s="1374"/>
      <c r="AK83" s="2801"/>
    </row>
    <row r="84" spans="1:37" ht="14.25">
      <c r="A84" s="2883" t="s">
        <v>2967</v>
      </c>
      <c r="B84" s="2887">
        <f>估价对象房地状况!G22</f>
        <v>0</v>
      </c>
      <c r="C84" s="2775"/>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5"/>
      <c r="AA84" s="2801"/>
      <c r="AG84" s="1374"/>
      <c r="AK84" s="2801"/>
    </row>
    <row r="85" spans="1:37" ht="25.5">
      <c r="A85" s="2883" t="s">
        <v>2959</v>
      </c>
      <c r="B85" s="1727" t="str">
        <f>估价对象房地状况!G19</f>
        <v>估价对象所在区域公共配套设施齐备情况</v>
      </c>
      <c r="C85" s="2775"/>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5"/>
      <c r="AA85" s="2801"/>
      <c r="AG85" s="1374"/>
      <c r="AK85" s="2801"/>
    </row>
    <row r="86" spans="1:37" ht="25.5">
      <c r="A86" s="2883" t="s">
        <v>2960</v>
      </c>
      <c r="B86" s="1727" t="str">
        <f>估价对象房地状况!G20</f>
        <v>估价对象所在区域基础设施水平</v>
      </c>
      <c r="C86" s="2775"/>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5"/>
      <c r="AA86" s="2801"/>
      <c r="AG86" s="1374"/>
      <c r="AK86" s="2801"/>
    </row>
    <row r="87" spans="1:37" ht="24">
      <c r="A87" s="2883" t="s">
        <v>2957</v>
      </c>
      <c r="B87" s="2889" t="s">
        <v>2971</v>
      </c>
      <c r="C87" s="2775"/>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5"/>
      <c r="AA87" s="2801"/>
      <c r="AG87" s="1374"/>
      <c r="AK87" s="2801"/>
    </row>
    <row r="88" spans="1:37" ht="39" thickBot="1">
      <c r="A88" s="2891" t="s">
        <v>2972</v>
      </c>
      <c r="B88" s="2896" t="str">
        <f>估价对象房地状况!G18</f>
        <v>该园区内是否有污染型企业，绿化情况，卫生条件，整体环境状况判断</v>
      </c>
      <c r="C88" s="2775"/>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5"/>
      <c r="AA88" s="2801"/>
      <c r="AG88" s="1374"/>
      <c r="AK88" s="2801"/>
    </row>
    <row r="90" spans="1:37">
      <c r="A90" s="3260" t="s">
        <v>2973</v>
      </c>
      <c r="B90" s="3260"/>
      <c r="C90" s="3260"/>
      <c r="D90" s="3260"/>
      <c r="E90" s="3260"/>
      <c r="F90" s="3260"/>
      <c r="G90" s="3260"/>
      <c r="H90" s="3260"/>
      <c r="I90" s="3260"/>
      <c r="J90" s="3260"/>
      <c r="K90" s="2897"/>
      <c r="L90" s="2897"/>
      <c r="M90" s="2897"/>
      <c r="N90" s="2897"/>
    </row>
    <row r="91" spans="1:37">
      <c r="A91" s="3262" t="s">
        <v>2974</v>
      </c>
      <c r="B91" s="3262" t="s">
        <v>2975</v>
      </c>
      <c r="C91" s="2851" t="s">
        <v>2976</v>
      </c>
      <c r="D91" s="2852"/>
      <c r="E91" s="2852"/>
      <c r="F91" s="2852"/>
      <c r="G91" s="2852"/>
      <c r="H91" s="2852"/>
      <c r="I91" s="2852"/>
      <c r="J91" s="2898"/>
      <c r="K91" s="2899"/>
      <c r="L91" s="2899"/>
      <c r="M91" s="2899"/>
      <c r="N91" s="2899"/>
    </row>
    <row r="92" spans="1:37">
      <c r="A92" s="3262"/>
      <c r="B92" s="3262"/>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3"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4"/>
      <c r="B99" s="2900" t="s">
        <v>2858</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6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3" t="s">
        <v>2978</v>
      </c>
      <c r="B101" s="2904" t="s">
        <v>2979</v>
      </c>
      <c r="C101" s="2905">
        <f>$G$3</f>
        <v>2.2000000000000002</v>
      </c>
      <c r="D101" s="2905">
        <f t="shared" ref="D101:N101" si="32">$G$3</f>
        <v>2.2000000000000002</v>
      </c>
      <c r="E101" s="2905">
        <f t="shared" si="32"/>
        <v>2.2000000000000002</v>
      </c>
      <c r="F101" s="2905">
        <f t="shared" si="32"/>
        <v>2.2000000000000002</v>
      </c>
      <c r="G101" s="2905">
        <f t="shared" si="32"/>
        <v>2.2000000000000002</v>
      </c>
      <c r="H101" s="2905">
        <f t="shared" si="32"/>
        <v>2.2000000000000002</v>
      </c>
      <c r="I101" s="2905">
        <f t="shared" si="32"/>
        <v>2.2000000000000002</v>
      </c>
      <c r="J101" s="2905">
        <f t="shared" si="32"/>
        <v>2.2000000000000002</v>
      </c>
      <c r="K101" s="2905">
        <f t="shared" si="32"/>
        <v>2.2000000000000002</v>
      </c>
      <c r="L101" s="2905">
        <f t="shared" si="32"/>
        <v>2.2000000000000002</v>
      </c>
      <c r="M101" s="2905">
        <f t="shared" si="32"/>
        <v>2.2000000000000002</v>
      </c>
      <c r="N101" s="2905">
        <f t="shared" si="32"/>
        <v>2.2000000000000002</v>
      </c>
    </row>
    <row r="102" spans="1:14">
      <c r="A102" s="3264"/>
      <c r="B102" s="2900">
        <v>1</v>
      </c>
      <c r="C102" s="2901">
        <f>1.9362/C101</f>
        <v>0.88009090909090903</v>
      </c>
      <c r="D102" s="2901">
        <f>1.9362/D101</f>
        <v>0.88009090909090903</v>
      </c>
      <c r="E102" s="2901">
        <f>1.8629/E101</f>
        <v>0.84677272727272723</v>
      </c>
      <c r="F102" s="2901">
        <f>1.8629/F101</f>
        <v>0.84677272727272723</v>
      </c>
      <c r="G102" s="2901">
        <f>1.8629/G101</f>
        <v>0.84677272727272723</v>
      </c>
      <c r="H102" s="2901">
        <f>1.8629/H101</f>
        <v>0.84677272727272723</v>
      </c>
      <c r="I102" s="2901">
        <f>1.8629/I101</f>
        <v>0.84677272727272723</v>
      </c>
      <c r="J102" s="2901">
        <f>1.942/J101</f>
        <v>0.88272727272727258</v>
      </c>
      <c r="K102" s="2901">
        <f>1.942/K101</f>
        <v>0.88272727272727258</v>
      </c>
      <c r="L102" s="2901">
        <f>1.942/L101</f>
        <v>0.88272727272727258</v>
      </c>
      <c r="M102" s="2901">
        <f>1.942/M101</f>
        <v>0.88272727272727258</v>
      </c>
      <c r="N102" s="2901">
        <f>1.942/N101</f>
        <v>0.88272727272727258</v>
      </c>
    </row>
    <row r="103" spans="1:14">
      <c r="A103" s="3264"/>
      <c r="B103" s="2900">
        <v>2</v>
      </c>
      <c r="C103" s="2901">
        <f>1.4198/C101</f>
        <v>0.64536363636363625</v>
      </c>
      <c r="D103" s="2901">
        <f>1.4198/D101</f>
        <v>0.64536363636363625</v>
      </c>
      <c r="E103" s="2901">
        <f>1.3372/E101</f>
        <v>0.6078181818181817</v>
      </c>
      <c r="F103" s="2901">
        <f>1.3372/F101</f>
        <v>0.6078181818181817</v>
      </c>
      <c r="G103" s="2901">
        <f>1.3372/G101</f>
        <v>0.6078181818181817</v>
      </c>
      <c r="H103" s="2901">
        <f>1.3372/H101</f>
        <v>0.6078181818181817</v>
      </c>
      <c r="I103" s="2901">
        <f>1.3372/I101</f>
        <v>0.6078181818181817</v>
      </c>
      <c r="J103" s="2901">
        <f>1.2799/J101</f>
        <v>0.58177272727272722</v>
      </c>
      <c r="K103" s="2901">
        <f>1.2799/K101</f>
        <v>0.58177272727272722</v>
      </c>
      <c r="L103" s="2901">
        <f>1.2799/L101</f>
        <v>0.58177272727272722</v>
      </c>
      <c r="M103" s="2901">
        <f>1.2799/M101</f>
        <v>0.58177272727272722</v>
      </c>
      <c r="N103" s="2901">
        <f>1.2799/N101</f>
        <v>0.58177272727272722</v>
      </c>
    </row>
    <row r="104" spans="1:14">
      <c r="A104" s="3264"/>
      <c r="B104" s="2900">
        <v>3</v>
      </c>
      <c r="C104" s="2901">
        <f>1.1594/C101</f>
        <v>0.52699999999999991</v>
      </c>
      <c r="D104" s="2901">
        <f>1.1594/D101</f>
        <v>0.52699999999999991</v>
      </c>
      <c r="E104" s="2901">
        <f>1.0788/E101</f>
        <v>0.49036363636363633</v>
      </c>
      <c r="F104" s="2901">
        <f>1.0788/F101</f>
        <v>0.49036363636363633</v>
      </c>
      <c r="G104" s="2901">
        <f>1.0788/G101</f>
        <v>0.49036363636363633</v>
      </c>
      <c r="H104" s="2901">
        <f>1.0788/H101</f>
        <v>0.49036363636363633</v>
      </c>
      <c r="I104" s="2901">
        <f>1.0788/I101</f>
        <v>0.49036363636363633</v>
      </c>
      <c r="J104" s="2901">
        <f>1.0072/J101</f>
        <v>0.45781818181818185</v>
      </c>
      <c r="K104" s="2901">
        <f>1.0072/K101</f>
        <v>0.45781818181818185</v>
      </c>
      <c r="L104" s="2901">
        <f>1.0072/L101</f>
        <v>0.45781818181818185</v>
      </c>
      <c r="M104" s="2901">
        <f>1.0072/M101</f>
        <v>0.45781818181818185</v>
      </c>
      <c r="N104" s="2901">
        <f>1.0072/N101</f>
        <v>0.45781818181818185</v>
      </c>
    </row>
    <row r="105" spans="1:14">
      <c r="A105" s="3264"/>
      <c r="B105" s="2900">
        <v>4</v>
      </c>
      <c r="C105" s="2901">
        <f>0.9622/C101</f>
        <v>0.43736363636363634</v>
      </c>
      <c r="D105" s="2901">
        <f>0.9622/D101</f>
        <v>0.43736363636363634</v>
      </c>
      <c r="E105" s="2901">
        <f>0.8656/E101</f>
        <v>0.39345454545454545</v>
      </c>
      <c r="F105" s="2901">
        <f>0.8656/F101</f>
        <v>0.39345454545454545</v>
      </c>
      <c r="G105" s="2901">
        <f>0.8656/G101</f>
        <v>0.39345454545454545</v>
      </c>
      <c r="H105" s="2901">
        <f>0.8656/H101</f>
        <v>0.39345454545454545</v>
      </c>
      <c r="I105" s="2901">
        <f>0.8656/I101</f>
        <v>0.39345454545454545</v>
      </c>
      <c r="J105" s="2901">
        <f>0.7525/J101</f>
        <v>0.34204545454545449</v>
      </c>
      <c r="K105" s="2901">
        <f>0.7525/K101</f>
        <v>0.34204545454545449</v>
      </c>
      <c r="L105" s="2901">
        <f>0.7525/L101</f>
        <v>0.34204545454545449</v>
      </c>
      <c r="M105" s="2901">
        <f>0.7525/M101</f>
        <v>0.34204545454545449</v>
      </c>
      <c r="N105" s="2901">
        <f>0.7525/N101</f>
        <v>0.34204545454545449</v>
      </c>
    </row>
    <row r="106" spans="1:14">
      <c r="A106" s="3264"/>
      <c r="B106" s="2900">
        <v>5</v>
      </c>
      <c r="C106" s="2901">
        <f>0.8417/C101</f>
        <v>0.38259090909090904</v>
      </c>
      <c r="D106" s="2901">
        <f>0.8417/D101</f>
        <v>0.38259090909090904</v>
      </c>
      <c r="E106" s="2901">
        <f>0.7371/E101</f>
        <v>0.33504545454545454</v>
      </c>
      <c r="F106" s="2901">
        <f>0.7371/F101</f>
        <v>0.33504545454545454</v>
      </c>
      <c r="G106" s="2901">
        <f>0.7371/G101</f>
        <v>0.33504545454545454</v>
      </c>
      <c r="H106" s="2901">
        <f>0.7371/H101</f>
        <v>0.33504545454545454</v>
      </c>
      <c r="I106" s="2901">
        <f>0.7371/I101</f>
        <v>0.33504545454545454</v>
      </c>
      <c r="J106" s="2901">
        <f>0.5659/J101</f>
        <v>0.25722727272727269</v>
      </c>
      <c r="K106" s="2901">
        <f>0.5659/K101</f>
        <v>0.25722727272727269</v>
      </c>
      <c r="L106" s="2901">
        <f>0.5659/L101</f>
        <v>0.25722727272727269</v>
      </c>
      <c r="M106" s="2901">
        <f>0.5659/M101</f>
        <v>0.25722727272727269</v>
      </c>
      <c r="N106" s="2901">
        <f>0.5659/N101</f>
        <v>0.25722727272727269</v>
      </c>
    </row>
    <row r="107" spans="1:14">
      <c r="A107" s="3264"/>
      <c r="B107" s="2900">
        <v>6</v>
      </c>
      <c r="C107" s="2901">
        <f>0.7608/C101</f>
        <v>0.3458181818181818</v>
      </c>
      <c r="D107" s="2901">
        <f>0.7608/D101</f>
        <v>0.3458181818181818</v>
      </c>
      <c r="E107" s="2901">
        <f>0.6482/E101</f>
        <v>0.29463636363636359</v>
      </c>
      <c r="F107" s="2901">
        <f>0.6482/F101</f>
        <v>0.29463636363636359</v>
      </c>
      <c r="G107" s="2901">
        <f>0.6482/G101</f>
        <v>0.29463636363636359</v>
      </c>
      <c r="H107" s="2901">
        <f>0.6482/H101</f>
        <v>0.29463636363636359</v>
      </c>
      <c r="I107" s="2901">
        <f>0.6482/I101</f>
        <v>0.29463636363636359</v>
      </c>
      <c r="J107" s="2901">
        <f>0.4525/J101</f>
        <v>0.20568181818181816</v>
      </c>
      <c r="K107" s="2901">
        <f>0.4525/K101</f>
        <v>0.20568181818181816</v>
      </c>
      <c r="L107" s="2901">
        <f>0.4525/L101</f>
        <v>0.20568181818181816</v>
      </c>
      <c r="M107" s="2901">
        <f>0.4525/M101</f>
        <v>0.20568181818181816</v>
      </c>
      <c r="N107" s="2901">
        <f>0.4525/N101</f>
        <v>0.20568181818181816</v>
      </c>
    </row>
    <row r="108" spans="1:14">
      <c r="A108" s="3264"/>
      <c r="B108" s="3189" t="s">
        <v>2980</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65"/>
      <c r="B109" s="3190"/>
      <c r="C109" s="2903">
        <f>(-0.163*(C108^2)-0.59*C108+7617)*(10^(-4))/C101</f>
        <v>0.34622727272727272</v>
      </c>
      <c r="D109" s="2903">
        <f>(-0.163*(D108^2)-0.59*D108+7617)*(10^(-4))/D101</f>
        <v>0.34622727272727272</v>
      </c>
      <c r="E109" s="2903">
        <f>(-0.161*(E108^2)-7.509*E108+6533)*(10^(-4))/E101</f>
        <v>0.29695454545454542</v>
      </c>
      <c r="F109" s="2903">
        <f>(-0.161*(F108^2)-7.509*F108+6533)*(10^(-4))/F101</f>
        <v>0.29695454545454542</v>
      </c>
      <c r="G109" s="2903">
        <f>(-0.161*(G108^2)-7.509*G108+6533)*(10^(-4))/G101</f>
        <v>0.29695454545454542</v>
      </c>
      <c r="H109" s="2903">
        <f>(-0.161*(H108^2)-7.509*H108+6533)*(10^(-4))/H101</f>
        <v>0.29695454545454542</v>
      </c>
      <c r="I109" s="2903">
        <f>(-0.161*(I108^2)-7.509*I108+6533)*(10^(-4))/I101</f>
        <v>0.29695454545454542</v>
      </c>
      <c r="J109" s="2903">
        <f>(-0.214*(J108^2)-21.991*J108+4665)*(10^(-4))/J101</f>
        <v>0.21204545454545454</v>
      </c>
      <c r="K109" s="2903">
        <f>(-0.214*(K108^2)-21.991*K108+4665)*(10^(-4))/K101</f>
        <v>0.21204545454545454</v>
      </c>
      <c r="L109" s="2903">
        <f>(-0.214*(L108^2)-21.991*L108+4665)*(10^(-4))/L101</f>
        <v>0.21204545454545454</v>
      </c>
      <c r="M109" s="2903">
        <f>(-0.214*(M108^2)-21.991*M108+4665)*(10^(-4))/M101</f>
        <v>0.21204545454545454</v>
      </c>
      <c r="N109" s="2903">
        <f>(-0.214*(N108^2)-21.991*N108+4665)*(10^(-4))/N101</f>
        <v>0.21204545454545454</v>
      </c>
    </row>
    <row r="110" spans="1:14">
      <c r="A110" s="3261" t="s">
        <v>2981</v>
      </c>
      <c r="B110" s="3261"/>
      <c r="C110" s="3261"/>
      <c r="D110" s="3261"/>
      <c r="E110" s="3261"/>
      <c r="F110" s="3261"/>
      <c r="G110" s="3261"/>
      <c r="H110" s="3261"/>
      <c r="I110" s="3261"/>
      <c r="J110" s="3261"/>
      <c r="K110" s="2906"/>
      <c r="L110" s="2906"/>
      <c r="M110" s="2906"/>
      <c r="N110" s="2906"/>
    </row>
    <row r="112" spans="1:14" ht="13.5" thickBot="1"/>
    <row r="113" spans="1:13" ht="25.5" thickBot="1">
      <c r="A113" s="902" t="s">
        <v>2982</v>
      </c>
      <c r="B113" s="1289">
        <f>G3</f>
        <v>2.2000000000000002</v>
      </c>
      <c r="C113" s="903" t="s">
        <v>2983</v>
      </c>
      <c r="D113" s="904">
        <f>SUMPRODUCT((A115:A118=F113)*(B114:M114=H113)*B115:M118)</f>
        <v>0.65490000000000004</v>
      </c>
      <c r="E113" s="2729" t="s">
        <v>2815</v>
      </c>
      <c r="F113" s="2908" t="str">
        <f>E2</f>
        <v>商业</v>
      </c>
      <c r="G113" s="2729" t="s">
        <v>2816</v>
      </c>
      <c r="H113" s="2908" t="str">
        <f>G2</f>
        <v>八级</v>
      </c>
      <c r="I113" s="2729"/>
      <c r="J113" s="2909"/>
      <c r="K113" s="2909"/>
      <c r="L113" s="2909"/>
      <c r="M113" s="2909"/>
    </row>
    <row r="114" spans="1:13">
      <c r="A114" s="907"/>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8" t="s">
        <v>2880</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2881</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2882</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2883</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sheet="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10" sqref="F1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f>F66</f>
        <v>161045</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f>ROUND(IF(D3="",B2*10000/'数据-汇总表'!E3,B2*10000/D3),0)</f>
        <v>10186</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96" t="s">
        <v>2647</v>
      </c>
      <c r="D4" s="3297"/>
      <c r="E4" s="3298" t="s">
        <v>2648</v>
      </c>
      <c r="F4" s="3299"/>
      <c r="G4" s="3296" t="s">
        <v>2649</v>
      </c>
      <c r="H4" s="3297"/>
      <c r="I4" s="3296" t="s">
        <v>2650</v>
      </c>
      <c r="J4" s="3297"/>
      <c r="K4" s="609" t="s">
        <v>2651</v>
      </c>
      <c r="L4" s="1132"/>
      <c r="M4" s="1133"/>
      <c r="N4" s="1133"/>
      <c r="O4" s="1133"/>
      <c r="P4" s="3300" t="s">
        <v>2652</v>
      </c>
      <c r="Q4" s="3301"/>
      <c r="R4" s="3283" t="s">
        <v>2648</v>
      </c>
      <c r="S4" s="3284"/>
      <c r="T4" s="3283" t="s">
        <v>2649</v>
      </c>
      <c r="U4" s="3284"/>
      <c r="V4" s="3308" t="s">
        <v>2650</v>
      </c>
      <c r="W4" s="3308"/>
      <c r="X4" s="1815"/>
      <c r="Y4" s="3283" t="s">
        <v>2652</v>
      </c>
      <c r="Z4" s="3284"/>
      <c r="AA4" s="3278" t="s">
        <v>2648</v>
      </c>
      <c r="AB4" s="3279" t="s">
        <v>2649</v>
      </c>
      <c r="AC4" s="3278" t="s">
        <v>2650</v>
      </c>
    </row>
    <row r="5" spans="1:30" ht="15">
      <c r="A5" s="403"/>
      <c r="B5" s="404"/>
      <c r="C5" s="3289" t="s">
        <v>2543</v>
      </c>
      <c r="D5" s="3290"/>
      <c r="E5" s="3287" t="str">
        <f>土地案例!A4</f>
        <v>北京市昌平区沙河镇七里渠南北村土地一级开发项目CP00-1600-0016、CP00-1804-0007地块F2公建混合住宅用地</v>
      </c>
      <c r="F5" s="3288"/>
      <c r="G5" s="3289" t="str">
        <f>土地案例!A12</f>
        <v>昌平区南邵镇(昌平新城东区六期(东))0302-57地块</v>
      </c>
      <c r="H5" s="3290"/>
      <c r="I5" s="3289" t="str">
        <f>土地案例!A13</f>
        <v>昌平区南邵镇(昌平新城东区六期(东))0302-70地块</v>
      </c>
      <c r="J5" s="3290"/>
      <c r="K5" s="609"/>
      <c r="L5" s="1132"/>
      <c r="M5" s="1133"/>
      <c r="N5" s="1133"/>
      <c r="O5" s="1133"/>
      <c r="P5" s="3302"/>
      <c r="Q5" s="3303"/>
      <c r="R5" s="3285"/>
      <c r="S5" s="3286"/>
      <c r="T5" s="3285"/>
      <c r="U5" s="3286"/>
      <c r="V5" s="3308"/>
      <c r="W5" s="3308"/>
      <c r="X5" s="1815"/>
      <c r="Y5" s="3285"/>
      <c r="Z5" s="3286"/>
      <c r="AA5" s="3279"/>
      <c r="AB5" s="3279"/>
      <c r="AC5" s="3279"/>
    </row>
    <row r="6" spans="1:30" ht="15.75" thickBot="1">
      <c r="A6" s="405"/>
      <c r="B6" s="406"/>
      <c r="C6" s="3291" t="s">
        <v>2547</v>
      </c>
      <c r="D6" s="3292"/>
      <c r="E6" s="3293" t="s">
        <v>2547</v>
      </c>
      <c r="F6" s="3294"/>
      <c r="G6" s="3291" t="s">
        <v>2547</v>
      </c>
      <c r="H6" s="3292"/>
      <c r="I6" s="3291" t="s">
        <v>2547</v>
      </c>
      <c r="J6" s="3292"/>
      <c r="K6" s="609" t="s">
        <v>2548</v>
      </c>
      <c r="L6" s="1132"/>
      <c r="M6" s="1133"/>
      <c r="N6" s="1133"/>
      <c r="O6" s="1133"/>
      <c r="P6" s="3304"/>
      <c r="Q6" s="3305"/>
      <c r="R6" s="3285"/>
      <c r="S6" s="3286"/>
      <c r="T6" s="3306"/>
      <c r="U6" s="3307"/>
      <c r="V6" s="3308"/>
      <c r="W6" s="3308"/>
      <c r="X6" s="1815"/>
      <c r="Y6" s="3306"/>
      <c r="Z6" s="3307"/>
      <c r="AA6" s="3280"/>
      <c r="AB6" s="3280"/>
      <c r="AC6" s="3280"/>
    </row>
    <row r="7" spans="1:30" s="116" customFormat="1" ht="15.75" thickBot="1">
      <c r="A7" s="407" t="s">
        <v>2549</v>
      </c>
      <c r="B7" s="408"/>
      <c r="C7" s="409">
        <f>'数据-取费表'!B2</f>
        <v>43481</v>
      </c>
      <c r="D7" s="410">
        <v>100</v>
      </c>
      <c r="E7" s="411" t="str">
        <f>土地案例!H4</f>
        <v>2018-11-05</v>
      </c>
      <c r="F7" s="412">
        <f>SUMIF(70:70,YEAR(E7)&amp;"-"&amp;INT((MONTH(E7)+2)/3),71:71)</f>
        <v>99.5</v>
      </c>
      <c r="G7" s="2701" t="str">
        <f>土地案例!H12</f>
        <v>2016-05-05</v>
      </c>
      <c r="H7" s="410">
        <f>SUMIF(70:70,YEAR(G7)&amp;"-"&amp;INT((MONTH(G7)+2)/3),71:71)</f>
        <v>94.5</v>
      </c>
      <c r="I7" s="2701" t="str">
        <f>土地案例!H13</f>
        <v>2016-05-05</v>
      </c>
      <c r="J7" s="410">
        <f>SUMIF(70:70,YEAR(I7)&amp;"-"&amp;INT((MONTH(I7)+2)/3),71:71)</f>
        <v>94.5</v>
      </c>
      <c r="K7" s="610"/>
      <c r="L7" s="1134"/>
      <c r="M7" s="1135"/>
      <c r="N7" s="1135"/>
      <c r="O7" s="1135"/>
      <c r="P7" s="3281" t="s">
        <v>2550</v>
      </c>
      <c r="Q7" s="3309"/>
      <c r="R7" s="769" t="s">
        <v>17</v>
      </c>
      <c r="S7" s="770">
        <f t="shared" ref="S7:S15" si="0">F7</f>
        <v>99.5</v>
      </c>
      <c r="T7" s="769" t="s">
        <v>17</v>
      </c>
      <c r="U7" s="770">
        <f t="shared" ref="U7:U15" si="1">H7</f>
        <v>94.5</v>
      </c>
      <c r="V7" s="769" t="s">
        <v>17</v>
      </c>
      <c r="W7" s="770">
        <f t="shared" ref="W7:W15" si="2">J7</f>
        <v>94.5</v>
      </c>
      <c r="X7" s="771"/>
      <c r="Y7" s="3281" t="s">
        <v>2550</v>
      </c>
      <c r="Z7" s="3282"/>
      <c r="AA7" s="772">
        <f>D7/F7</f>
        <v>1.0050251256281406</v>
      </c>
      <c r="AB7" s="772">
        <f>D7/H7</f>
        <v>1.0582010582010581</v>
      </c>
      <c r="AC7" s="772">
        <f>D7/J7</f>
        <v>1.0582010582010581</v>
      </c>
    </row>
    <row r="8" spans="1:30" s="116" customFormat="1" ht="15.75" thickBot="1">
      <c r="A8" s="407" t="s">
        <v>2551</v>
      </c>
      <c r="B8" s="408"/>
      <c r="C8" s="413" t="s">
        <v>2552</v>
      </c>
      <c r="D8" s="410">
        <v>100</v>
      </c>
      <c r="E8" s="2980" t="s">
        <v>3307</v>
      </c>
      <c r="F8" s="412">
        <f>SUMIF(73:73,E8,74:74)-SUMIF(73:73,C8,74:74)+100</f>
        <v>100</v>
      </c>
      <c r="G8" s="2980" t="s">
        <v>3307</v>
      </c>
      <c r="H8" s="410">
        <f>SUMIF(73:73,G8,74:74)-SUMIF(73:73,C8,74:74)+100</f>
        <v>100</v>
      </c>
      <c r="I8" s="2980" t="s">
        <v>3307</v>
      </c>
      <c r="J8" s="410">
        <f>SUMIF(73:73,I8,74:74)-SUMIF(73:73,C8,74:74)+100</f>
        <v>100</v>
      </c>
      <c r="K8" s="610"/>
      <c r="L8" s="1134"/>
      <c r="M8" s="1135"/>
      <c r="N8" s="1135"/>
      <c r="O8" s="1135"/>
      <c r="P8" s="3281" t="s">
        <v>2553</v>
      </c>
      <c r="Q8" s="3282"/>
      <c r="R8" s="769" t="s">
        <v>17</v>
      </c>
      <c r="S8" s="770">
        <f t="shared" si="0"/>
        <v>100</v>
      </c>
      <c r="T8" s="769" t="s">
        <v>17</v>
      </c>
      <c r="U8" s="770">
        <f t="shared" si="1"/>
        <v>100</v>
      </c>
      <c r="V8" s="769" t="s">
        <v>17</v>
      </c>
      <c r="W8" s="770">
        <f t="shared" si="2"/>
        <v>100</v>
      </c>
      <c r="X8" s="771"/>
      <c r="Y8" s="3281" t="s">
        <v>2553</v>
      </c>
      <c r="Z8" s="3282"/>
      <c r="AA8" s="772">
        <f t="shared" ref="AA8:AA45" si="3">D8/F8</f>
        <v>1</v>
      </c>
      <c r="AB8" s="772">
        <f t="shared" ref="AB8:AB45" si="4">D8/H8</f>
        <v>1</v>
      </c>
      <c r="AC8" s="772">
        <f t="shared" ref="AC8:AC45" si="5">D8/J8</f>
        <v>1</v>
      </c>
    </row>
    <row r="9" spans="1:30" s="116" customFormat="1">
      <c r="A9" s="414" t="s">
        <v>2554</v>
      </c>
      <c r="B9" s="70" t="s">
        <v>2555</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295" t="s">
        <v>2556</v>
      </c>
      <c r="Q9" s="1797" t="str">
        <f t="shared" ref="Q9:Q15" si="6">B9</f>
        <v>用途</v>
      </c>
      <c r="R9" s="769" t="s">
        <v>17</v>
      </c>
      <c r="S9" s="770">
        <f t="shared" si="0"/>
        <v>100</v>
      </c>
      <c r="T9" s="769" t="s">
        <v>17</v>
      </c>
      <c r="U9" s="770">
        <f t="shared" si="1"/>
        <v>100</v>
      </c>
      <c r="V9" s="769" t="s">
        <v>17</v>
      </c>
      <c r="W9" s="770">
        <f t="shared" si="2"/>
        <v>100</v>
      </c>
      <c r="X9" s="771"/>
      <c r="Y9" s="3115"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3047">
        <f>ROUND(100/'数据-取费表'!G8,0)</f>
        <v>102</v>
      </c>
      <c r="G10" s="462"/>
      <c r="H10" s="3047">
        <f>ROUND(100/'数据-取费表'!G8,0)</f>
        <v>102</v>
      </c>
      <c r="I10" s="462"/>
      <c r="J10" s="3047">
        <f>ROUND(100/'数据-取费表'!G8,0)</f>
        <v>102</v>
      </c>
      <c r="K10" s="671"/>
      <c r="L10" s="1137"/>
      <c r="M10" s="1138"/>
      <c r="N10" s="1138"/>
      <c r="O10" s="1139"/>
      <c r="P10" s="3295"/>
      <c r="Q10" s="1797" t="str">
        <f t="shared" si="6"/>
        <v>土地使用年限（年）</v>
      </c>
      <c r="R10" s="769" t="s">
        <v>17</v>
      </c>
      <c r="S10" s="770">
        <f t="shared" si="0"/>
        <v>102</v>
      </c>
      <c r="T10" s="769" t="s">
        <v>17</v>
      </c>
      <c r="U10" s="770">
        <f t="shared" si="1"/>
        <v>102</v>
      </c>
      <c r="V10" s="769" t="s">
        <v>17</v>
      </c>
      <c r="W10" s="770">
        <f t="shared" si="2"/>
        <v>102</v>
      </c>
      <c r="X10" s="771"/>
      <c r="Y10" s="3115"/>
      <c r="Z10" s="54" t="str">
        <f t="shared" si="7"/>
        <v>土地使用年限（年）</v>
      </c>
      <c r="AA10" s="772">
        <f t="shared" si="3"/>
        <v>0.98039215686274506</v>
      </c>
      <c r="AB10" s="772">
        <f t="shared" si="4"/>
        <v>0.98039215686274506</v>
      </c>
      <c r="AC10" s="772">
        <f t="shared" si="5"/>
        <v>0.98039215686274506</v>
      </c>
    </row>
    <row r="11" spans="1:30" ht="15">
      <c r="A11" s="427"/>
      <c r="B11" s="421" t="s">
        <v>2559</v>
      </c>
      <c r="C11" s="428">
        <f>'数据-汇总表'!I4</f>
        <v>2.2000000000000002</v>
      </c>
      <c r="D11" s="135">
        <v>100</v>
      </c>
      <c r="E11" s="428">
        <f>土地案例!F4</f>
        <v>2.93</v>
      </c>
      <c r="F11" s="135">
        <f>LOOKUP(E11,80:80,81:81)-LOOKUP(C11,80:80,81:81)+100</f>
        <v>100</v>
      </c>
      <c r="G11" s="429">
        <f>土地案例!F12</f>
        <v>2</v>
      </c>
      <c r="H11" s="135">
        <f>LOOKUP(G11,80:80,81:81)-LOOKUP(C11,80:80,81:81)+100</f>
        <v>100</v>
      </c>
      <c r="I11" s="428">
        <f>土地案例!F13</f>
        <v>2</v>
      </c>
      <c r="J11" s="135">
        <f>LOOKUP(I11,80:80,81:81)-LOOKUP(C11,80:80,81:81)+100</f>
        <v>100</v>
      </c>
      <c r="K11" s="672">
        <v>2</v>
      </c>
      <c r="L11" s="1140"/>
      <c r="M11" s="1133"/>
      <c r="N11" s="1133"/>
      <c r="O11" s="1141"/>
      <c r="P11" s="3295"/>
      <c r="Q11" s="1797" t="str">
        <f t="shared" si="6"/>
        <v>容积率</v>
      </c>
      <c r="R11" s="769" t="s">
        <v>17</v>
      </c>
      <c r="S11" s="770">
        <f t="shared" si="0"/>
        <v>100</v>
      </c>
      <c r="T11" s="769" t="s">
        <v>17</v>
      </c>
      <c r="U11" s="770">
        <f t="shared" si="1"/>
        <v>100</v>
      </c>
      <c r="V11" s="769" t="s">
        <v>17</v>
      </c>
      <c r="W11" s="770">
        <f t="shared" si="2"/>
        <v>100</v>
      </c>
      <c r="X11" s="771"/>
      <c r="Y11" s="3115"/>
      <c r="Z11" s="54" t="str">
        <f t="shared" si="7"/>
        <v>容积率</v>
      </c>
      <c r="AA11" s="772">
        <f t="shared" si="3"/>
        <v>1</v>
      </c>
      <c r="AB11" s="772">
        <f t="shared" si="4"/>
        <v>1</v>
      </c>
      <c r="AC11" s="772">
        <f t="shared" si="5"/>
        <v>1</v>
      </c>
    </row>
    <row r="12" spans="1:30" s="116" customFormat="1" ht="15">
      <c r="A12" s="430"/>
      <c r="B12" s="2605"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95"/>
      <c r="Q12" s="1797" t="str">
        <f t="shared" si="6"/>
        <v>配建</v>
      </c>
      <c r="R12" s="769" t="s">
        <v>17</v>
      </c>
      <c r="S12" s="770">
        <f t="shared" si="0"/>
        <v>100</v>
      </c>
      <c r="T12" s="769" t="s">
        <v>17</v>
      </c>
      <c r="U12" s="770">
        <f t="shared" si="1"/>
        <v>100</v>
      </c>
      <c r="V12" s="769" t="s">
        <v>17</v>
      </c>
      <c r="W12" s="770">
        <f t="shared" si="2"/>
        <v>100</v>
      </c>
      <c r="X12" s="771"/>
      <c r="Y12" s="3115"/>
      <c r="Z12" s="54" t="str">
        <f t="shared" si="7"/>
        <v>配建</v>
      </c>
      <c r="AA12" s="772">
        <f>D12/F12</f>
        <v>1</v>
      </c>
      <c r="AB12" s="772">
        <f>D12/H12</f>
        <v>1</v>
      </c>
      <c r="AC12" s="772">
        <f>D12/J12</f>
        <v>1</v>
      </c>
    </row>
    <row r="13" spans="1:30" ht="15">
      <c r="A13" s="427"/>
      <c r="B13" s="3016" t="s">
        <v>3373</v>
      </c>
      <c r="C13" s="3017" t="s">
        <v>3374</v>
      </c>
      <c r="D13" s="434">
        <v>100</v>
      </c>
      <c r="E13" s="3018" t="s">
        <v>3375</v>
      </c>
      <c r="F13" s="135">
        <f>SUMIF(84:84,E13,85:85)-SUMIF(84:84,C13,85:85)+100</f>
        <v>115</v>
      </c>
      <c r="G13" s="3019" t="s">
        <v>3375</v>
      </c>
      <c r="H13" s="434">
        <f>SUMIF(84:84,G13,85:85)-SUMIF(84:84,C13,85:85)+100</f>
        <v>115</v>
      </c>
      <c r="I13" s="3019" t="s">
        <v>3375</v>
      </c>
      <c r="J13" s="434">
        <f>SUMIF(84:84,I13,85:85)-SUMIF(84:84,C13,85:85)+100</f>
        <v>115</v>
      </c>
      <c r="K13" s="671"/>
      <c r="L13" s="1142"/>
      <c r="M13" s="1133"/>
      <c r="N13" s="1133"/>
      <c r="O13" s="1141"/>
      <c r="P13" s="3295"/>
      <c r="Q13" s="1797" t="str">
        <f t="shared" si="6"/>
        <v>销售模式</v>
      </c>
      <c r="R13" s="769" t="s">
        <v>17</v>
      </c>
      <c r="S13" s="770">
        <f t="shared" si="0"/>
        <v>115</v>
      </c>
      <c r="T13" s="769" t="s">
        <v>17</v>
      </c>
      <c r="U13" s="770">
        <f t="shared" si="1"/>
        <v>115</v>
      </c>
      <c r="V13" s="769" t="s">
        <v>17</v>
      </c>
      <c r="W13" s="770">
        <f t="shared" si="2"/>
        <v>115</v>
      </c>
      <c r="X13" s="771"/>
      <c r="Y13" s="3115"/>
      <c r="Z13" s="54" t="str">
        <f t="shared" si="7"/>
        <v>销售模式</v>
      </c>
      <c r="AA13" s="772">
        <f>D13/F13</f>
        <v>0.86956521739130432</v>
      </c>
      <c r="AB13" s="772">
        <f>D13/H13</f>
        <v>0.86956521739130432</v>
      </c>
      <c r="AC13" s="772">
        <f>D13/J13</f>
        <v>0.86956521739130432</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95"/>
      <c r="Q14" s="1797">
        <f t="shared" si="6"/>
        <v>111</v>
      </c>
      <c r="R14" s="769" t="s">
        <v>17</v>
      </c>
      <c r="S14" s="770">
        <f t="shared" si="0"/>
        <v>100</v>
      </c>
      <c r="T14" s="769" t="s">
        <v>17</v>
      </c>
      <c r="U14" s="770">
        <f t="shared" si="1"/>
        <v>100</v>
      </c>
      <c r="V14" s="769" t="s">
        <v>17</v>
      </c>
      <c r="W14" s="770">
        <f t="shared" si="2"/>
        <v>100</v>
      </c>
      <c r="X14" s="771"/>
      <c r="Y14" s="3115"/>
      <c r="Z14" s="54">
        <f t="shared" si="7"/>
        <v>111</v>
      </c>
      <c r="AA14" s="772">
        <f>D14/F14</f>
        <v>1</v>
      </c>
      <c r="AB14" s="772">
        <f>D14/H14</f>
        <v>1</v>
      </c>
      <c r="AC14" s="772">
        <f>D14/J14</f>
        <v>1</v>
      </c>
    </row>
    <row r="15" spans="1:30" ht="99.75">
      <c r="A15" s="3028" t="s">
        <v>2560</v>
      </c>
      <c r="B15" s="68" t="s">
        <v>2085</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10" t="s">
        <v>2561</v>
      </c>
      <c r="Q15" s="1812" t="str">
        <f t="shared" si="6"/>
        <v>居住社区成熟度</v>
      </c>
      <c r="R15" s="773" t="s">
        <v>17</v>
      </c>
      <c r="S15" s="774">
        <f t="shared" si="0"/>
        <v>100</v>
      </c>
      <c r="T15" s="773" t="s">
        <v>17</v>
      </c>
      <c r="U15" s="774">
        <f t="shared" si="1"/>
        <v>100</v>
      </c>
      <c r="V15" s="773" t="s">
        <v>17</v>
      </c>
      <c r="W15" s="774">
        <f t="shared" si="2"/>
        <v>100</v>
      </c>
      <c r="X15" s="1815"/>
      <c r="Y15" s="3310" t="s">
        <v>2561</v>
      </c>
      <c r="Z15" s="1816" t="str">
        <f t="shared" si="7"/>
        <v>居住社区成熟度</v>
      </c>
      <c r="AA15" s="1813">
        <f t="shared" si="3"/>
        <v>1</v>
      </c>
      <c r="AB15" s="1813">
        <f t="shared" si="4"/>
        <v>1</v>
      </c>
      <c r="AC15" s="1813">
        <f t="shared" si="5"/>
        <v>1</v>
      </c>
    </row>
    <row r="16" spans="1:30" ht="15">
      <c r="A16" s="427"/>
      <c r="B16" s="445"/>
      <c r="C16" s="3032" t="s">
        <v>3379</v>
      </c>
      <c r="D16" s="447"/>
      <c r="E16" s="3033" t="s">
        <v>3379</v>
      </c>
      <c r="F16" s="447"/>
      <c r="G16" s="3033" t="s">
        <v>3379</v>
      </c>
      <c r="H16" s="449"/>
      <c r="I16" s="3034" t="s">
        <v>3379</v>
      </c>
      <c r="J16" s="447"/>
      <c r="K16" s="671"/>
      <c r="L16" s="1142"/>
      <c r="M16" s="1133"/>
      <c r="N16" s="1133"/>
      <c r="O16" s="1141"/>
      <c r="P16" s="3311"/>
      <c r="Q16" s="1812"/>
      <c r="R16" s="773"/>
      <c r="S16" s="774"/>
      <c r="T16" s="773"/>
      <c r="U16" s="774"/>
      <c r="V16" s="773"/>
      <c r="W16" s="774"/>
      <c r="X16" s="1815"/>
      <c r="Y16" s="3311"/>
      <c r="Z16" s="1816"/>
      <c r="AA16" s="1813">
        <v>1</v>
      </c>
      <c r="AB16" s="1813">
        <v>1</v>
      </c>
      <c r="AC16" s="1813">
        <v>1</v>
      </c>
    </row>
    <row r="17" spans="1:29" ht="71.25">
      <c r="A17" s="427"/>
      <c r="B17" s="450" t="s">
        <v>2654</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11"/>
      <c r="Q17" s="1812" t="str">
        <f>B17</f>
        <v>商业繁华度</v>
      </c>
      <c r="R17" s="773" t="s">
        <v>17</v>
      </c>
      <c r="S17" s="774">
        <f>F17</f>
        <v>100</v>
      </c>
      <c r="T17" s="773" t="s">
        <v>17</v>
      </c>
      <c r="U17" s="774">
        <f>H17</f>
        <v>100</v>
      </c>
      <c r="V17" s="773" t="s">
        <v>17</v>
      </c>
      <c r="W17" s="774">
        <f>J17</f>
        <v>100</v>
      </c>
      <c r="X17" s="1815"/>
      <c r="Y17" s="3311"/>
      <c r="Z17" s="1816" t="str">
        <f>Q17</f>
        <v>商业繁华度</v>
      </c>
      <c r="AA17" s="1813">
        <f t="shared" si="3"/>
        <v>1</v>
      </c>
      <c r="AB17" s="1813">
        <f t="shared" si="4"/>
        <v>1</v>
      </c>
      <c r="AC17" s="1813">
        <f t="shared" si="5"/>
        <v>1</v>
      </c>
    </row>
    <row r="18" spans="1:29" ht="15">
      <c r="A18" s="427"/>
      <c r="B18" s="455"/>
      <c r="C18" s="3035" t="s">
        <v>3379</v>
      </c>
      <c r="D18" s="449"/>
      <c r="E18" s="3036" t="s">
        <v>3379</v>
      </c>
      <c r="F18" s="449"/>
      <c r="G18" s="3036" t="s">
        <v>3379</v>
      </c>
      <c r="H18" s="447"/>
      <c r="I18" s="3037" t="s">
        <v>3380</v>
      </c>
      <c r="J18" s="447"/>
      <c r="K18" s="671"/>
      <c r="L18" s="1142"/>
      <c r="M18" s="1133"/>
      <c r="N18" s="1133"/>
      <c r="O18" s="1141"/>
      <c r="P18" s="3311"/>
      <c r="Q18" s="1812"/>
      <c r="R18" s="773"/>
      <c r="S18" s="774"/>
      <c r="T18" s="773"/>
      <c r="U18" s="774"/>
      <c r="V18" s="773"/>
      <c r="W18" s="774"/>
      <c r="X18" s="1815"/>
      <c r="Y18" s="3311"/>
      <c r="Z18" s="1816"/>
      <c r="AA18" s="1813">
        <v>1</v>
      </c>
      <c r="AB18" s="1813">
        <v>1</v>
      </c>
      <c r="AC18" s="1813">
        <v>1</v>
      </c>
    </row>
    <row r="19" spans="1:29" ht="71.25">
      <c r="A19" s="427"/>
      <c r="B19" s="450" t="s">
        <v>2688</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11"/>
      <c r="Q19" s="1812" t="str">
        <f>B19</f>
        <v>办公集聚程度</v>
      </c>
      <c r="R19" s="773" t="s">
        <v>17</v>
      </c>
      <c r="S19" s="774">
        <f>F19</f>
        <v>100</v>
      </c>
      <c r="T19" s="773" t="s">
        <v>17</v>
      </c>
      <c r="U19" s="774">
        <f>H19</f>
        <v>100</v>
      </c>
      <c r="V19" s="773" t="s">
        <v>17</v>
      </c>
      <c r="W19" s="774">
        <f>J19</f>
        <v>100</v>
      </c>
      <c r="X19" s="1815"/>
      <c r="Y19" s="3311"/>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11"/>
      <c r="Q20" s="1812"/>
      <c r="R20" s="773"/>
      <c r="S20" s="774"/>
      <c r="T20" s="773"/>
      <c r="U20" s="774"/>
      <c r="V20" s="773"/>
      <c r="W20" s="774"/>
      <c r="X20" s="1815"/>
      <c r="Y20" s="3311"/>
      <c r="Z20" s="1816"/>
      <c r="AA20" s="1813">
        <v>1</v>
      </c>
      <c r="AB20" s="1813">
        <v>1</v>
      </c>
      <c r="AC20" s="1813">
        <v>1</v>
      </c>
    </row>
    <row r="21" spans="1:29" ht="85.5">
      <c r="A21" s="427"/>
      <c r="B21" s="450" t="s">
        <v>2710</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11"/>
      <c r="Q21" s="1812" t="str">
        <f>B21</f>
        <v>交通便捷度</v>
      </c>
      <c r="R21" s="773" t="s">
        <v>17</v>
      </c>
      <c r="S21" s="774">
        <f>F21</f>
        <v>100</v>
      </c>
      <c r="T21" s="773" t="s">
        <v>17</v>
      </c>
      <c r="U21" s="774">
        <f>H21</f>
        <v>100</v>
      </c>
      <c r="V21" s="773" t="s">
        <v>17</v>
      </c>
      <c r="W21" s="774">
        <f>J21</f>
        <v>100</v>
      </c>
      <c r="X21" s="1815"/>
      <c r="Y21" s="3311"/>
      <c r="Z21" s="1816" t="str">
        <f>Q21</f>
        <v>交通便捷度</v>
      </c>
      <c r="AA21" s="1813">
        <f t="shared" si="3"/>
        <v>1</v>
      </c>
      <c r="AB21" s="1813">
        <f t="shared" si="4"/>
        <v>1</v>
      </c>
      <c r="AC21" s="1813">
        <f t="shared" si="5"/>
        <v>1</v>
      </c>
    </row>
    <row r="22" spans="1:29" ht="15">
      <c r="A22" s="427"/>
      <c r="B22" s="1386"/>
      <c r="C22" s="3032" t="s">
        <v>3379</v>
      </c>
      <c r="D22" s="449"/>
      <c r="E22" s="3033" t="s">
        <v>3379</v>
      </c>
      <c r="F22" s="447"/>
      <c r="G22" s="3033" t="s">
        <v>3379</v>
      </c>
      <c r="H22" s="447"/>
      <c r="I22" s="3034" t="s">
        <v>3380</v>
      </c>
      <c r="J22" s="447"/>
      <c r="K22" s="671"/>
      <c r="L22" s="1142"/>
      <c r="M22" s="1133"/>
      <c r="N22" s="1133"/>
      <c r="O22" s="1141"/>
      <c r="P22" s="3311"/>
      <c r="Q22" s="1812"/>
      <c r="R22" s="773"/>
      <c r="S22" s="774"/>
      <c r="T22" s="773"/>
      <c r="U22" s="774"/>
      <c r="V22" s="773"/>
      <c r="W22" s="774"/>
      <c r="X22" s="1815"/>
      <c r="Y22" s="3311"/>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11"/>
      <c r="Q23" s="1812" t="str">
        <f t="shared" ref="Q23:Q37" si="8">B23</f>
        <v>区域土地利用方向</v>
      </c>
      <c r="R23" s="773" t="s">
        <v>17</v>
      </c>
      <c r="S23" s="774">
        <f>F23</f>
        <v>100</v>
      </c>
      <c r="T23" s="773" t="s">
        <v>17</v>
      </c>
      <c r="U23" s="774">
        <f>H23</f>
        <v>100</v>
      </c>
      <c r="V23" s="773" t="s">
        <v>17</v>
      </c>
      <c r="W23" s="774">
        <f>J23</f>
        <v>100</v>
      </c>
      <c r="X23" s="1815"/>
      <c r="Y23" s="3311"/>
      <c r="Z23" s="1816" t="str">
        <f>Q23</f>
        <v>区域土地利用方向</v>
      </c>
      <c r="AA23" s="1813">
        <f t="shared" si="3"/>
        <v>1</v>
      </c>
      <c r="AB23" s="1813">
        <f t="shared" si="4"/>
        <v>1</v>
      </c>
      <c r="AC23" s="1813">
        <f t="shared" si="5"/>
        <v>1</v>
      </c>
    </row>
    <row r="24" spans="1:29" ht="15">
      <c r="A24" s="403"/>
      <c r="B24" s="455"/>
      <c r="C24" s="3038" t="s">
        <v>3379</v>
      </c>
      <c r="D24" s="447"/>
      <c r="E24" s="3033" t="s">
        <v>3379</v>
      </c>
      <c r="F24" s="447"/>
      <c r="G24" s="3034" t="s">
        <v>3379</v>
      </c>
      <c r="H24" s="447"/>
      <c r="I24" s="3034" t="s">
        <v>3379</v>
      </c>
      <c r="J24" s="447"/>
      <c r="K24" s="811"/>
      <c r="L24" s="1142"/>
      <c r="M24" s="1133"/>
      <c r="N24" s="1133"/>
      <c r="O24" s="1141"/>
      <c r="P24" s="3311"/>
      <c r="Q24" s="1812"/>
      <c r="R24" s="773"/>
      <c r="S24" s="774"/>
      <c r="T24" s="773"/>
      <c r="U24" s="774"/>
      <c r="V24" s="773"/>
      <c r="W24" s="774"/>
      <c r="X24" s="1815"/>
      <c r="Y24" s="3311"/>
      <c r="Z24" s="1816"/>
      <c r="AA24" s="1813"/>
      <c r="AB24" s="1813"/>
      <c r="AC24" s="1813"/>
    </row>
    <row r="25" spans="1:29" ht="57">
      <c r="A25" s="403"/>
      <c r="B25" s="1386" t="s">
        <v>2750</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11"/>
      <c r="Q25" s="1812" t="str">
        <f t="shared" si="8"/>
        <v>自然及人文环境状况</v>
      </c>
      <c r="R25" s="773" t="s">
        <v>17</v>
      </c>
      <c r="S25" s="774">
        <f>F25</f>
        <v>100</v>
      </c>
      <c r="T25" s="773" t="s">
        <v>17</v>
      </c>
      <c r="U25" s="774">
        <f>H25</f>
        <v>100</v>
      </c>
      <c r="V25" s="773" t="s">
        <v>17</v>
      </c>
      <c r="W25" s="774">
        <f>J25</f>
        <v>100</v>
      </c>
      <c r="X25" s="1815"/>
      <c r="Y25" s="3311"/>
      <c r="Z25" s="1816" t="str">
        <f>Q25</f>
        <v>自然及人文环境状况</v>
      </c>
      <c r="AA25" s="1813">
        <f t="shared" si="3"/>
        <v>1</v>
      </c>
      <c r="AB25" s="1813">
        <f t="shared" si="4"/>
        <v>1</v>
      </c>
      <c r="AC25" s="1813">
        <f t="shared" si="5"/>
        <v>1</v>
      </c>
    </row>
    <row r="26" spans="1:29" ht="15">
      <c r="A26" s="403"/>
      <c r="B26" s="455"/>
      <c r="C26" s="3032" t="s">
        <v>3379</v>
      </c>
      <c r="D26" s="447"/>
      <c r="E26" s="3039" t="s">
        <v>3379</v>
      </c>
      <c r="F26" s="447"/>
      <c r="G26" s="3039" t="s">
        <v>3379</v>
      </c>
      <c r="H26" s="447"/>
      <c r="I26" s="3032" t="s">
        <v>3379</v>
      </c>
      <c r="J26" s="447"/>
      <c r="K26" s="671"/>
      <c r="L26" s="1142"/>
      <c r="M26" s="1133"/>
      <c r="N26" s="1133"/>
      <c r="O26" s="1141"/>
      <c r="P26" s="3311"/>
      <c r="Q26" s="1812"/>
      <c r="R26" s="773"/>
      <c r="S26" s="774"/>
      <c r="T26" s="773"/>
      <c r="U26" s="774"/>
      <c r="V26" s="773"/>
      <c r="W26" s="774"/>
      <c r="X26" s="1815"/>
      <c r="Y26" s="3311"/>
      <c r="Z26" s="1816"/>
      <c r="AA26" s="1813">
        <v>1</v>
      </c>
      <c r="AB26" s="1813">
        <v>1</v>
      </c>
      <c r="AC26" s="1813">
        <v>1</v>
      </c>
    </row>
    <row r="27" spans="1:29" s="116" customFormat="1" ht="42.75">
      <c r="A27" s="648"/>
      <c r="B27" s="1386" t="s">
        <v>2655</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11"/>
      <c r="Q27" s="1797" t="str">
        <f t="shared" si="8"/>
        <v>公共配套设施</v>
      </c>
      <c r="R27" s="769" t="s">
        <v>17</v>
      </c>
      <c r="S27" s="770">
        <f>F27</f>
        <v>100</v>
      </c>
      <c r="T27" s="769" t="s">
        <v>17</v>
      </c>
      <c r="U27" s="770">
        <f>H27</f>
        <v>100</v>
      </c>
      <c r="V27" s="769" t="s">
        <v>17</v>
      </c>
      <c r="W27" s="770">
        <f>J27</f>
        <v>100</v>
      </c>
      <c r="X27" s="771"/>
      <c r="Y27" s="3311"/>
      <c r="Z27" s="54" t="str">
        <f>Q27</f>
        <v>公共配套设施</v>
      </c>
      <c r="AA27" s="1813">
        <f>D27/F27</f>
        <v>1</v>
      </c>
      <c r="AB27" s="1813">
        <f>D27/H27</f>
        <v>1</v>
      </c>
      <c r="AC27" s="1813">
        <f>D27/J27</f>
        <v>1</v>
      </c>
    </row>
    <row r="28" spans="1:29" s="116" customFormat="1" ht="15">
      <c r="A28" s="648"/>
      <c r="B28" s="455"/>
      <c r="C28" s="3040" t="s">
        <v>3379</v>
      </c>
      <c r="D28" s="447"/>
      <c r="E28" s="3039" t="s">
        <v>3379</v>
      </c>
      <c r="F28" s="447"/>
      <c r="G28" s="3039" t="s">
        <v>3379</v>
      </c>
      <c r="H28" s="447"/>
      <c r="I28" s="3032" t="s">
        <v>3379</v>
      </c>
      <c r="J28" s="447"/>
      <c r="K28" s="671"/>
      <c r="L28" s="1134"/>
      <c r="M28" s="1135"/>
      <c r="N28" s="1135"/>
      <c r="O28" s="1136"/>
      <c r="P28" s="3311"/>
      <c r="Q28" s="1797"/>
      <c r="R28" s="769"/>
      <c r="S28" s="770"/>
      <c r="T28" s="769"/>
      <c r="U28" s="770"/>
      <c r="V28" s="769"/>
      <c r="W28" s="770"/>
      <c r="X28" s="771"/>
      <c r="Y28" s="3311"/>
      <c r="Z28" s="54"/>
      <c r="AA28" s="1813">
        <v>1</v>
      </c>
      <c r="AB28" s="1813">
        <v>1</v>
      </c>
      <c r="AC28" s="1813">
        <v>1</v>
      </c>
    </row>
    <row r="29" spans="1:29" s="116" customFormat="1" ht="28.5">
      <c r="A29" s="648"/>
      <c r="B29" s="1386" t="s">
        <v>2656</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11"/>
      <c r="Q29" s="1797" t="str">
        <f t="shared" ref="Q29" si="9">B29</f>
        <v>基础设施水平</v>
      </c>
      <c r="R29" s="769" t="s">
        <v>17</v>
      </c>
      <c r="S29" s="770">
        <f>F29</f>
        <v>100</v>
      </c>
      <c r="T29" s="769" t="s">
        <v>17</v>
      </c>
      <c r="U29" s="770">
        <f>H29</f>
        <v>100</v>
      </c>
      <c r="V29" s="769" t="s">
        <v>17</v>
      </c>
      <c r="W29" s="770">
        <f>J29</f>
        <v>100</v>
      </c>
      <c r="X29" s="771"/>
      <c r="Y29" s="3311"/>
      <c r="Z29" s="54" t="str">
        <f>Q29</f>
        <v>基础设施水平</v>
      </c>
      <c r="AA29" s="1813">
        <f>D29/F29</f>
        <v>1</v>
      </c>
      <c r="AB29" s="1813">
        <f>D29/H29</f>
        <v>1</v>
      </c>
      <c r="AC29" s="1813">
        <f>D29/J29</f>
        <v>1</v>
      </c>
    </row>
    <row r="30" spans="1:29" s="116" customFormat="1" ht="15">
      <c r="A30" s="648"/>
      <c r="B30" s="455"/>
      <c r="C30" s="3040" t="s">
        <v>3381</v>
      </c>
      <c r="D30" s="447"/>
      <c r="E30" s="3041" t="s">
        <v>3382</v>
      </c>
      <c r="F30" s="447"/>
      <c r="G30" s="3041" t="s">
        <v>3382</v>
      </c>
      <c r="H30" s="447"/>
      <c r="I30" s="3041" t="s">
        <v>3381</v>
      </c>
      <c r="J30" s="447"/>
      <c r="K30" s="671"/>
      <c r="L30" s="1134"/>
      <c r="M30" s="1135"/>
      <c r="N30" s="1135"/>
      <c r="O30" s="1136"/>
      <c r="P30" s="3311"/>
      <c r="Q30" s="1797"/>
      <c r="R30" s="769"/>
      <c r="S30" s="770"/>
      <c r="T30" s="769"/>
      <c r="U30" s="770"/>
      <c r="V30" s="769"/>
      <c r="W30" s="770"/>
      <c r="X30" s="771"/>
      <c r="Y30" s="3311"/>
      <c r="Z30" s="54"/>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1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11"/>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11"/>
      <c r="Q32" s="1812" t="str">
        <f t="shared" si="8"/>
        <v>毗邻道路的类型与等级</v>
      </c>
      <c r="R32" s="773" t="s">
        <v>17</v>
      </c>
      <c r="S32" s="774">
        <f t="shared" si="10"/>
        <v>100</v>
      </c>
      <c r="T32" s="773" t="s">
        <v>17</v>
      </c>
      <c r="U32" s="774">
        <f t="shared" si="11"/>
        <v>100</v>
      </c>
      <c r="V32" s="773" t="s">
        <v>17</v>
      </c>
      <c r="W32" s="774">
        <f t="shared" si="12"/>
        <v>100</v>
      </c>
      <c r="X32" s="1815"/>
      <c r="Y32" s="3311"/>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11"/>
      <c r="Q33" s="1812"/>
      <c r="R33" s="773"/>
      <c r="S33" s="774"/>
      <c r="T33" s="773"/>
      <c r="U33" s="774"/>
      <c r="V33" s="773"/>
      <c r="W33" s="774"/>
      <c r="X33" s="1815"/>
      <c r="Y33" s="3311"/>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11"/>
      <c r="Q34" s="1812" t="str">
        <f t="shared" si="8"/>
        <v>土地级别</v>
      </c>
      <c r="R34" s="773" t="s">
        <v>17</v>
      </c>
      <c r="S34" s="774">
        <f t="shared" si="10"/>
        <v>100</v>
      </c>
      <c r="T34" s="773" t="s">
        <v>17</v>
      </c>
      <c r="U34" s="774">
        <f t="shared" si="11"/>
        <v>100</v>
      </c>
      <c r="V34" s="773" t="s">
        <v>17</v>
      </c>
      <c r="W34" s="774">
        <f t="shared" si="12"/>
        <v>100</v>
      </c>
      <c r="X34" s="1815"/>
      <c r="Y34" s="331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11"/>
      <c r="Q35" s="1812">
        <f t="shared" si="8"/>
        <v>111</v>
      </c>
      <c r="R35" s="773" t="s">
        <v>17</v>
      </c>
      <c r="S35" s="774">
        <f t="shared" si="10"/>
        <v>100</v>
      </c>
      <c r="T35" s="773" t="s">
        <v>17</v>
      </c>
      <c r="U35" s="774">
        <f t="shared" si="11"/>
        <v>100</v>
      </c>
      <c r="V35" s="773" t="s">
        <v>17</v>
      </c>
      <c r="W35" s="774">
        <f t="shared" si="12"/>
        <v>100</v>
      </c>
      <c r="X35" s="1815"/>
      <c r="Y35" s="331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12" t="s">
        <v>2566</v>
      </c>
      <c r="Q36" s="1812">
        <f t="shared" si="8"/>
        <v>111</v>
      </c>
      <c r="R36" s="773" t="s">
        <v>17</v>
      </c>
      <c r="S36" s="774">
        <f t="shared" si="10"/>
        <v>100</v>
      </c>
      <c r="T36" s="773" t="s">
        <v>17</v>
      </c>
      <c r="U36" s="774">
        <f t="shared" si="11"/>
        <v>100</v>
      </c>
      <c r="V36" s="773" t="s">
        <v>17</v>
      </c>
      <c r="W36" s="774">
        <f t="shared" si="12"/>
        <v>100</v>
      </c>
      <c r="X36" s="1815"/>
      <c r="Y36" s="3313" t="s">
        <v>2566</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13"/>
      <c r="Q37" s="1812">
        <f t="shared" si="8"/>
        <v>111</v>
      </c>
      <c r="R37" s="776" t="s">
        <v>17</v>
      </c>
      <c r="S37" s="777">
        <f t="shared" si="10"/>
        <v>100</v>
      </c>
      <c r="T37" s="776" t="s">
        <v>17</v>
      </c>
      <c r="U37" s="777">
        <f t="shared" si="11"/>
        <v>100</v>
      </c>
      <c r="V37" s="776" t="s">
        <v>17</v>
      </c>
      <c r="W37" s="777">
        <f t="shared" si="12"/>
        <v>100</v>
      </c>
      <c r="X37" s="778"/>
      <c r="Y37" s="3313"/>
      <c r="Z37" s="779">
        <f t="shared" si="13"/>
        <v>111</v>
      </c>
      <c r="AA37" s="1813">
        <f t="shared" si="3"/>
        <v>1</v>
      </c>
      <c r="AB37" s="1813">
        <f t="shared" si="4"/>
        <v>1</v>
      </c>
      <c r="AC37" s="1813">
        <f t="shared" si="5"/>
        <v>1</v>
      </c>
    </row>
    <row r="38" spans="1:29" ht="15">
      <c r="A38" s="471" t="s">
        <v>2564</v>
      </c>
      <c r="B38" s="455" t="s">
        <v>2752</v>
      </c>
      <c r="C38" s="678">
        <f>'数据-基础表'!A3</f>
        <v>138485.726</v>
      </c>
      <c r="D38" s="466">
        <v>100</v>
      </c>
      <c r="E38" s="678">
        <f>土地案例!D4</f>
        <v>46848.3</v>
      </c>
      <c r="F38" s="466">
        <f>LOOKUP(E38,117:117,118:118)-LOOKUP(C38,117:117,118:118)+100</f>
        <v>92</v>
      </c>
      <c r="G38" s="678">
        <f>土地案例!D12</f>
        <v>89347.09</v>
      </c>
      <c r="H38" s="466">
        <f>LOOKUP(G38,117:117,118:118)-LOOKUP(C38,117:117,118:118)+100</f>
        <v>96</v>
      </c>
      <c r="I38" s="529">
        <f>土地案例!D13</f>
        <v>83732.679999999993</v>
      </c>
      <c r="J38" s="466">
        <f>LOOKUP(I38,117:117,118:118)-LOOKUP(C38,117:117,118:118)+100</f>
        <v>96</v>
      </c>
      <c r="K38" s="612"/>
      <c r="L38" s="1142"/>
      <c r="M38" s="1133"/>
      <c r="N38" s="1133"/>
      <c r="O38" s="1141"/>
      <c r="P38" s="3313"/>
      <c r="Q38" s="1812" t="str">
        <f>B38</f>
        <v>宗地面积</v>
      </c>
      <c r="R38" s="773" t="s">
        <v>17</v>
      </c>
      <c r="S38" s="774">
        <f t="shared" si="10"/>
        <v>92</v>
      </c>
      <c r="T38" s="773" t="s">
        <v>17</v>
      </c>
      <c r="U38" s="774">
        <f t="shared" si="11"/>
        <v>96</v>
      </c>
      <c r="V38" s="773" t="s">
        <v>17</v>
      </c>
      <c r="W38" s="774">
        <f t="shared" si="12"/>
        <v>96</v>
      </c>
      <c r="X38" s="1815"/>
      <c r="Y38" s="3313"/>
      <c r="Z38" s="1816" t="str">
        <f t="shared" si="13"/>
        <v>宗地面积</v>
      </c>
      <c r="AA38" s="1813">
        <f t="shared" si="3"/>
        <v>1.0869565217391304</v>
      </c>
      <c r="AB38" s="1813">
        <f t="shared" si="4"/>
        <v>1.0416666666666667</v>
      </c>
      <c r="AC38" s="1813">
        <f t="shared" si="5"/>
        <v>1.0416666666666667</v>
      </c>
    </row>
    <row r="39" spans="1:29" ht="15">
      <c r="A39" s="471"/>
      <c r="B39" s="421" t="s">
        <v>2753</v>
      </c>
      <c r="C39" s="3043" t="s">
        <v>3384</v>
      </c>
      <c r="D39" s="434">
        <v>100</v>
      </c>
      <c r="E39" s="3043" t="s">
        <v>3384</v>
      </c>
      <c r="F39" s="434">
        <f>SUMIF(119:119,E39,120:120)-SUMIF(119:119,C39,120:120)+100</f>
        <v>100</v>
      </c>
      <c r="G39" s="3043" t="s">
        <v>3384</v>
      </c>
      <c r="H39" s="434">
        <f>SUMIF(119:119,G39,120:120)-SUMIF(119:119,C39,120:120)+100</f>
        <v>100</v>
      </c>
      <c r="I39" s="3043" t="s">
        <v>3384</v>
      </c>
      <c r="J39" s="434">
        <f>SUMIF(119:119,I39,120:120)-SUMIF(119:119,C39,120:120)+100</f>
        <v>100</v>
      </c>
      <c r="K39" s="611"/>
      <c r="L39" s="1142"/>
      <c r="M39" s="1133"/>
      <c r="N39" s="1133"/>
      <c r="O39" s="1141"/>
      <c r="P39" s="3313"/>
      <c r="Q39" s="1812" t="str">
        <f t="shared" ref="Q39:Q45" si="14">B39</f>
        <v>宗地形状</v>
      </c>
      <c r="R39" s="773" t="s">
        <v>17</v>
      </c>
      <c r="S39" s="774">
        <f t="shared" si="10"/>
        <v>100</v>
      </c>
      <c r="T39" s="773" t="s">
        <v>17</v>
      </c>
      <c r="U39" s="774">
        <f t="shared" si="11"/>
        <v>100</v>
      </c>
      <c r="V39" s="773" t="s">
        <v>17</v>
      </c>
      <c r="W39" s="774">
        <f t="shared" si="12"/>
        <v>100</v>
      </c>
      <c r="X39" s="1815"/>
      <c r="Y39" s="3313"/>
      <c r="Z39" s="1816" t="str">
        <f t="shared" si="13"/>
        <v>宗地形状</v>
      </c>
      <c r="AA39" s="1813">
        <f t="shared" si="3"/>
        <v>1</v>
      </c>
      <c r="AB39" s="1813">
        <f t="shared" si="4"/>
        <v>1</v>
      </c>
      <c r="AC39" s="1813">
        <f t="shared" si="5"/>
        <v>1</v>
      </c>
    </row>
    <row r="40" spans="1:29" ht="15">
      <c r="A40" s="471"/>
      <c r="B40" s="421" t="s">
        <v>2754</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13"/>
      <c r="Q40" s="1812" t="str">
        <f t="shared" si="14"/>
        <v>临街宽度及深度</v>
      </c>
      <c r="R40" s="773" t="s">
        <v>17</v>
      </c>
      <c r="S40" s="774">
        <f t="shared" si="10"/>
        <v>100</v>
      </c>
      <c r="T40" s="773" t="s">
        <v>17</v>
      </c>
      <c r="U40" s="774">
        <f t="shared" si="11"/>
        <v>100</v>
      </c>
      <c r="V40" s="773" t="s">
        <v>17</v>
      </c>
      <c r="W40" s="774">
        <f t="shared" si="12"/>
        <v>100</v>
      </c>
      <c r="X40" s="1815"/>
      <c r="Y40" s="3313"/>
      <c r="Z40" s="1816" t="str">
        <f t="shared" si="13"/>
        <v>临街宽度及深度</v>
      </c>
      <c r="AA40" s="1813">
        <f t="shared" si="3"/>
        <v>1</v>
      </c>
      <c r="AB40" s="1813">
        <f t="shared" si="4"/>
        <v>1</v>
      </c>
      <c r="AC40" s="1813">
        <f t="shared" si="5"/>
        <v>1</v>
      </c>
    </row>
    <row r="41" spans="1:29" s="116" customFormat="1" ht="15">
      <c r="A41" s="472"/>
      <c r="B41" s="3031" t="s">
        <v>2755</v>
      </c>
      <c r="C41" s="3042" t="s">
        <v>3382</v>
      </c>
      <c r="D41" s="135">
        <v>100</v>
      </c>
      <c r="E41" s="3042" t="s">
        <v>3383</v>
      </c>
      <c r="F41" s="434">
        <f>SUMIF(123:123,E41,124:124)-SUMIF(123:123,C41,124:124)+100</f>
        <v>96</v>
      </c>
      <c r="G41" s="3042" t="s">
        <v>3383</v>
      </c>
      <c r="H41" s="434">
        <f>SUMIF(123:123,G41,124:124)-SUMIF(123:123,C41,124:124)+100</f>
        <v>96</v>
      </c>
      <c r="I41" s="3042" t="s">
        <v>3383</v>
      </c>
      <c r="J41" s="434">
        <f>SUMIF(123:123,I41,124:124)-SUMIF(123:123,C41,124:124)+100</f>
        <v>96</v>
      </c>
      <c r="K41" s="611">
        <v>1</v>
      </c>
      <c r="L41" s="1134"/>
      <c r="M41" s="1135"/>
      <c r="N41" s="1135"/>
      <c r="O41" s="1136"/>
      <c r="P41" s="3313"/>
      <c r="Q41" s="1812" t="str">
        <f t="shared" si="14"/>
        <v>宗地开发程度</v>
      </c>
      <c r="R41" s="769" t="s">
        <v>17</v>
      </c>
      <c r="S41" s="770">
        <f t="shared" si="10"/>
        <v>96</v>
      </c>
      <c r="T41" s="769" t="s">
        <v>17</v>
      </c>
      <c r="U41" s="770">
        <f t="shared" si="11"/>
        <v>96</v>
      </c>
      <c r="V41" s="769" t="s">
        <v>17</v>
      </c>
      <c r="W41" s="770">
        <f t="shared" si="12"/>
        <v>96</v>
      </c>
      <c r="X41" s="771"/>
      <c r="Y41" s="3313"/>
      <c r="Z41" s="54" t="str">
        <f t="shared" si="13"/>
        <v>宗地开发程度</v>
      </c>
      <c r="AA41" s="772">
        <f t="shared" si="3"/>
        <v>1.0416666666666667</v>
      </c>
      <c r="AB41" s="772">
        <f t="shared" si="4"/>
        <v>1.0416666666666667</v>
      </c>
      <c r="AC41" s="772">
        <f t="shared" si="5"/>
        <v>1.0416666666666667</v>
      </c>
    </row>
    <row r="42" spans="1:29" ht="15">
      <c r="A42" s="471"/>
      <c r="B42" s="421" t="s">
        <v>2756</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13" t="s">
        <v>2566</v>
      </c>
      <c r="Q42" s="1812" t="str">
        <f t="shared" si="14"/>
        <v>工程地质条件</v>
      </c>
      <c r="R42" s="773" t="s">
        <v>17</v>
      </c>
      <c r="S42" s="774">
        <f t="shared" si="10"/>
        <v>100</v>
      </c>
      <c r="T42" s="773" t="s">
        <v>17</v>
      </c>
      <c r="U42" s="774">
        <f t="shared" si="11"/>
        <v>100</v>
      </c>
      <c r="V42" s="773" t="s">
        <v>17</v>
      </c>
      <c r="W42" s="774">
        <f t="shared" si="12"/>
        <v>100</v>
      </c>
      <c r="X42" s="1815"/>
      <c r="Y42" s="3313"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13"/>
      <c r="Q43" s="1812">
        <f t="shared" si="14"/>
        <v>111</v>
      </c>
      <c r="R43" s="773" t="s">
        <v>17</v>
      </c>
      <c r="S43" s="774">
        <f t="shared" si="10"/>
        <v>100</v>
      </c>
      <c r="T43" s="773" t="s">
        <v>17</v>
      </c>
      <c r="U43" s="774">
        <f t="shared" si="11"/>
        <v>100</v>
      </c>
      <c r="V43" s="773" t="s">
        <v>17</v>
      </c>
      <c r="W43" s="774">
        <f t="shared" si="12"/>
        <v>100</v>
      </c>
      <c r="X43" s="1815"/>
      <c r="Y43" s="3313"/>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13"/>
      <c r="Q44" s="1812">
        <f t="shared" si="14"/>
        <v>111</v>
      </c>
      <c r="R44" s="773" t="s">
        <v>17</v>
      </c>
      <c r="S44" s="774">
        <f t="shared" si="10"/>
        <v>100</v>
      </c>
      <c r="T44" s="773" t="s">
        <v>17</v>
      </c>
      <c r="U44" s="774">
        <f t="shared" si="11"/>
        <v>100</v>
      </c>
      <c r="V44" s="773" t="s">
        <v>17</v>
      </c>
      <c r="W44" s="774">
        <f t="shared" si="12"/>
        <v>100</v>
      </c>
      <c r="X44" s="1815"/>
      <c r="Y44" s="3313"/>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13"/>
      <c r="Q45" s="1812">
        <f t="shared" si="14"/>
        <v>111</v>
      </c>
      <c r="R45" s="776" t="s">
        <v>17</v>
      </c>
      <c r="S45" s="777">
        <f t="shared" si="10"/>
        <v>100</v>
      </c>
      <c r="T45" s="776" t="s">
        <v>17</v>
      </c>
      <c r="U45" s="777">
        <f t="shared" si="11"/>
        <v>100</v>
      </c>
      <c r="V45" s="776" t="s">
        <v>17</v>
      </c>
      <c r="W45" s="777">
        <f t="shared" si="12"/>
        <v>100</v>
      </c>
      <c r="X45" s="778"/>
      <c r="Y45" s="3313"/>
      <c r="Z45" s="779">
        <f t="shared" si="13"/>
        <v>111</v>
      </c>
      <c r="AA45" s="1813">
        <f t="shared" si="3"/>
        <v>1</v>
      </c>
      <c r="AB45" s="1813">
        <f t="shared" si="4"/>
        <v>1</v>
      </c>
      <c r="AC45" s="1813">
        <f t="shared" si="5"/>
        <v>1</v>
      </c>
    </row>
    <row r="46" spans="1:29" ht="15">
      <c r="A46" s="478" t="s">
        <v>2721</v>
      </c>
      <c r="B46" s="2709" t="s">
        <v>2757</v>
      </c>
      <c r="C46" s="681" t="s">
        <v>1</v>
      </c>
      <c r="D46" s="480"/>
      <c r="E46" s="481">
        <f>ROUND(土地案例!K4,0)</f>
        <v>19356</v>
      </c>
      <c r="F46" s="482"/>
      <c r="G46" s="483">
        <f>ROUND(土地案例!K12,0)</f>
        <v>17880</v>
      </c>
      <c r="H46" s="484"/>
      <c r="I46" s="481">
        <f>ROUND(土地案例!K13,0)</f>
        <v>17914</v>
      </c>
      <c r="J46" s="484"/>
      <c r="K46" s="782"/>
      <c r="L46" s="1145"/>
      <c r="M46" s="1146"/>
      <c r="N46" s="1133"/>
      <c r="O46" s="1146"/>
      <c r="P46" s="3295" t="str">
        <f>A46</f>
        <v>成交单价</v>
      </c>
      <c r="Q46" s="3295"/>
      <c r="R46" s="3308">
        <f>E46</f>
        <v>19356</v>
      </c>
      <c r="S46" s="3308"/>
      <c r="T46" s="3308">
        <f>G46</f>
        <v>17880</v>
      </c>
      <c r="U46" s="3308"/>
      <c r="V46" s="3308">
        <f>I46</f>
        <v>17914</v>
      </c>
      <c r="W46" s="3308"/>
      <c r="X46" s="758"/>
      <c r="Y46" s="780"/>
      <c r="Z46" s="758"/>
      <c r="AA46" s="758"/>
      <c r="AB46" s="758"/>
      <c r="AC46" s="758"/>
    </row>
    <row r="47" spans="1:29" ht="15.75" thickBot="1">
      <c r="A47" s="485" t="s">
        <v>2670</v>
      </c>
      <c r="B47" s="682"/>
      <c r="C47" s="489">
        <f>R48</f>
        <v>17938</v>
      </c>
      <c r="D47" s="488"/>
      <c r="E47" s="489">
        <f>R47</f>
        <v>18777</v>
      </c>
      <c r="F47" s="490"/>
      <c r="G47" s="487">
        <f>T47</f>
        <v>17502</v>
      </c>
      <c r="H47" s="488"/>
      <c r="I47" s="489">
        <f>V47</f>
        <v>17536</v>
      </c>
      <c r="J47" s="488"/>
      <c r="K47" s="783"/>
      <c r="L47" s="1145"/>
      <c r="M47" s="1146"/>
      <c r="N47" s="1146"/>
      <c r="O47" s="1146"/>
      <c r="P47" s="3295" t="str">
        <f>A47</f>
        <v>比较价值（元/平方米）</v>
      </c>
      <c r="Q47" s="3295"/>
      <c r="R47" s="3314">
        <f>ROUND(PRODUCT(R46,AA7:AA45),0)</f>
        <v>18777</v>
      </c>
      <c r="S47" s="3314"/>
      <c r="T47" s="3314">
        <f>ROUND(PRODUCT(T46,AB7:AB45),0)</f>
        <v>17502</v>
      </c>
      <c r="U47" s="3314"/>
      <c r="V47" s="3314">
        <f>ROUND(PRODUCT(V46,AC7:AC45),0)</f>
        <v>17536</v>
      </c>
      <c r="W47" s="3314"/>
      <c r="X47" s="758"/>
      <c r="Y47" s="758"/>
      <c r="Z47" s="758"/>
      <c r="AA47" s="758"/>
      <c r="AB47" s="758"/>
      <c r="AC47" s="758"/>
    </row>
    <row r="48" spans="1:29" ht="15.75" thickBot="1">
      <c r="A48" s="491" t="s">
        <v>2758</v>
      </c>
      <c r="B48" s="492"/>
      <c r="C48" s="493">
        <f>R48</f>
        <v>17938</v>
      </c>
      <c r="D48" s="493"/>
      <c r="E48" s="493"/>
      <c r="F48" s="493"/>
      <c r="G48" s="493"/>
      <c r="H48" s="493"/>
      <c r="I48" s="493"/>
      <c r="J48" s="493"/>
      <c r="K48" s="784"/>
      <c r="L48" s="1145"/>
      <c r="M48" s="1146"/>
      <c r="N48" s="1146"/>
      <c r="O48" s="1146"/>
      <c r="P48" s="3315" t="str">
        <f>A48</f>
        <v>估价对象XX用房的比较价值（楼面单价，元/平方米）</v>
      </c>
      <c r="Q48" s="3316"/>
      <c r="R48" s="3317">
        <f>ROUND(AVERAGE(R47:V47),0)</f>
        <v>17938</v>
      </c>
      <c r="S48" s="3317"/>
      <c r="T48" s="3317"/>
      <c r="U48" s="3317"/>
      <c r="V48" s="3317"/>
      <c r="W48" s="331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f>IF(E46&lt;E47,E47/E46-1,E46/E47-1)</f>
        <v>3.0835596740693472E-2</v>
      </c>
      <c r="F51" s="499" t="str">
        <f>IF(OR(E51&gt;=0.3,E51&lt;=-0.3),"超过30%","")</f>
        <v/>
      </c>
      <c r="G51" s="498">
        <f>IF(G46&lt;G47,G47/G46-1,G46/G47-1)</f>
        <v>2.1597531710661588E-2</v>
      </c>
      <c r="H51" s="499" t="str">
        <f>IF(OR(G51&gt;=0.3,G51&lt;=-0.3),"超过30%","")</f>
        <v/>
      </c>
      <c r="I51" s="498">
        <f>IF(I46&lt;I47,I47/I46-1,I46/I47-1)</f>
        <v>2.15556569343065E-2</v>
      </c>
      <c r="J51" s="499" t="str">
        <f>IF(OR(I51&gt;=0.3,I51&lt;=-0.3),"超过30%","")</f>
        <v/>
      </c>
      <c r="K51" s="1107"/>
      <c r="L51" s="1108"/>
      <c r="M51" s="1146"/>
      <c r="N51" s="1146"/>
      <c r="O51" s="1146"/>
    </row>
    <row r="52" spans="1:15" ht="13.5" customHeight="1">
      <c r="A52" s="1146"/>
      <c r="B52" s="1146"/>
      <c r="C52" s="496" t="s">
        <v>2673</v>
      </c>
      <c r="D52" s="500"/>
      <c r="E52" s="498">
        <f>IF(E47&lt;G47,G47/E47-1,E47/G47-1)</f>
        <v>7.284881727802528E-2</v>
      </c>
      <c r="F52" s="499" t="str">
        <f>IF(OR(E52&gt;=0.2,E52&lt;=-0.2),"超过20%","")</f>
        <v/>
      </c>
      <c r="G52" s="498">
        <f>IF(G47&lt;I47,I47/G47-1,G47/I47-1)</f>
        <v>1.9426351274141052E-3</v>
      </c>
      <c r="H52" s="499" t="str">
        <f>IF(OR(G52&gt;=0.2,G52&lt;=-0.2),"超过20%","")</f>
        <v/>
      </c>
      <c r="I52" s="498">
        <f>IF(I47&lt;E47,E47/I47-1,I47/E47-1)</f>
        <v>7.0768704379561953E-2</v>
      </c>
      <c r="J52" s="499" t="str">
        <f>IF(OR(I52&gt;=0.2,I52&lt;=-0.2),"超过20%","")</f>
        <v/>
      </c>
      <c r="K52" s="1107"/>
      <c r="L52" s="1108"/>
      <c r="M52" s="1146"/>
      <c r="N52" s="1146"/>
      <c r="O52" s="1146"/>
    </row>
    <row r="53" spans="1:15" s="501" customFormat="1" ht="13.5" customHeight="1">
      <c r="A53" s="1147"/>
      <c r="B53" s="1147"/>
      <c r="C53" s="496" t="s">
        <v>2674</v>
      </c>
      <c r="D53" s="500"/>
      <c r="E53" s="498">
        <f>IF(E46&lt;G46,G46/E46-1,E46/G46-1)</f>
        <v>8.2550335570469757E-2</v>
      </c>
      <c r="F53" s="499" t="str">
        <f>IF(OR(E53&gt;=0.3,E53&lt;=-0.3),"超过30%","")</f>
        <v/>
      </c>
      <c r="G53" s="498">
        <f>IF(G46&lt;I46,I46/G46-1,G46/I46-1)</f>
        <v>1.9015659955257114E-3</v>
      </c>
      <c r="H53" s="499" t="str">
        <f>IF(OR(G53&gt;=0.3,G53&lt;=-0.3),"超过30%","")</f>
        <v/>
      </c>
      <c r="I53" s="498">
        <f>IF(I46&lt;E46,E46/I46-1,I46/E46-1)</f>
        <v>8.049570168583231E-2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10" t="s">
        <v>2761</v>
      </c>
      <c r="D55" s="2711" t="s">
        <v>2762</v>
      </c>
      <c r="E55" s="685" t="s">
        <v>2763</v>
      </c>
      <c r="F55" s="1109" t="s">
        <v>2764</v>
      </c>
      <c r="G55" s="3296" t="s">
        <v>2765</v>
      </c>
      <c r="H55" s="3318"/>
      <c r="I55" s="143" t="s">
        <v>2766</v>
      </c>
      <c r="J55" s="2712">
        <f>项目基本情况!F35</f>
        <v>0</v>
      </c>
      <c r="K55" s="2713" t="s">
        <v>2767</v>
      </c>
      <c r="L55" s="1108"/>
      <c r="M55" s="1146"/>
      <c r="N55" s="1146"/>
      <c r="O55" s="1146"/>
    </row>
    <row r="56" spans="1:15" s="691" customFormat="1">
      <c r="A56" s="687" t="s">
        <v>2768</v>
      </c>
      <c r="B56" s="688">
        <f>C48</f>
        <v>17938</v>
      </c>
      <c r="C56" s="689">
        <v>1</v>
      </c>
      <c r="D56" s="1165">
        <v>1</v>
      </c>
      <c r="E56" s="3044">
        <f>'数据-汇总表'!F21</f>
        <v>89778.47</v>
      </c>
      <c r="F56" s="1105">
        <f t="shared" ref="F56:F65" si="15">ROUND(B56*E56/10000,0)</f>
        <v>161045</v>
      </c>
      <c r="G56" s="3319"/>
      <c r="H56" s="3295"/>
      <c r="I56" s="1110">
        <v>1</v>
      </c>
      <c r="J56" s="1113">
        <v>1</v>
      </c>
      <c r="K56" s="1147"/>
      <c r="L56" s="943"/>
      <c r="M56" s="943"/>
      <c r="N56" s="943"/>
      <c r="O56" s="943"/>
    </row>
    <row r="57" spans="1:15" s="691" customFormat="1">
      <c r="A57" s="692" t="s">
        <v>2769</v>
      </c>
      <c r="B57" s="261">
        <f>ROUND($C$48*C57*D57,0)</f>
        <v>2691</v>
      </c>
      <c r="C57" s="199">
        <f t="shared" ref="C57:C65" si="16">IF($C$55="北京市系数",I57,J57)</f>
        <v>0.6</v>
      </c>
      <c r="D57" s="1166">
        <v>0.25</v>
      </c>
      <c r="E57" s="3027"/>
      <c r="F57" s="1105">
        <f t="shared" si="15"/>
        <v>0</v>
      </c>
      <c r="G57" s="3320" t="s">
        <v>2770</v>
      </c>
      <c r="H57" s="1106" t="str">
        <f>项目基本情况!B37</f>
        <v>八级</v>
      </c>
      <c r="I57" s="1110">
        <f>SUMIF(修正!A45:A56,H57,修正!B45:B56)</f>
        <v>0.6</v>
      </c>
      <c r="J57" s="1114"/>
      <c r="K57" s="1146"/>
      <c r="L57" s="943"/>
      <c r="M57" s="943"/>
      <c r="N57" s="943"/>
      <c r="O57" s="943"/>
    </row>
    <row r="58" spans="1:15" s="691" customFormat="1">
      <c r="A58" s="692" t="s">
        <v>2771</v>
      </c>
      <c r="B58" s="261">
        <f t="shared" ref="B58:B65" si="17">ROUND($C$48*C58*D58,0)</f>
        <v>1345</v>
      </c>
      <c r="C58" s="199">
        <f t="shared" si="16"/>
        <v>0.3</v>
      </c>
      <c r="D58" s="1166">
        <v>0.25</v>
      </c>
      <c r="E58" s="693"/>
      <c r="F58" s="1105">
        <f t="shared" si="15"/>
        <v>0</v>
      </c>
      <c r="G58" s="3320"/>
      <c r="H58" s="1106" t="str">
        <f>项目基本情况!B37</f>
        <v>八级</v>
      </c>
      <c r="I58" s="1110">
        <f>SUMIF(修正!A45:A56,H58,修正!C45:C56)</f>
        <v>0.3</v>
      </c>
      <c r="J58" s="1114"/>
      <c r="K58" s="1147"/>
      <c r="L58" s="943"/>
      <c r="M58" s="943"/>
      <c r="N58" s="943"/>
      <c r="O58" s="943"/>
    </row>
    <row r="59" spans="1:15" s="691" customFormat="1">
      <c r="A59" s="692" t="s">
        <v>2772</v>
      </c>
      <c r="B59" s="261">
        <f t="shared" si="17"/>
        <v>897</v>
      </c>
      <c r="C59" s="199">
        <f t="shared" si="16"/>
        <v>0.2</v>
      </c>
      <c r="D59" s="1166">
        <v>0.25</v>
      </c>
      <c r="E59" s="693"/>
      <c r="F59" s="1105">
        <f t="shared" si="15"/>
        <v>0</v>
      </c>
      <c r="G59" s="3320"/>
      <c r="H59" s="1106" t="str">
        <f>项目基本情况!B37</f>
        <v>八级</v>
      </c>
      <c r="I59" s="1110">
        <f>SUMIF(修正!A45:A56,H59,修正!D45:D56)</f>
        <v>0.2</v>
      </c>
      <c r="J59" s="1114"/>
      <c r="K59" s="1146"/>
      <c r="L59" s="943"/>
      <c r="M59" s="943"/>
      <c r="N59" s="943"/>
      <c r="O59" s="943"/>
    </row>
    <row r="60" spans="1:15" s="691" customFormat="1">
      <c r="A60" s="692" t="s">
        <v>2773</v>
      </c>
      <c r="B60" s="261">
        <f t="shared" si="17"/>
        <v>897</v>
      </c>
      <c r="C60" s="199">
        <f t="shared" si="16"/>
        <v>0.2</v>
      </c>
      <c r="D60" s="1166">
        <v>0.25</v>
      </c>
      <c r="E60" s="693"/>
      <c r="F60" s="1105">
        <f t="shared" si="15"/>
        <v>0</v>
      </c>
      <c r="G60" s="3320"/>
      <c r="H60" s="1106" t="str">
        <f>项目基本情况!B37</f>
        <v>八级</v>
      </c>
      <c r="I60" s="1110">
        <f>SUMIF(修正!A45:A56,H60,修正!E45:E56)</f>
        <v>0.2</v>
      </c>
      <c r="J60" s="1114"/>
      <c r="K60" s="1147"/>
      <c r="L60" s="943"/>
      <c r="M60" s="943"/>
      <c r="N60" s="943"/>
      <c r="O60" s="943"/>
    </row>
    <row r="61" spans="1:15" s="691" customFormat="1">
      <c r="A61" s="692" t="s">
        <v>2774</v>
      </c>
      <c r="B61" s="261">
        <f t="shared" si="17"/>
        <v>0</v>
      </c>
      <c r="C61" s="199">
        <f t="shared" si="16"/>
        <v>0</v>
      </c>
      <c r="D61" s="1166">
        <v>0.25</v>
      </c>
      <c r="E61" s="3045"/>
      <c r="F61" s="1105">
        <f t="shared" si="15"/>
        <v>0</v>
      </c>
      <c r="G61" s="2714" t="s">
        <v>2775</v>
      </c>
      <c r="H61" s="1106">
        <f>项目基本情况!C37</f>
        <v>0</v>
      </c>
      <c r="I61" s="1110">
        <f>SUMIF(修正!A45:A56,H61,修正!F45:F56)</f>
        <v>0</v>
      </c>
      <c r="J61" s="1114"/>
      <c r="K61" s="1146"/>
      <c r="L61" s="943"/>
      <c r="M61" s="943"/>
      <c r="N61" s="943"/>
      <c r="O61" s="943"/>
    </row>
    <row r="62" spans="1:15" s="691" customFormat="1">
      <c r="A62" s="692" t="s">
        <v>2776</v>
      </c>
      <c r="B62" s="261">
        <f t="shared" si="17"/>
        <v>0</v>
      </c>
      <c r="C62" s="199">
        <f t="shared" si="16"/>
        <v>0</v>
      </c>
      <c r="D62" s="1166">
        <v>0.25</v>
      </c>
      <c r="E62" s="3045">
        <f>'数据-汇总表'!E12</f>
        <v>0</v>
      </c>
      <c r="F62" s="1105">
        <f t="shared"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f t="shared" si="17"/>
        <v>673</v>
      </c>
      <c r="C63" s="199">
        <f t="shared" si="16"/>
        <v>0.15</v>
      </c>
      <c r="D63" s="1166">
        <v>0.25</v>
      </c>
      <c r="E63" s="3027"/>
      <c r="F63" s="1105">
        <f t="shared" si="15"/>
        <v>0</v>
      </c>
      <c r="G63" s="1111" t="s">
        <v>2779</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2780</v>
      </c>
      <c r="B64" s="261">
        <f t="shared" si="17"/>
        <v>673</v>
      </c>
      <c r="C64" s="199">
        <f t="shared" si="16"/>
        <v>0.15</v>
      </c>
      <c r="D64" s="1166">
        <v>0.25</v>
      </c>
      <c r="E64" s="3045">
        <f>'数据-汇总表'!E14</f>
        <v>0</v>
      </c>
      <c r="F64" s="1105">
        <f t="shared" si="15"/>
        <v>0</v>
      </c>
      <c r="G64" s="2714" t="s">
        <v>2770</v>
      </c>
      <c r="H64" s="1106" t="str">
        <f>项目基本情况!B37</f>
        <v>八级</v>
      </c>
      <c r="I64" s="1110">
        <f>SUMIF(修正!A45:A56,H64,修正!H45:H56)</f>
        <v>0.15</v>
      </c>
      <c r="J64" s="1114"/>
      <c r="K64" s="1147"/>
      <c r="L64" s="943"/>
      <c r="M64" s="943"/>
      <c r="N64" s="943"/>
      <c r="O64" s="943"/>
    </row>
    <row r="65" spans="1:17" s="691" customFormat="1" ht="15" thickBot="1">
      <c r="A65" s="692" t="s">
        <v>2781</v>
      </c>
      <c r="B65" s="261">
        <f t="shared" si="17"/>
        <v>0</v>
      </c>
      <c r="C65" s="199">
        <f t="shared" si="16"/>
        <v>0</v>
      </c>
      <c r="D65" s="1166">
        <v>0.25</v>
      </c>
      <c r="E65" s="3045">
        <f>'数据-汇总表'!E15</f>
        <v>0</v>
      </c>
      <c r="F65" s="1105">
        <f t="shared" si="15"/>
        <v>0</v>
      </c>
      <c r="G65" s="2715"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1026</v>
      </c>
      <c r="E66" s="695">
        <f>IF(B46="楼面地价",SUM(E56:E65),'数据-汇总表'!D3)</f>
        <v>89778.47</v>
      </c>
      <c r="F66" s="696">
        <f>IF(B46="楼面地价",SUM(F56:F65),ROUND(C48*E66/10000,0))</f>
        <v>161045</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6"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7" t="s">
        <v>2784</v>
      </c>
      <c r="B71" s="331" t="str">
        <f>"北京市平均增长率"&amp;TEXT(SUMIF(基准地价修正!N21:N25,A71,基准地价修正!P21:P25),"0.00%")</f>
        <v>北京市平均增长率2.29%</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v>0</v>
      </c>
      <c r="D80" s="548">
        <v>1</v>
      </c>
      <c r="E80" s="548">
        <v>2</v>
      </c>
      <c r="F80" s="548">
        <v>3</v>
      </c>
      <c r="G80" s="548">
        <v>4</v>
      </c>
      <c r="H80" s="548">
        <v>5</v>
      </c>
      <c r="I80" s="548">
        <v>6</v>
      </c>
      <c r="J80" s="548"/>
      <c r="K80" s="549"/>
      <c r="L80" s="550"/>
      <c r="M80" s="551"/>
      <c r="N80" s="1154"/>
      <c r="O80" s="1154"/>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t="str">
        <f>B13</f>
        <v>销售模式</v>
      </c>
      <c r="C84" s="3020" t="s">
        <v>3374</v>
      </c>
      <c r="D84" s="3020" t="s">
        <v>3375</v>
      </c>
      <c r="E84" s="553"/>
      <c r="F84" s="553"/>
      <c r="G84" s="553"/>
      <c r="H84" s="554"/>
      <c r="I84" s="554"/>
      <c r="J84" s="554"/>
      <c r="K84" s="554"/>
      <c r="L84" s="555"/>
      <c r="M84" s="556"/>
      <c r="N84" s="1156"/>
      <c r="O84" s="1156"/>
      <c r="P84" s="469"/>
      <c r="Q84" s="560"/>
    </row>
    <row r="85" spans="1:17" s="470" customFormat="1" ht="15.75" thickBot="1">
      <c r="A85" s="552"/>
      <c r="B85" s="542"/>
      <c r="C85" s="559">
        <v>100</v>
      </c>
      <c r="D85" s="559">
        <v>115</v>
      </c>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2792</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120000(含)-140000</v>
      </c>
      <c r="J116" s="528" t="str">
        <f t="shared" si="25"/>
        <v>140000(含)-160000</v>
      </c>
      <c r="K116" s="528" t="str">
        <f t="shared" si="25"/>
        <v>160000(含)-</v>
      </c>
      <c r="L116" s="528" t="str">
        <f t="shared" si="25"/>
        <v>(含)-</v>
      </c>
      <c r="M116" s="528" t="str">
        <f t="shared" si="25"/>
        <v>(含)-</v>
      </c>
      <c r="N116" s="1154"/>
      <c r="O116" s="1154"/>
      <c r="P116" s="44"/>
      <c r="Q116" s="503"/>
    </row>
    <row r="117" spans="1:17" ht="15">
      <c r="A117" s="533"/>
      <c r="B117" s="545"/>
      <c r="C117" s="594">
        <v>0</v>
      </c>
      <c r="D117" s="594">
        <v>20000</v>
      </c>
      <c r="E117" s="594">
        <v>40000</v>
      </c>
      <c r="F117" s="594">
        <v>60000</v>
      </c>
      <c r="G117" s="594">
        <v>80000</v>
      </c>
      <c r="H117" s="594">
        <v>100000</v>
      </c>
      <c r="I117" s="594">
        <v>120000</v>
      </c>
      <c r="J117" s="595">
        <v>140000</v>
      </c>
      <c r="K117" s="595">
        <v>160000</v>
      </c>
      <c r="L117" s="596"/>
      <c r="M117" s="597"/>
      <c r="N117" s="1154"/>
      <c r="O117" s="1154"/>
      <c r="P117" s="44"/>
      <c r="Q117" s="503"/>
    </row>
    <row r="118" spans="1:17" ht="15.75" thickBot="1">
      <c r="A118" s="533"/>
      <c r="B118" s="542"/>
      <c r="C118" s="569">
        <v>100</v>
      </c>
      <c r="D118" s="590">
        <v>102</v>
      </c>
      <c r="E118" s="590">
        <v>104</v>
      </c>
      <c r="F118" s="590">
        <v>106</v>
      </c>
      <c r="G118" s="590">
        <v>108</v>
      </c>
      <c r="H118" s="590">
        <v>110</v>
      </c>
      <c r="I118" s="590">
        <v>112</v>
      </c>
      <c r="J118" s="590">
        <v>114</v>
      </c>
      <c r="K118" s="590">
        <v>116</v>
      </c>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3020" t="s">
        <v>3385</v>
      </c>
      <c r="D123" s="3020" t="s">
        <v>3386</v>
      </c>
      <c r="E123" s="3020" t="s">
        <v>3387</v>
      </c>
      <c r="F123" s="3020" t="s">
        <v>3388</v>
      </c>
      <c r="G123" s="3020" t="s">
        <v>3383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22" sqref="E22"/>
    </sheetView>
  </sheetViews>
  <sheetFormatPr defaultRowHeight="13.5"/>
  <cols>
    <col min="1" max="1" width="30" customWidth="1"/>
    <col min="3" max="3" width="10.125" customWidth="1"/>
    <col min="13" max="13" width="19.625" customWidth="1"/>
  </cols>
  <sheetData>
    <row r="1" spans="1:14">
      <c r="A1" s="2977" t="s">
        <v>3152</v>
      </c>
      <c r="B1" s="2977" t="s">
        <v>3153</v>
      </c>
      <c r="C1" s="2977" t="s">
        <v>3154</v>
      </c>
      <c r="D1" s="2977" t="s">
        <v>3155</v>
      </c>
      <c r="E1" s="2977" t="s">
        <v>3156</v>
      </c>
      <c r="F1" s="2977" t="s">
        <v>3157</v>
      </c>
      <c r="G1" s="2977" t="s">
        <v>3158</v>
      </c>
      <c r="H1" s="2977" t="s">
        <v>3159</v>
      </c>
      <c r="I1" s="2977" t="s">
        <v>3160</v>
      </c>
      <c r="J1" s="2977" t="s">
        <v>3161</v>
      </c>
      <c r="K1" s="2977" t="s">
        <v>3162</v>
      </c>
      <c r="L1" s="2977" t="s">
        <v>3163</v>
      </c>
      <c r="M1" s="2977" t="s">
        <v>3164</v>
      </c>
      <c r="N1" s="2977" t="s">
        <v>3165</v>
      </c>
    </row>
    <row r="2" spans="1:14">
      <c r="A2" s="2977" t="s">
        <v>3166</v>
      </c>
      <c r="B2" s="2977" t="s">
        <v>3146</v>
      </c>
      <c r="C2" s="2977" t="s">
        <v>3167</v>
      </c>
      <c r="D2" s="2977">
        <v>121729.8</v>
      </c>
      <c r="E2" s="2977">
        <v>327948</v>
      </c>
      <c r="F2" s="2977">
        <v>2.69</v>
      </c>
      <c r="G2" s="2977" t="s">
        <v>3168</v>
      </c>
      <c r="H2" s="2977" t="s">
        <v>3169</v>
      </c>
      <c r="I2" s="2977">
        <v>609400</v>
      </c>
      <c r="J2" s="2977">
        <v>690000</v>
      </c>
      <c r="K2" s="2977">
        <v>21039.91</v>
      </c>
      <c r="L2" s="2977">
        <v>13.23</v>
      </c>
      <c r="M2" s="2977" t="s">
        <v>3170</v>
      </c>
      <c r="N2" s="2977" t="s">
        <v>3171</v>
      </c>
    </row>
    <row r="3" spans="1:14">
      <c r="A3" s="2977" t="s">
        <v>3172</v>
      </c>
      <c r="B3" s="2977" t="s">
        <v>3146</v>
      </c>
      <c r="C3" s="2977" t="s">
        <v>3167</v>
      </c>
      <c r="D3" s="2977">
        <v>97107.81</v>
      </c>
      <c r="E3" s="2977">
        <v>194226</v>
      </c>
      <c r="F3" s="2977">
        <v>2</v>
      </c>
      <c r="G3" s="2977" t="s">
        <v>3168</v>
      </c>
      <c r="H3" s="2977" t="s">
        <v>3173</v>
      </c>
      <c r="I3" s="2977">
        <v>406000</v>
      </c>
      <c r="J3" s="2977">
        <v>410000</v>
      </c>
      <c r="K3" s="2977">
        <v>21109.43</v>
      </c>
      <c r="L3" s="2977">
        <v>0.99</v>
      </c>
      <c r="M3" s="2977" t="s">
        <v>3174</v>
      </c>
      <c r="N3" s="2977" t="s">
        <v>3171</v>
      </c>
    </row>
    <row r="4" spans="1:14" s="2979" customFormat="1">
      <c r="A4" s="2978" t="s">
        <v>3175</v>
      </c>
      <c r="B4" s="2978" t="s">
        <v>3146</v>
      </c>
      <c r="C4" s="2978" t="s">
        <v>3167</v>
      </c>
      <c r="D4" s="2978">
        <v>46848.3</v>
      </c>
      <c r="E4" s="2978">
        <v>137272</v>
      </c>
      <c r="F4" s="2978">
        <v>2.93</v>
      </c>
      <c r="G4" s="2978" t="s">
        <v>3168</v>
      </c>
      <c r="H4" s="2978" t="s">
        <v>3176</v>
      </c>
      <c r="I4" s="2978">
        <v>265700</v>
      </c>
      <c r="J4" s="2978">
        <v>265700</v>
      </c>
      <c r="K4" s="2978">
        <v>19355.72</v>
      </c>
      <c r="L4" s="2978">
        <v>0</v>
      </c>
      <c r="M4" s="2978" t="s">
        <v>3177</v>
      </c>
      <c r="N4" s="2978" t="s">
        <v>3171</v>
      </c>
    </row>
    <row r="5" spans="1:14">
      <c r="A5" s="2977" t="s">
        <v>3178</v>
      </c>
      <c r="B5" s="2977" t="s">
        <v>3146</v>
      </c>
      <c r="C5" s="2977" t="s">
        <v>3167</v>
      </c>
      <c r="D5" s="2977">
        <v>175114.7</v>
      </c>
      <c r="E5" s="2977">
        <v>299579</v>
      </c>
      <c r="F5" s="2977">
        <v>1.7</v>
      </c>
      <c r="G5" s="2977" t="s">
        <v>3168</v>
      </c>
      <c r="H5" s="2977" t="s">
        <v>3179</v>
      </c>
      <c r="I5" s="2977">
        <v>453000</v>
      </c>
      <c r="J5" s="2977">
        <v>545000</v>
      </c>
      <c r="K5" s="2977">
        <v>18192.2</v>
      </c>
      <c r="L5" s="2977">
        <v>20.309999999999999</v>
      </c>
      <c r="M5" s="2977" t="s">
        <v>3180</v>
      </c>
      <c r="N5" s="2977" t="s">
        <v>3171</v>
      </c>
    </row>
    <row r="6" spans="1:14">
      <c r="A6" s="2977" t="s">
        <v>3181</v>
      </c>
      <c r="B6" s="2977" t="s">
        <v>3146</v>
      </c>
      <c r="C6" s="2977" t="s">
        <v>3167</v>
      </c>
      <c r="D6" s="2977">
        <v>122262</v>
      </c>
      <c r="E6" s="2977">
        <v>285496</v>
      </c>
      <c r="F6" s="2977">
        <v>2.335</v>
      </c>
      <c r="G6" s="2977" t="s">
        <v>3168</v>
      </c>
      <c r="H6" s="2977" t="s">
        <v>3182</v>
      </c>
      <c r="I6" s="2977">
        <v>328500</v>
      </c>
      <c r="J6" s="2977">
        <v>328500</v>
      </c>
      <c r="K6" s="2977">
        <v>11506.29</v>
      </c>
      <c r="L6" s="2977">
        <v>0</v>
      </c>
      <c r="M6" s="2977" t="s">
        <v>3183</v>
      </c>
      <c r="N6" s="2977" t="s">
        <v>3171</v>
      </c>
    </row>
    <row r="7" spans="1:14">
      <c r="A7" s="2977" t="s">
        <v>3184</v>
      </c>
      <c r="B7" s="2977" t="s">
        <v>3146</v>
      </c>
      <c r="C7" s="2977" t="s">
        <v>3167</v>
      </c>
      <c r="D7" s="2977">
        <v>71022.78</v>
      </c>
      <c r="E7" s="2977">
        <v>170414</v>
      </c>
      <c r="F7" s="2977">
        <v>2.4</v>
      </c>
      <c r="G7" s="2977" t="s">
        <v>3168</v>
      </c>
      <c r="H7" s="2977" t="s">
        <v>3185</v>
      </c>
      <c r="I7" s="2977">
        <v>450000</v>
      </c>
      <c r="J7" s="2977">
        <v>648000</v>
      </c>
      <c r="K7" s="2977">
        <v>38025.040000000001</v>
      </c>
      <c r="L7" s="2977">
        <v>44</v>
      </c>
      <c r="M7" s="2977" t="s">
        <v>3186</v>
      </c>
      <c r="N7" s="2977" t="s">
        <v>3187</v>
      </c>
    </row>
    <row r="8" spans="1:14">
      <c r="A8" s="2977" t="s">
        <v>3188</v>
      </c>
      <c r="B8" s="2977" t="s">
        <v>3146</v>
      </c>
      <c r="C8" s="2977" t="s">
        <v>3189</v>
      </c>
      <c r="D8" s="2977">
        <v>66465.42</v>
      </c>
      <c r="E8" s="2977">
        <v>99698</v>
      </c>
      <c r="F8" s="2977">
        <v>1.5</v>
      </c>
      <c r="G8" s="2977" t="s">
        <v>3168</v>
      </c>
      <c r="H8" s="2977" t="s">
        <v>3190</v>
      </c>
      <c r="I8" s="2977">
        <v>185000</v>
      </c>
      <c r="J8" s="2977">
        <v>190000</v>
      </c>
      <c r="K8" s="2977">
        <v>19057.54</v>
      </c>
      <c r="L8" s="2977">
        <v>2.7</v>
      </c>
      <c r="M8" s="2977" t="s">
        <v>3183</v>
      </c>
      <c r="N8" s="2977" t="s">
        <v>3191</v>
      </c>
    </row>
    <row r="9" spans="1:14">
      <c r="A9" s="2977" t="s">
        <v>3192</v>
      </c>
      <c r="B9" s="2977" t="s">
        <v>3146</v>
      </c>
      <c r="C9" s="2977" t="s">
        <v>3189</v>
      </c>
      <c r="D9" s="2977">
        <v>30890.99</v>
      </c>
      <c r="E9" s="2977">
        <v>67960</v>
      </c>
      <c r="F9" s="2977">
        <v>2.2000000000000002</v>
      </c>
      <c r="G9" s="2977" t="s">
        <v>3168</v>
      </c>
      <c r="H9" s="2977" t="s">
        <v>3193</v>
      </c>
      <c r="I9" s="2977">
        <v>160000</v>
      </c>
      <c r="J9" s="2977">
        <v>238000</v>
      </c>
      <c r="K9" s="2977">
        <v>35020.589999999997</v>
      </c>
      <c r="L9" s="2977">
        <v>48.75</v>
      </c>
      <c r="M9" s="2977" t="s">
        <v>3194</v>
      </c>
      <c r="N9" s="2977" t="s">
        <v>3171</v>
      </c>
    </row>
    <row r="10" spans="1:14">
      <c r="A10" s="2977" t="s">
        <v>3195</v>
      </c>
      <c r="B10" s="2977" t="s">
        <v>3146</v>
      </c>
      <c r="C10" s="2977" t="s">
        <v>3167</v>
      </c>
      <c r="D10" s="2977">
        <v>101259.5</v>
      </c>
      <c r="E10" s="2977">
        <v>202324</v>
      </c>
      <c r="F10" s="2977">
        <v>2</v>
      </c>
      <c r="G10" s="2977" t="s">
        <v>3168</v>
      </c>
      <c r="H10" s="2977" t="s">
        <v>3196</v>
      </c>
      <c r="I10" s="2977">
        <v>370000</v>
      </c>
      <c r="J10" s="2977">
        <v>395000</v>
      </c>
      <c r="K10" s="2977">
        <v>19523.13</v>
      </c>
      <c r="L10" s="2977">
        <v>6.76</v>
      </c>
      <c r="M10" s="2977" t="s">
        <v>3197</v>
      </c>
      <c r="N10" s="2977" t="s">
        <v>3171</v>
      </c>
    </row>
    <row r="11" spans="1:14">
      <c r="A11" s="2977" t="s">
        <v>3198</v>
      </c>
      <c r="B11" s="2977" t="s">
        <v>3146</v>
      </c>
      <c r="C11" s="2977" t="s">
        <v>3189</v>
      </c>
      <c r="D11" s="2977">
        <v>44353.34</v>
      </c>
      <c r="E11" s="2977">
        <v>97577</v>
      </c>
      <c r="F11" s="2977">
        <v>2.2000000000000002</v>
      </c>
      <c r="G11" s="2977" t="s">
        <v>3168</v>
      </c>
      <c r="H11" s="2977" t="s">
        <v>3199</v>
      </c>
      <c r="I11" s="2977">
        <v>175000</v>
      </c>
      <c r="J11" s="2977">
        <v>222000</v>
      </c>
      <c r="K11" s="2977">
        <v>22751.25</v>
      </c>
      <c r="L11" s="2977">
        <v>26.86</v>
      </c>
      <c r="M11" s="2977" t="s">
        <v>3200</v>
      </c>
      <c r="N11" s="2977" t="s">
        <v>3201</v>
      </c>
    </row>
    <row r="12" spans="1:14" s="2979" customFormat="1">
      <c r="A12" s="2978" t="s">
        <v>3202</v>
      </c>
      <c r="B12" s="2978" t="s">
        <v>3146</v>
      </c>
      <c r="C12" s="2978" t="s">
        <v>3167</v>
      </c>
      <c r="D12" s="2978">
        <v>89347.09</v>
      </c>
      <c r="E12" s="2978">
        <v>178694</v>
      </c>
      <c r="F12" s="2978">
        <v>2</v>
      </c>
      <c r="G12" s="2978" t="s">
        <v>3168</v>
      </c>
      <c r="H12" s="2978" t="s">
        <v>3203</v>
      </c>
      <c r="I12" s="2978">
        <v>213000</v>
      </c>
      <c r="J12" s="2978">
        <v>319500</v>
      </c>
      <c r="K12" s="2978">
        <v>17879.72</v>
      </c>
      <c r="L12" s="2978">
        <v>50</v>
      </c>
      <c r="M12" s="2978" t="s">
        <v>3204</v>
      </c>
      <c r="N12" s="2978" t="s">
        <v>3171</v>
      </c>
    </row>
    <row r="13" spans="1:14" s="2979" customFormat="1">
      <c r="A13" s="2978" t="s">
        <v>3205</v>
      </c>
      <c r="B13" s="2978" t="s">
        <v>3146</v>
      </c>
      <c r="C13" s="2978" t="s">
        <v>3167</v>
      </c>
      <c r="D13" s="2978">
        <v>83732.679999999993</v>
      </c>
      <c r="E13" s="2978">
        <v>167465</v>
      </c>
      <c r="F13" s="2978">
        <v>2</v>
      </c>
      <c r="G13" s="2978" t="s">
        <v>3168</v>
      </c>
      <c r="H13" s="2978" t="s">
        <v>3203</v>
      </c>
      <c r="I13" s="2978">
        <v>200000</v>
      </c>
      <c r="J13" s="2978">
        <v>300000</v>
      </c>
      <c r="K13" s="2978">
        <v>17914.18</v>
      </c>
      <c r="L13" s="2978">
        <v>50</v>
      </c>
      <c r="M13" s="2978" t="s">
        <v>3204</v>
      </c>
      <c r="N13" s="2978" t="s">
        <v>3171</v>
      </c>
    </row>
    <row r="14" spans="1:14">
      <c r="A14" s="2977" t="s">
        <v>3206</v>
      </c>
      <c r="B14" s="2977" t="s">
        <v>3146</v>
      </c>
      <c r="C14" s="2977" t="s">
        <v>3167</v>
      </c>
      <c r="D14" s="2977">
        <v>52140.02</v>
      </c>
      <c r="E14" s="2977">
        <v>83940</v>
      </c>
      <c r="F14" s="2977">
        <v>1.6</v>
      </c>
      <c r="G14" s="2977" t="s">
        <v>3168</v>
      </c>
      <c r="H14" s="2977" t="s">
        <v>3207</v>
      </c>
      <c r="I14" s="2977">
        <v>50450</v>
      </c>
      <c r="J14" s="2977">
        <v>50450</v>
      </c>
      <c r="K14" s="2977">
        <v>6010.25</v>
      </c>
      <c r="L14" s="2977">
        <v>0</v>
      </c>
      <c r="M14" s="2977" t="s">
        <v>3208</v>
      </c>
      <c r="N14" s="2977" t="s">
        <v>3201</v>
      </c>
    </row>
    <row r="15" spans="1:14">
      <c r="A15" s="2977" t="s">
        <v>3209</v>
      </c>
      <c r="B15" s="2977" t="s">
        <v>3146</v>
      </c>
      <c r="C15" s="2977" t="s">
        <v>3167</v>
      </c>
      <c r="D15" s="2977">
        <v>42685.77</v>
      </c>
      <c r="E15" s="2977">
        <v>124350</v>
      </c>
      <c r="F15" s="2977">
        <v>2.91</v>
      </c>
      <c r="G15" s="2977" t="s">
        <v>3168</v>
      </c>
      <c r="H15" s="2977" t="s">
        <v>3210</v>
      </c>
      <c r="I15" s="2977">
        <v>126100</v>
      </c>
      <c r="J15" s="2977">
        <v>172000</v>
      </c>
      <c r="K15" s="2977">
        <v>13831.93</v>
      </c>
      <c r="L15" s="2977">
        <v>36.4</v>
      </c>
      <c r="M15" s="2977" t="s">
        <v>3211</v>
      </c>
      <c r="N15" s="2977" t="s">
        <v>3171</v>
      </c>
    </row>
    <row r="16" spans="1:14">
      <c r="A16" s="2977" t="s">
        <v>3212</v>
      </c>
      <c r="B16" s="2977" t="s">
        <v>3146</v>
      </c>
      <c r="C16" s="2977" t="s">
        <v>3167</v>
      </c>
      <c r="D16" s="2977">
        <v>90996.11</v>
      </c>
      <c r="E16" s="2977">
        <v>343161</v>
      </c>
      <c r="F16" s="2977">
        <v>3.77</v>
      </c>
      <c r="G16" s="2977" t="s">
        <v>3168</v>
      </c>
      <c r="H16" s="2977" t="s">
        <v>3210</v>
      </c>
      <c r="I16" s="2977">
        <v>330000</v>
      </c>
      <c r="J16" s="2977">
        <v>330000</v>
      </c>
      <c r="K16" s="2977">
        <v>9616.4699999999993</v>
      </c>
      <c r="L16" s="2977">
        <v>0</v>
      </c>
      <c r="M16" s="2977" t="s">
        <v>3211</v>
      </c>
      <c r="N16" s="2977" t="s">
        <v>3171</v>
      </c>
    </row>
    <row r="17" spans="1:14">
      <c r="A17" s="2977" t="s">
        <v>3213</v>
      </c>
      <c r="B17" s="2977" t="s">
        <v>3146</v>
      </c>
      <c r="C17" s="2977" t="s">
        <v>3167</v>
      </c>
      <c r="D17" s="2977">
        <v>73293.58</v>
      </c>
      <c r="E17" s="2977">
        <v>143980</v>
      </c>
      <c r="F17" s="2977">
        <v>1.96</v>
      </c>
      <c r="G17" s="2977" t="s">
        <v>3168</v>
      </c>
      <c r="H17" s="2977" t="s">
        <v>3214</v>
      </c>
      <c r="I17" s="2977">
        <v>131500</v>
      </c>
      <c r="J17" s="2977">
        <v>197200</v>
      </c>
      <c r="K17" s="2977">
        <v>13696.35</v>
      </c>
      <c r="L17" s="2977">
        <v>49.96</v>
      </c>
      <c r="M17" s="2977" t="s">
        <v>3215</v>
      </c>
      <c r="N17" s="2977" t="s">
        <v>3171</v>
      </c>
    </row>
    <row r="18" spans="1:14">
      <c r="A18" s="2977" t="s">
        <v>3216</v>
      </c>
      <c r="B18" s="2977" t="s">
        <v>3146</v>
      </c>
      <c r="C18" s="2977" t="s">
        <v>3167</v>
      </c>
      <c r="D18" s="2977">
        <v>94198.62</v>
      </c>
      <c r="E18" s="2977">
        <v>187481</v>
      </c>
      <c r="F18" s="2977">
        <v>2</v>
      </c>
      <c r="G18" s="2977" t="s">
        <v>3168</v>
      </c>
      <c r="H18" s="2977" t="s">
        <v>3214</v>
      </c>
      <c r="I18" s="2977">
        <v>168300</v>
      </c>
      <c r="J18" s="2977">
        <v>252400</v>
      </c>
      <c r="K18" s="2977">
        <v>13462.7</v>
      </c>
      <c r="L18" s="2977">
        <v>49.97</v>
      </c>
      <c r="M18" s="2977" t="s">
        <v>3215</v>
      </c>
      <c r="N18" s="2977" t="s">
        <v>3171</v>
      </c>
    </row>
    <row r="19" spans="1:14">
      <c r="A19" s="2977" t="s">
        <v>3217</v>
      </c>
      <c r="B19" s="2977" t="s">
        <v>3146</v>
      </c>
      <c r="C19" s="2977" t="s">
        <v>3167</v>
      </c>
      <c r="D19" s="2977">
        <v>48775.519999999997</v>
      </c>
      <c r="E19" s="2977">
        <v>121939</v>
      </c>
      <c r="F19" s="2977">
        <v>2.5</v>
      </c>
      <c r="G19" s="2977" t="s">
        <v>3168</v>
      </c>
      <c r="H19" s="2977" t="s">
        <v>3218</v>
      </c>
      <c r="I19" s="2977">
        <v>95000</v>
      </c>
      <c r="J19" s="2977">
        <v>142500</v>
      </c>
      <c r="K19" s="2977">
        <v>11686.17</v>
      </c>
      <c r="L19" s="2977">
        <v>50</v>
      </c>
      <c r="M19" s="2977" t="s">
        <v>3219</v>
      </c>
      <c r="N19" s="2977" t="s">
        <v>3201</v>
      </c>
    </row>
    <row r="20" spans="1:14">
      <c r="A20" s="2977" t="s">
        <v>3220</v>
      </c>
      <c r="B20" s="2977" t="s">
        <v>3146</v>
      </c>
      <c r="C20" s="2977" t="s">
        <v>3167</v>
      </c>
      <c r="D20" s="2977">
        <v>83892.99</v>
      </c>
      <c r="E20" s="2977">
        <v>209732</v>
      </c>
      <c r="F20" s="2977">
        <v>2.5</v>
      </c>
      <c r="G20" s="2977" t="s">
        <v>3168</v>
      </c>
      <c r="H20" s="2977" t="s">
        <v>3218</v>
      </c>
      <c r="I20" s="2977">
        <v>185000</v>
      </c>
      <c r="J20" s="2977">
        <v>277500</v>
      </c>
      <c r="K20" s="2977">
        <v>13231.17</v>
      </c>
      <c r="L20" s="2977">
        <v>50</v>
      </c>
      <c r="M20" s="2977" t="s">
        <v>3221</v>
      </c>
      <c r="N20" s="2977" t="s">
        <v>3201</v>
      </c>
    </row>
    <row r="21" spans="1:14">
      <c r="A21" s="2977" t="s">
        <v>3222</v>
      </c>
      <c r="B21" s="2977" t="s">
        <v>3146</v>
      </c>
      <c r="C21" s="2977" t="s">
        <v>3167</v>
      </c>
      <c r="D21" s="2977">
        <v>23730.99</v>
      </c>
      <c r="E21" s="2977">
        <v>82887</v>
      </c>
      <c r="F21" s="2977">
        <v>3.49</v>
      </c>
      <c r="G21" s="2977" t="s">
        <v>3168</v>
      </c>
      <c r="H21" s="2977" t="s">
        <v>3223</v>
      </c>
      <c r="I21" s="2977">
        <v>92000</v>
      </c>
      <c r="J21" s="2977">
        <v>95000</v>
      </c>
      <c r="K21" s="2977">
        <v>11461.38</v>
      </c>
      <c r="L21" s="2977">
        <v>3.26</v>
      </c>
      <c r="M21" s="2977" t="s">
        <v>3224</v>
      </c>
      <c r="N21" s="2977" t="s">
        <v>3171</v>
      </c>
    </row>
    <row r="22" spans="1:14">
      <c r="A22" s="2977" t="s">
        <v>3225</v>
      </c>
      <c r="B22" s="2977" t="s">
        <v>3146</v>
      </c>
      <c r="C22" s="2977" t="s">
        <v>3167</v>
      </c>
      <c r="D22" s="2977">
        <v>27393.33</v>
      </c>
      <c r="E22" s="2977">
        <v>86217</v>
      </c>
      <c r="F22" s="2977">
        <v>3.15</v>
      </c>
      <c r="G22" s="2977" t="s">
        <v>3168</v>
      </c>
      <c r="H22" s="2977" t="s">
        <v>3223</v>
      </c>
      <c r="I22" s="2977">
        <v>97600</v>
      </c>
      <c r="J22" s="2977">
        <v>136600</v>
      </c>
      <c r="K22" s="2977">
        <v>15843.73</v>
      </c>
      <c r="L22" s="2977">
        <v>39.96</v>
      </c>
      <c r="M22" s="2977" t="s">
        <v>3226</v>
      </c>
      <c r="N22" s="2977" t="s">
        <v>3191</v>
      </c>
    </row>
    <row r="23" spans="1:14">
      <c r="A23" s="2977" t="s">
        <v>3227</v>
      </c>
      <c r="B23" s="2977" t="s">
        <v>3146</v>
      </c>
      <c r="C23" s="2977" t="s">
        <v>3167</v>
      </c>
      <c r="D23" s="2977">
        <v>255074.7</v>
      </c>
      <c r="E23" s="2977">
        <v>430883</v>
      </c>
      <c r="F23" s="2977">
        <v>1.69</v>
      </c>
      <c r="G23" s="2977" t="s">
        <v>3228</v>
      </c>
      <c r="H23" s="2977" t="s">
        <v>3229</v>
      </c>
      <c r="I23" s="2977" t="s">
        <v>1327</v>
      </c>
      <c r="J23" s="2977">
        <v>451600</v>
      </c>
      <c r="K23" s="2977">
        <v>10480.790000000001</v>
      </c>
      <c r="L23" s="2977" t="s">
        <v>1327</v>
      </c>
      <c r="M23" s="2977" t="s">
        <v>3230</v>
      </c>
      <c r="N23" s="2977" t="s">
        <v>3201</v>
      </c>
    </row>
    <row r="24" spans="1:14">
      <c r="A24" s="2977" t="s">
        <v>3231</v>
      </c>
      <c r="B24" s="2977" t="s">
        <v>3146</v>
      </c>
      <c r="C24" s="2977" t="s">
        <v>3167</v>
      </c>
      <c r="D24" s="2977">
        <v>42900</v>
      </c>
      <c r="E24" s="2977">
        <v>156420</v>
      </c>
      <c r="F24" s="2977">
        <v>3.65</v>
      </c>
      <c r="G24" s="2977" t="s">
        <v>3168</v>
      </c>
      <c r="H24" s="2977" t="s">
        <v>3232</v>
      </c>
      <c r="I24" s="2977">
        <v>169400</v>
      </c>
      <c r="J24" s="2977">
        <v>169400</v>
      </c>
      <c r="K24" s="2977">
        <v>10829.81</v>
      </c>
      <c r="L24" s="2977">
        <v>0</v>
      </c>
      <c r="M24" s="2977" t="s">
        <v>3226</v>
      </c>
      <c r="N24" s="2977" t="s">
        <v>3171</v>
      </c>
    </row>
    <row r="25" spans="1:14">
      <c r="A25" s="2977" t="s">
        <v>3233</v>
      </c>
      <c r="B25" s="2977" t="s">
        <v>3146</v>
      </c>
      <c r="C25" s="2977" t="s">
        <v>3189</v>
      </c>
      <c r="D25" s="2977">
        <v>78813.75</v>
      </c>
      <c r="E25" s="2977">
        <v>82754</v>
      </c>
      <c r="F25" s="2977">
        <v>1.05</v>
      </c>
      <c r="G25" s="2977" t="s">
        <v>3168</v>
      </c>
      <c r="H25" s="2977" t="s">
        <v>3234</v>
      </c>
      <c r="I25" s="2977">
        <v>220000</v>
      </c>
      <c r="J25" s="2977">
        <v>233000</v>
      </c>
      <c r="K25" s="2977">
        <v>28155.74</v>
      </c>
      <c r="L25" s="2977">
        <v>5.91</v>
      </c>
      <c r="M25" s="2977" t="s">
        <v>3235</v>
      </c>
      <c r="N25" s="2977" t="s">
        <v>3171</v>
      </c>
    </row>
    <row r="26" spans="1:14">
      <c r="A26" s="2977" t="s">
        <v>3236</v>
      </c>
      <c r="B26" s="2977" t="s">
        <v>3146</v>
      </c>
      <c r="C26" s="2977" t="s">
        <v>3167</v>
      </c>
      <c r="D26" s="2977">
        <v>216360.2</v>
      </c>
      <c r="E26" s="2977">
        <v>471796</v>
      </c>
      <c r="F26" s="2977">
        <v>2.1800000000000002</v>
      </c>
      <c r="G26" s="2977" t="s">
        <v>3228</v>
      </c>
      <c r="H26" s="2977" t="s">
        <v>3237</v>
      </c>
      <c r="I26" s="2977" t="s">
        <v>1327</v>
      </c>
      <c r="J26" s="2977">
        <v>488180</v>
      </c>
      <c r="K26" s="2977">
        <v>10347.27</v>
      </c>
      <c r="L26" s="2977" t="s">
        <v>1327</v>
      </c>
      <c r="M26" s="2977" t="s">
        <v>3238</v>
      </c>
      <c r="N26" s="2977" t="s">
        <v>3187</v>
      </c>
    </row>
    <row r="27" spans="1:14">
      <c r="A27" s="2977" t="s">
        <v>3239</v>
      </c>
      <c r="B27" s="2977" t="s">
        <v>3146</v>
      </c>
      <c r="C27" s="2977" t="s">
        <v>3167</v>
      </c>
      <c r="D27" s="2977">
        <v>68943.539999999994</v>
      </c>
      <c r="E27" s="2977">
        <v>202777</v>
      </c>
      <c r="F27" s="2977">
        <v>2.94</v>
      </c>
      <c r="G27" s="2977" t="s">
        <v>3228</v>
      </c>
      <c r="H27" s="2977" t="s">
        <v>3240</v>
      </c>
      <c r="I27" s="2977" t="s">
        <v>1327</v>
      </c>
      <c r="J27" s="2977">
        <v>360770</v>
      </c>
      <c r="K27" s="2977">
        <v>17791.47</v>
      </c>
      <c r="L27" s="2977" t="s">
        <v>1327</v>
      </c>
      <c r="M27" s="2977" t="s">
        <v>3241</v>
      </c>
      <c r="N27" s="2977" t="s">
        <v>3171</v>
      </c>
    </row>
    <row r="28" spans="1:14">
      <c r="A28" s="2977" t="s">
        <v>3242</v>
      </c>
      <c r="B28" s="2977" t="s">
        <v>3146</v>
      </c>
      <c r="C28" s="2977" t="s">
        <v>3167</v>
      </c>
      <c r="D28" s="2977">
        <v>47446.64</v>
      </c>
      <c r="E28" s="2977">
        <v>178966</v>
      </c>
      <c r="F28" s="2977">
        <v>3.77</v>
      </c>
      <c r="G28" s="2977" t="s">
        <v>3228</v>
      </c>
      <c r="H28" s="2977" t="s">
        <v>3240</v>
      </c>
      <c r="I28" s="2977" t="s">
        <v>1327</v>
      </c>
      <c r="J28" s="2977">
        <v>235000</v>
      </c>
      <c r="K28" s="2977">
        <v>13130.98</v>
      </c>
      <c r="L28" s="2977" t="s">
        <v>1327</v>
      </c>
      <c r="M28" s="2977" t="s">
        <v>3243</v>
      </c>
      <c r="N28" s="2977" t="s">
        <v>3171</v>
      </c>
    </row>
    <row r="29" spans="1:14">
      <c r="A29" s="2977" t="s">
        <v>3244</v>
      </c>
      <c r="B29" s="2977" t="s">
        <v>3146</v>
      </c>
      <c r="C29" s="2977" t="s">
        <v>3167</v>
      </c>
      <c r="D29" s="2977">
        <v>136680.29999999999</v>
      </c>
      <c r="E29" s="2977">
        <v>276965</v>
      </c>
      <c r="F29" s="2977">
        <v>2.0299999999999998</v>
      </c>
      <c r="G29" s="2977" t="s">
        <v>3168</v>
      </c>
      <c r="H29" s="2977" t="s">
        <v>3245</v>
      </c>
      <c r="I29" s="2977">
        <v>214000</v>
      </c>
      <c r="J29" s="2977">
        <v>216000</v>
      </c>
      <c r="K29" s="2977">
        <v>7798.81</v>
      </c>
      <c r="L29" s="2977">
        <v>0.93</v>
      </c>
      <c r="M29" s="2977" t="s">
        <v>3246</v>
      </c>
      <c r="N29" s="2977" t="s">
        <v>3171</v>
      </c>
    </row>
    <row r="30" spans="1:14">
      <c r="A30" s="2977" t="s">
        <v>3247</v>
      </c>
      <c r="B30" s="2977" t="s">
        <v>3146</v>
      </c>
      <c r="C30" s="2977" t="s">
        <v>3167</v>
      </c>
      <c r="D30" s="2977">
        <v>118111</v>
      </c>
      <c r="E30" s="2977">
        <v>288137</v>
      </c>
      <c r="F30" s="2977">
        <v>2.44</v>
      </c>
      <c r="G30" s="2977" t="s">
        <v>3168</v>
      </c>
      <c r="H30" s="2977" t="s">
        <v>3248</v>
      </c>
      <c r="I30" s="2977">
        <v>129000</v>
      </c>
      <c r="J30" s="2977">
        <v>154800</v>
      </c>
      <c r="K30" s="2977">
        <v>5372.43</v>
      </c>
      <c r="L30" s="2977">
        <v>20</v>
      </c>
      <c r="M30" s="2977" t="s">
        <v>3249</v>
      </c>
      <c r="N30" s="2977" t="s">
        <v>3171</v>
      </c>
    </row>
    <row r="31" spans="1:14">
      <c r="A31" s="2977" t="s">
        <v>3250</v>
      </c>
      <c r="B31" s="2977" t="s">
        <v>3146</v>
      </c>
      <c r="C31" s="2977" t="s">
        <v>3189</v>
      </c>
      <c r="D31" s="2977">
        <v>182569</v>
      </c>
      <c r="E31" s="2977">
        <v>511193</v>
      </c>
      <c r="F31" s="2977">
        <v>2.8</v>
      </c>
      <c r="G31" s="2977" t="s">
        <v>3168</v>
      </c>
      <c r="H31" s="2977" t="s">
        <v>3251</v>
      </c>
      <c r="I31" s="2977">
        <v>305125</v>
      </c>
      <c r="J31" s="2977">
        <v>356000</v>
      </c>
      <c r="K31" s="2977">
        <v>6964.1</v>
      </c>
      <c r="L31" s="2977">
        <v>16.670000000000002</v>
      </c>
      <c r="M31" s="2977" t="s">
        <v>3252</v>
      </c>
      <c r="N31" s="2977" t="s">
        <v>3201</v>
      </c>
    </row>
    <row r="32" spans="1:14">
      <c r="A32" s="2977" t="s">
        <v>3253</v>
      </c>
      <c r="B32" s="2977" t="s">
        <v>3146</v>
      </c>
      <c r="C32" s="2977" t="s">
        <v>3167</v>
      </c>
      <c r="D32" s="2977">
        <v>55300.86</v>
      </c>
      <c r="E32" s="2977">
        <v>177941</v>
      </c>
      <c r="F32" s="2977">
        <v>3.22</v>
      </c>
      <c r="G32" s="2977" t="s">
        <v>3228</v>
      </c>
      <c r="H32" s="2977" t="s">
        <v>3254</v>
      </c>
      <c r="I32" s="2977" t="s">
        <v>1327</v>
      </c>
      <c r="J32" s="2977">
        <v>118800</v>
      </c>
      <c r="K32" s="2977">
        <v>6676.36</v>
      </c>
      <c r="L32" s="2977" t="s">
        <v>1327</v>
      </c>
      <c r="M32" s="2977" t="s">
        <v>3230</v>
      </c>
      <c r="N32" s="2977" t="s">
        <v>3187</v>
      </c>
    </row>
    <row r="33" spans="1:14">
      <c r="A33" s="2977" t="s">
        <v>3255</v>
      </c>
      <c r="B33" s="2977" t="s">
        <v>3146</v>
      </c>
      <c r="C33" s="2977" t="s">
        <v>3167</v>
      </c>
      <c r="D33" s="2977">
        <v>68833.649999999994</v>
      </c>
      <c r="E33" s="2977">
        <v>172084</v>
      </c>
      <c r="F33" s="2977">
        <v>2.5</v>
      </c>
      <c r="G33" s="2977" t="s">
        <v>3228</v>
      </c>
      <c r="H33" s="2977" t="s">
        <v>3254</v>
      </c>
      <c r="I33" s="2977" t="s">
        <v>1327</v>
      </c>
      <c r="J33" s="2977">
        <v>105080</v>
      </c>
      <c r="K33" s="2977">
        <v>6106.31</v>
      </c>
      <c r="L33" s="2977" t="s">
        <v>1327</v>
      </c>
      <c r="M33" s="2977" t="s">
        <v>3256</v>
      </c>
      <c r="N33" s="2977" t="s">
        <v>3201</v>
      </c>
    </row>
    <row r="34" spans="1:14">
      <c r="A34" s="2977" t="s">
        <v>3257</v>
      </c>
      <c r="B34" s="2977" t="s">
        <v>3146</v>
      </c>
      <c r="C34" s="2977" t="s">
        <v>3167</v>
      </c>
      <c r="D34" s="2977">
        <v>259387.5</v>
      </c>
      <c r="E34" s="2977">
        <v>516351</v>
      </c>
      <c r="F34" s="2977">
        <v>2</v>
      </c>
      <c r="G34" s="2977" t="s">
        <v>3228</v>
      </c>
      <c r="H34" s="2977" t="s">
        <v>3258</v>
      </c>
      <c r="I34" s="2977" t="s">
        <v>1327</v>
      </c>
      <c r="J34" s="2977">
        <v>470000</v>
      </c>
      <c r="K34" s="2977">
        <v>9102.34</v>
      </c>
      <c r="L34" s="2977" t="s">
        <v>1327</v>
      </c>
      <c r="M34" s="2977" t="s">
        <v>3259</v>
      </c>
      <c r="N34" s="2977" t="s">
        <v>3171</v>
      </c>
    </row>
    <row r="35" spans="1:14">
      <c r="A35" s="2977" t="s">
        <v>3260</v>
      </c>
      <c r="B35" s="2977" t="s">
        <v>3146</v>
      </c>
      <c r="C35" s="2977" t="s">
        <v>3167</v>
      </c>
      <c r="D35" s="2977">
        <v>76854</v>
      </c>
      <c r="E35" s="2977">
        <v>169079</v>
      </c>
      <c r="F35" s="2977">
        <v>2.2000000000000002</v>
      </c>
      <c r="G35" s="2977" t="s">
        <v>3168</v>
      </c>
      <c r="H35" s="2977" t="s">
        <v>3261</v>
      </c>
      <c r="I35" s="2977">
        <v>55000</v>
      </c>
      <c r="J35" s="2977">
        <v>80000</v>
      </c>
      <c r="K35" s="2977">
        <v>4731.5200000000004</v>
      </c>
      <c r="L35" s="2977">
        <v>45.45</v>
      </c>
      <c r="M35" s="2977" t="s">
        <v>3262</v>
      </c>
      <c r="N35" s="2977" t="s">
        <v>3201</v>
      </c>
    </row>
    <row r="36" spans="1:14">
      <c r="A36" s="2977" t="s">
        <v>3263</v>
      </c>
      <c r="B36" s="2977" t="s">
        <v>3146</v>
      </c>
      <c r="C36" s="2977" t="s">
        <v>3167</v>
      </c>
      <c r="D36" s="2977">
        <v>76674</v>
      </c>
      <c r="E36" s="2977">
        <v>175155</v>
      </c>
      <c r="F36" s="2977">
        <v>2.2799999999999998</v>
      </c>
      <c r="G36" s="2977" t="s">
        <v>3168</v>
      </c>
      <c r="H36" s="2977" t="s">
        <v>3264</v>
      </c>
      <c r="I36" s="2977">
        <v>90000</v>
      </c>
      <c r="J36" s="2977">
        <v>128000</v>
      </c>
      <c r="K36" s="2977">
        <v>7307.81</v>
      </c>
      <c r="L36" s="2977">
        <v>42.22</v>
      </c>
      <c r="M36" s="2977" t="s">
        <v>3265</v>
      </c>
      <c r="N36" s="2977" t="s">
        <v>3171</v>
      </c>
    </row>
    <row r="37" spans="1:14">
      <c r="A37" s="2977" t="s">
        <v>3266</v>
      </c>
      <c r="B37" s="2977" t="s">
        <v>3146</v>
      </c>
      <c r="C37" s="2977" t="s">
        <v>3167</v>
      </c>
      <c r="D37" s="2977">
        <v>143386</v>
      </c>
      <c r="E37" s="2977">
        <v>308589</v>
      </c>
      <c r="F37" s="2977">
        <v>2.15</v>
      </c>
      <c r="G37" s="2977" t="s">
        <v>3168</v>
      </c>
      <c r="H37" s="2977" t="s">
        <v>3267</v>
      </c>
      <c r="I37" s="2977">
        <v>160000</v>
      </c>
      <c r="J37" s="2977">
        <v>160000</v>
      </c>
      <c r="K37" s="2977">
        <v>5184.8900000000003</v>
      </c>
      <c r="L37" s="2977">
        <v>0</v>
      </c>
      <c r="M37" s="2977" t="s">
        <v>3268</v>
      </c>
      <c r="N37" s="2977" t="s">
        <v>3171</v>
      </c>
    </row>
    <row r="38" spans="1:14">
      <c r="A38" s="2977" t="s">
        <v>3269</v>
      </c>
      <c r="B38" s="2977" t="s">
        <v>3146</v>
      </c>
      <c r="C38" s="2977" t="s">
        <v>3189</v>
      </c>
      <c r="D38" s="2977">
        <v>57753</v>
      </c>
      <c r="E38" s="2977">
        <v>115506</v>
      </c>
      <c r="F38" s="2977">
        <v>2</v>
      </c>
      <c r="G38" s="2977" t="s">
        <v>3228</v>
      </c>
      <c r="H38" s="2977" t="s">
        <v>3270</v>
      </c>
      <c r="I38" s="2977" t="s">
        <v>1327</v>
      </c>
      <c r="J38" s="2977">
        <v>88020</v>
      </c>
      <c r="K38" s="2977">
        <v>7620.38</v>
      </c>
      <c r="L38" s="2977" t="s">
        <v>1327</v>
      </c>
      <c r="M38" s="2977" t="s">
        <v>3271</v>
      </c>
      <c r="N38" s="2977" t="s">
        <v>3171</v>
      </c>
    </row>
    <row r="39" spans="1:14">
      <c r="A39" s="2977" t="s">
        <v>3272</v>
      </c>
      <c r="B39" s="2977" t="s">
        <v>3146</v>
      </c>
      <c r="C39" s="2977" t="s">
        <v>3189</v>
      </c>
      <c r="D39" s="2977">
        <v>63940.42</v>
      </c>
      <c r="E39" s="2977">
        <v>95911</v>
      </c>
      <c r="F39" s="2977">
        <v>1.5</v>
      </c>
      <c r="G39" s="2977" t="s">
        <v>3228</v>
      </c>
      <c r="H39" s="2977" t="s">
        <v>3273</v>
      </c>
      <c r="I39" s="2977">
        <v>59500</v>
      </c>
      <c r="J39" s="2977">
        <v>95910</v>
      </c>
      <c r="K39" s="2977">
        <v>9999.89</v>
      </c>
      <c r="L39" s="2977">
        <v>61.19</v>
      </c>
      <c r="M39" s="2977" t="s">
        <v>3274</v>
      </c>
      <c r="N39" s="2977" t="s">
        <v>3201</v>
      </c>
    </row>
    <row r="40" spans="1:14">
      <c r="A40" s="2977" t="s">
        <v>3275</v>
      </c>
      <c r="B40" s="2977" t="s">
        <v>3146</v>
      </c>
      <c r="C40" s="2977" t="s">
        <v>3167</v>
      </c>
      <c r="D40" s="2977">
        <v>107749</v>
      </c>
      <c r="E40" s="2977">
        <v>237048</v>
      </c>
      <c r="F40" s="2977">
        <v>2.2000000000000002</v>
      </c>
      <c r="G40" s="2977" t="s">
        <v>3228</v>
      </c>
      <c r="H40" s="2977" t="s">
        <v>3273</v>
      </c>
      <c r="I40" s="2977">
        <v>116000</v>
      </c>
      <c r="J40" s="2977">
        <v>172570.89</v>
      </c>
      <c r="K40" s="2977">
        <v>7280</v>
      </c>
      <c r="L40" s="2977">
        <v>48.77</v>
      </c>
      <c r="M40" s="2977" t="s">
        <v>3276</v>
      </c>
      <c r="N40" s="2977" t="s">
        <v>3201</v>
      </c>
    </row>
    <row r="41" spans="1:14">
      <c r="A41" s="2977" t="s">
        <v>3277</v>
      </c>
      <c r="B41" s="2977" t="s">
        <v>3146</v>
      </c>
      <c r="C41" s="2977" t="s">
        <v>3167</v>
      </c>
      <c r="D41" s="2977">
        <v>113707.5</v>
      </c>
      <c r="E41" s="2977">
        <v>136449</v>
      </c>
      <c r="F41" s="2977">
        <v>1.2</v>
      </c>
      <c r="G41" s="2977" t="s">
        <v>3228</v>
      </c>
      <c r="H41" s="2977" t="s">
        <v>3273</v>
      </c>
      <c r="I41" s="2977">
        <v>88700</v>
      </c>
      <c r="J41" s="2977">
        <v>123800</v>
      </c>
      <c r="K41" s="2977">
        <v>9072.98</v>
      </c>
      <c r="L41" s="2977">
        <v>39.57</v>
      </c>
      <c r="M41" s="2977" t="s">
        <v>3278</v>
      </c>
      <c r="N41" s="2977" t="s">
        <v>3201</v>
      </c>
    </row>
    <row r="42" spans="1:14">
      <c r="A42" s="2977" t="s">
        <v>3279</v>
      </c>
      <c r="B42" s="2977" t="s">
        <v>3146</v>
      </c>
      <c r="C42" s="2977" t="s">
        <v>3167</v>
      </c>
      <c r="D42" s="2977">
        <v>54942.31</v>
      </c>
      <c r="E42" s="2977">
        <v>104004.6</v>
      </c>
      <c r="F42" s="2977">
        <v>1.89</v>
      </c>
      <c r="G42" s="2977" t="s">
        <v>3228</v>
      </c>
      <c r="H42" s="2977" t="s">
        <v>3280</v>
      </c>
      <c r="I42" s="2977" t="s">
        <v>1327</v>
      </c>
      <c r="J42" s="2977">
        <v>29026</v>
      </c>
      <c r="K42" s="2977">
        <v>2790.84</v>
      </c>
      <c r="L42" s="2977" t="s">
        <v>1327</v>
      </c>
      <c r="M42" s="2977" t="s">
        <v>3281</v>
      </c>
      <c r="N42" s="2977" t="s">
        <v>3201</v>
      </c>
    </row>
    <row r="43" spans="1:14">
      <c r="A43" s="2977" t="s">
        <v>3282</v>
      </c>
      <c r="B43" s="2977" t="s">
        <v>3146</v>
      </c>
      <c r="C43" s="2977" t="s">
        <v>3189</v>
      </c>
      <c r="D43" s="2977">
        <v>48560</v>
      </c>
      <c r="E43" s="2977">
        <v>106832</v>
      </c>
      <c r="F43" s="2977">
        <v>2.2000000000000002</v>
      </c>
      <c r="G43" s="2977" t="s">
        <v>3228</v>
      </c>
      <c r="H43" s="2977" t="s">
        <v>3280</v>
      </c>
      <c r="I43" s="2977" t="s">
        <v>1327</v>
      </c>
      <c r="J43" s="2977">
        <v>32266</v>
      </c>
      <c r="K43" s="2977">
        <v>3020.26</v>
      </c>
      <c r="L43" s="2977" t="s">
        <v>1327</v>
      </c>
      <c r="M43" s="2977" t="s">
        <v>3283</v>
      </c>
      <c r="N43" s="2977" t="s">
        <v>3171</v>
      </c>
    </row>
    <row r="44" spans="1:14">
      <c r="A44" s="2977" t="s">
        <v>3284</v>
      </c>
      <c r="B44" s="2977" t="s">
        <v>3146</v>
      </c>
      <c r="C44" s="2977" t="s">
        <v>3167</v>
      </c>
      <c r="D44" s="2977">
        <v>137090</v>
      </c>
      <c r="E44" s="2977">
        <v>364613</v>
      </c>
      <c r="F44" s="2977">
        <v>2.66</v>
      </c>
      <c r="G44" s="2977" t="s">
        <v>3168</v>
      </c>
      <c r="H44" s="2977" t="s">
        <v>3285</v>
      </c>
      <c r="I44" s="2977">
        <v>150000</v>
      </c>
      <c r="J44" s="2977">
        <v>211000</v>
      </c>
      <c r="K44" s="2977">
        <v>5786.96</v>
      </c>
      <c r="L44" s="2977">
        <v>40.67</v>
      </c>
      <c r="M44" s="2977" t="s">
        <v>3286</v>
      </c>
      <c r="N44" s="2977" t="s">
        <v>3287</v>
      </c>
    </row>
    <row r="45" spans="1:14">
      <c r="A45" s="2977" t="s">
        <v>3288</v>
      </c>
      <c r="B45" s="2977" t="s">
        <v>3146</v>
      </c>
      <c r="C45" s="2977" t="s">
        <v>3189</v>
      </c>
      <c r="D45" s="2977">
        <v>68917</v>
      </c>
      <c r="E45" s="2977">
        <v>192967</v>
      </c>
      <c r="F45" s="2977">
        <v>2.8</v>
      </c>
      <c r="G45" s="2977" t="s">
        <v>3228</v>
      </c>
      <c r="H45" s="2977" t="s">
        <v>3289</v>
      </c>
      <c r="I45" s="2977">
        <v>103510</v>
      </c>
      <c r="J45" s="2977">
        <v>128000</v>
      </c>
      <c r="K45" s="2977">
        <v>6633.26</v>
      </c>
      <c r="L45" s="2977">
        <v>23.66</v>
      </c>
      <c r="M45" s="2977" t="s">
        <v>3290</v>
      </c>
      <c r="N45" s="2977" t="s">
        <v>3287</v>
      </c>
    </row>
    <row r="46" spans="1:14">
      <c r="A46" s="2977" t="s">
        <v>3291</v>
      </c>
      <c r="B46" s="2977" t="s">
        <v>3146</v>
      </c>
      <c r="C46" s="2977" t="s">
        <v>3167</v>
      </c>
      <c r="D46" s="2977">
        <v>28125</v>
      </c>
      <c r="E46" s="2977">
        <v>70313</v>
      </c>
      <c r="F46" s="2977" t="s">
        <v>1327</v>
      </c>
      <c r="G46" s="2977" t="s">
        <v>3228</v>
      </c>
      <c r="H46" s="2977" t="s">
        <v>3292</v>
      </c>
      <c r="I46" s="2977">
        <v>25810</v>
      </c>
      <c r="J46" s="2977">
        <v>33750.230000000003</v>
      </c>
      <c r="K46" s="2977">
        <v>4800</v>
      </c>
      <c r="L46" s="2977">
        <v>30.76</v>
      </c>
      <c r="M46" s="2977" t="s">
        <v>3293</v>
      </c>
      <c r="N46" s="2977" t="s">
        <v>3187</v>
      </c>
    </row>
    <row r="47" spans="1:14">
      <c r="A47" s="2977" t="s">
        <v>3294</v>
      </c>
      <c r="B47" s="2977" t="s">
        <v>3146</v>
      </c>
      <c r="C47" s="2977" t="s">
        <v>3167</v>
      </c>
      <c r="D47" s="2977">
        <v>156479</v>
      </c>
      <c r="E47" s="2977">
        <v>234719</v>
      </c>
      <c r="F47" s="2977" t="s">
        <v>1327</v>
      </c>
      <c r="G47" s="2977" t="s">
        <v>3228</v>
      </c>
      <c r="H47" s="2977" t="s">
        <v>3295</v>
      </c>
      <c r="I47" s="2977" t="s">
        <v>1327</v>
      </c>
      <c r="J47" s="2977">
        <v>180733</v>
      </c>
      <c r="K47" s="2977">
        <v>7699.97</v>
      </c>
      <c r="L47" s="2977" t="s">
        <v>1327</v>
      </c>
      <c r="M47" s="2977" t="s">
        <v>3296</v>
      </c>
      <c r="N47" s="2977" t="s">
        <v>3171</v>
      </c>
    </row>
    <row r="48" spans="1:14">
      <c r="A48" s="2977" t="s">
        <v>3297</v>
      </c>
      <c r="B48" s="2977" t="s">
        <v>3146</v>
      </c>
      <c r="C48" s="2977" t="s">
        <v>3167</v>
      </c>
      <c r="D48" s="2977">
        <v>152307</v>
      </c>
      <c r="E48" s="2977">
        <v>152307</v>
      </c>
      <c r="F48" s="2977" t="s">
        <v>1327</v>
      </c>
      <c r="G48" s="2977" t="s">
        <v>3168</v>
      </c>
      <c r="H48" s="2977" t="s">
        <v>3298</v>
      </c>
      <c r="I48" s="2977">
        <v>100000</v>
      </c>
      <c r="J48" s="2977">
        <v>230000</v>
      </c>
      <c r="K48" s="2977">
        <v>15101.07</v>
      </c>
      <c r="L48" s="2977">
        <v>130</v>
      </c>
      <c r="M48" s="2977" t="s">
        <v>3299</v>
      </c>
      <c r="N48" s="2977" t="s">
        <v>3187</v>
      </c>
    </row>
    <row r="49" spans="1:14">
      <c r="A49" s="2977" t="s">
        <v>3300</v>
      </c>
      <c r="B49" s="2977" t="s">
        <v>3146</v>
      </c>
      <c r="C49" s="2977" t="s">
        <v>3167</v>
      </c>
      <c r="D49" s="2977">
        <v>34702.080000000002</v>
      </c>
      <c r="E49" s="2977">
        <v>69404.149999999994</v>
      </c>
      <c r="F49" s="2977" t="s">
        <v>1327</v>
      </c>
      <c r="G49" s="2977" t="s">
        <v>3168</v>
      </c>
      <c r="H49" s="2977" t="s">
        <v>3298</v>
      </c>
      <c r="I49" s="2977">
        <v>17160</v>
      </c>
      <c r="J49" s="2977">
        <v>29000</v>
      </c>
      <c r="K49" s="2977">
        <v>4178.42</v>
      </c>
      <c r="L49" s="2977">
        <v>69</v>
      </c>
      <c r="M49" s="2977" t="s">
        <v>3301</v>
      </c>
      <c r="N49" s="2977" t="s">
        <v>3171</v>
      </c>
    </row>
    <row r="50" spans="1:14">
      <c r="A50" s="2977" t="s">
        <v>3302</v>
      </c>
      <c r="B50" s="2977" t="s">
        <v>3146</v>
      </c>
      <c r="C50" s="2977" t="s">
        <v>3167</v>
      </c>
      <c r="D50" s="2977">
        <v>36552</v>
      </c>
      <c r="E50" s="2977">
        <v>91379</v>
      </c>
      <c r="F50" s="2977" t="s">
        <v>1327</v>
      </c>
      <c r="G50" s="2977" t="s">
        <v>3168</v>
      </c>
      <c r="H50" s="2977" t="s">
        <v>3298</v>
      </c>
      <c r="I50" s="2977">
        <v>36007</v>
      </c>
      <c r="J50" s="2977">
        <v>68000</v>
      </c>
      <c r="K50" s="2977">
        <v>7441.52</v>
      </c>
      <c r="L50" s="2977">
        <v>88.85</v>
      </c>
      <c r="M50" s="2977" t="s">
        <v>3303</v>
      </c>
      <c r="N50" s="2977" t="s">
        <v>3191</v>
      </c>
    </row>
    <row r="51" spans="1:14">
      <c r="A51" s="2977" t="s">
        <v>3304</v>
      </c>
      <c r="B51" s="2977" t="s">
        <v>3146</v>
      </c>
      <c r="C51" s="2977" t="s">
        <v>3167</v>
      </c>
      <c r="D51" s="2977">
        <v>84140.42</v>
      </c>
      <c r="E51" s="2977">
        <v>201721.1</v>
      </c>
      <c r="F51" s="2977">
        <v>2.4</v>
      </c>
      <c r="G51" s="2977" t="s">
        <v>3168</v>
      </c>
      <c r="H51" s="2977" t="s">
        <v>3305</v>
      </c>
      <c r="I51" s="2977">
        <v>36847</v>
      </c>
      <c r="J51" s="2977">
        <v>71200</v>
      </c>
      <c r="K51" s="2977">
        <v>3529.63</v>
      </c>
      <c r="L51" s="2977">
        <v>93.23</v>
      </c>
      <c r="M51" s="2977" t="s">
        <v>3306</v>
      </c>
      <c r="N51" s="2977" t="s">
        <v>3171</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7" sqref="G2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2805</v>
      </c>
      <c r="B1" s="240"/>
      <c r="C1" s="244" t="s">
        <v>2806</v>
      </c>
      <c r="D1" s="387">
        <f>SUM(D29:D30,D33:D39)</f>
        <v>89778.47</v>
      </c>
      <c r="E1" s="2722"/>
      <c r="F1" s="2722"/>
      <c r="G1" s="2722"/>
      <c r="H1" s="2722"/>
      <c r="I1" s="2722"/>
      <c r="J1" s="2722"/>
      <c r="K1" s="1372"/>
      <c r="L1" s="2723" t="s">
        <v>2807</v>
      </c>
      <c r="M1" s="1082">
        <f>SUMPRODUCT((区片价!B5:B9=I2)*(区片价!C3:F3=E2)*(区片价!C5:F9))</f>
        <v>0</v>
      </c>
      <c r="N1" s="1085">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86959</v>
      </c>
      <c r="C2" s="2726" t="s">
        <v>2814</v>
      </c>
      <c r="D2" s="2727" t="s">
        <v>2815</v>
      </c>
      <c r="E2" s="2728" t="s">
        <v>3066</v>
      </c>
      <c r="F2" s="2727" t="s">
        <v>2816</v>
      </c>
      <c r="G2" s="2729" t="str">
        <f>IF(E2="商业",项目基本情况!B37,IF(E2="办公",项目基本情况!C37,IF(E2="住宅",项目基本情况!D37,项目基本情况!E37)))</f>
        <v>八级</v>
      </c>
      <c r="H2" s="2727" t="s">
        <v>2817</v>
      </c>
      <c r="I2" s="2729" t="str">
        <f>IF(E2="商业",项目基本情况!B38,IF(E2="办公",项目基本情况!C38,IF(E2="住宅",项目基本情况!D38,项目基本情况!E38)))</f>
        <v>Ⅷ-昌1</v>
      </c>
      <c r="J2" s="2730"/>
      <c r="K2" s="1372"/>
      <c r="L2" s="2731"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20958</v>
      </c>
      <c r="U2" s="1605"/>
      <c r="V2" s="1604">
        <f ca="1">ROUND(T2*U2/10000,0)</f>
        <v>0</v>
      </c>
      <c r="W2" s="1608"/>
      <c r="X2" s="1608"/>
      <c r="Y2" s="1608"/>
      <c r="Z2" s="1608"/>
      <c r="AA2" s="1608"/>
      <c r="AB2" s="1608"/>
      <c r="AC2" s="1609"/>
      <c r="AD2" s="1610"/>
      <c r="AE2" s="1610"/>
      <c r="AF2" s="1610"/>
      <c r="AG2" s="1610"/>
      <c r="AH2" s="1610"/>
      <c r="AI2" s="1610"/>
      <c r="AJ2" s="1611"/>
    </row>
    <row r="3" spans="1:36" ht="25.5">
      <c r="A3" s="246" t="s">
        <v>2819</v>
      </c>
      <c r="B3" s="247">
        <f ca="1">ROUND(B2*10000/D1,0)</f>
        <v>9686</v>
      </c>
      <c r="C3" s="2726" t="s">
        <v>2820</v>
      </c>
      <c r="D3" s="2727" t="s">
        <v>2821</v>
      </c>
      <c r="E3" s="2732" t="s">
        <v>3340</v>
      </c>
      <c r="F3" s="2733" t="s">
        <v>2822</v>
      </c>
      <c r="G3" s="915">
        <f>IF(F3="宗地容积率",'数据-汇总表'!I4,IF(F3="估价对象容积率",'数据-汇总表'!I6,'数据-汇总表'!I7))</f>
        <v>2.2000000000000002</v>
      </c>
      <c r="H3" s="197" t="s">
        <v>2823</v>
      </c>
      <c r="I3" s="946"/>
      <c r="J3" s="2730" t="s">
        <v>2824</v>
      </c>
      <c r="K3" s="1372"/>
      <c r="L3" s="2731"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13812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2"/>
      <c r="B4" s="3273"/>
      <c r="C4" s="3273"/>
      <c r="D4" s="3274"/>
      <c r="E4" s="3274"/>
      <c r="F4" s="3274"/>
      <c r="G4" s="3274"/>
      <c r="H4" s="3274"/>
      <c r="I4" s="3274"/>
      <c r="J4" s="3275"/>
      <c r="K4" s="1372"/>
      <c r="L4" s="2731"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10870</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6">
        <f>ROUND(IF(E2="商业",IF(F16="增加",C6*C7+C16,C6*C7-C16),IF(E2="住宅",IF(F16="增加",C6*C12+C16,C6*C12-C16),IF(F16="增加",C6+C16,C6-C16))),0)</f>
        <v>7041</v>
      </c>
      <c r="D5" s="1789">
        <f>ROUND(IF(F16="增加",C6+C16,C6-C16),0)</f>
        <v>5827</v>
      </c>
      <c r="E5" s="1789"/>
      <c r="F5" s="2736"/>
      <c r="G5" s="2737"/>
      <c r="H5" s="2737"/>
      <c r="I5" s="2737"/>
      <c r="J5" s="2738"/>
      <c r="K5" s="2739"/>
      <c r="L5" s="2731"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8121</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2829</v>
      </c>
      <c r="B6" s="2745" t="s">
        <v>2830</v>
      </c>
      <c r="C6" s="917">
        <f>SUMIF(L1:L12,G2,M1:M12)</f>
        <v>5780</v>
      </c>
      <c r="D6" s="2746" t="s">
        <v>2831</v>
      </c>
      <c r="E6" s="2747"/>
      <c r="F6" s="2747"/>
      <c r="G6" s="2748"/>
      <c r="H6" s="2748"/>
      <c r="I6" s="2748"/>
      <c r="J6" s="2749"/>
      <c r="K6" s="1844"/>
      <c r="L6" s="2731"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6107</v>
      </c>
      <c r="U6" s="1605"/>
      <c r="V6" s="1604">
        <f t="shared" ca="1" si="1"/>
        <v>0</v>
      </c>
      <c r="W6" s="1608"/>
      <c r="X6" s="1608"/>
      <c r="Y6" s="1608"/>
      <c r="Z6" s="1608"/>
      <c r="AA6" s="1608"/>
      <c r="AB6" s="1608"/>
      <c r="AC6" s="2740"/>
      <c r="AD6" s="2741"/>
      <c r="AE6" s="2741"/>
      <c r="AF6" s="2741"/>
      <c r="AG6" s="2741"/>
      <c r="AH6" s="2741"/>
      <c r="AI6" s="2741"/>
      <c r="AJ6" s="2742"/>
    </row>
    <row r="7" spans="1:36" ht="24">
      <c r="A7" s="3258" t="str">
        <f>IF(E2="商业",IF(C8="不临58条商业街","",2),"")</f>
        <v/>
      </c>
      <c r="B7" s="2750" t="s">
        <v>2833</v>
      </c>
      <c r="C7" s="918">
        <f>IF(C8="不临58条商业街",1,ROUND(1+(1.6*E8+1.2*E9+0.8*E10+0.4*E11)*C9,4))</f>
        <v>1</v>
      </c>
      <c r="D7" s="2751" t="s">
        <v>2834</v>
      </c>
      <c r="E7" s="947"/>
      <c r="F7" s="2752"/>
      <c r="G7" s="2753"/>
      <c r="H7" s="2753"/>
      <c r="I7" s="2753"/>
      <c r="J7" s="2754"/>
      <c r="K7" s="1844"/>
      <c r="L7" s="2731"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4883</v>
      </c>
      <c r="U7" s="1605"/>
      <c r="V7" s="1604">
        <f t="shared" ca="1" si="1"/>
        <v>0</v>
      </c>
      <c r="W7" s="2995" t="s">
        <v>2836</v>
      </c>
      <c r="X7" s="1606" t="str">
        <f>G2</f>
        <v>八级</v>
      </c>
      <c r="Y7" s="1606" t="s">
        <v>2837</v>
      </c>
      <c r="Z7" s="1607">
        <f>G3</f>
        <v>2.2000000000000002</v>
      </c>
      <c r="AA7" s="1608"/>
      <c r="AB7" s="1608"/>
      <c r="AC7" s="1609"/>
      <c r="AD7" s="1610"/>
      <c r="AE7" s="1610"/>
      <c r="AF7" s="1610"/>
      <c r="AG7" s="1610"/>
      <c r="AH7" s="1610"/>
      <c r="AI7" s="1610"/>
      <c r="AJ7" s="1611"/>
    </row>
    <row r="8" spans="1:36" ht="25.5">
      <c r="A8" s="3259"/>
      <c r="B8" s="197" t="s">
        <v>2838</v>
      </c>
      <c r="C8" s="2755" t="s">
        <v>3151</v>
      </c>
      <c r="D8" s="919" t="s">
        <v>139</v>
      </c>
      <c r="E8" s="920" t="e">
        <f>ROUND(C11/E7,4)</f>
        <v>#DIV/0!</v>
      </c>
      <c r="F8" s="2756" t="s">
        <v>2839</v>
      </c>
      <c r="G8" s="2757"/>
      <c r="H8" s="2757"/>
      <c r="I8" s="2757"/>
      <c r="J8" s="2758"/>
      <c r="K8" s="1372"/>
      <c r="L8" s="2731" t="s">
        <v>2840</v>
      </c>
      <c r="M8" s="1083">
        <f>SUMPRODUCT((区片价!B206:B244=I2)*(区片价!C3:F3=E2)*(区片价!C206:F244))</f>
        <v>5780</v>
      </c>
      <c r="N8" s="1085">
        <f>SUMPRODUCT((因素修正幅度!B206:B244=I2)*(因素修正幅度!C3:F3=E2)*(因素修正幅度!C206:F244))</f>
        <v>0.15</v>
      </c>
      <c r="O8" s="1372"/>
      <c r="P8" s="1372"/>
      <c r="Q8" s="1372"/>
      <c r="R8" s="1604">
        <v>7</v>
      </c>
      <c r="S8" s="1605"/>
      <c r="T8" s="1604">
        <f t="shared" ca="1" si="0"/>
        <v>0</v>
      </c>
      <c r="U8" s="1605"/>
      <c r="V8" s="1604">
        <f t="shared" ca="1" si="1"/>
        <v>0</v>
      </c>
      <c r="W8" s="3269" t="s">
        <v>2841</v>
      </c>
      <c r="X8" s="3270"/>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9"/>
      <c r="B9" s="197" t="s">
        <v>2854</v>
      </c>
      <c r="C9" s="921">
        <f>SUMIF(修正!C59:C119,C8,修正!E59:E119)</f>
        <v>0</v>
      </c>
      <c r="D9" s="199" t="s">
        <v>140</v>
      </c>
      <c r="E9" s="199" t="e">
        <f>ROUND(C11/E7,4)</f>
        <v>#DIV/0!</v>
      </c>
      <c r="F9" s="2756" t="s">
        <v>2855</v>
      </c>
      <c r="G9" s="2757"/>
      <c r="H9" s="2757"/>
      <c r="I9" s="2757"/>
      <c r="J9" s="2758"/>
      <c r="K9" s="1372"/>
      <c r="L9" s="2731"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71"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9"/>
      <c r="B10" s="197" t="s">
        <v>2859</v>
      </c>
      <c r="C10" s="199">
        <f>SUMIF(修正!C59:C119,C8,修正!F59:F119)</f>
        <v>0</v>
      </c>
      <c r="D10" s="199" t="s">
        <v>141</v>
      </c>
      <c r="E10" s="199" t="e">
        <f>ROUND(C11/E7,4)</f>
        <v>#DIV/0!</v>
      </c>
      <c r="F10" s="2756" t="s">
        <v>2860</v>
      </c>
      <c r="G10" s="2757"/>
      <c r="H10" s="2757"/>
      <c r="I10" s="2757"/>
      <c r="J10" s="2758"/>
      <c r="K10" s="1372"/>
      <c r="L10" s="2731"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7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9"/>
      <c r="B11" s="2759" t="s">
        <v>2862</v>
      </c>
      <c r="C11" s="922">
        <f>C10/4</f>
        <v>0</v>
      </c>
      <c r="D11" s="922" t="s">
        <v>142</v>
      </c>
      <c r="E11" s="922" t="e">
        <f>ROUND(C11/E7,4)</f>
        <v>#DIV/0!</v>
      </c>
      <c r="F11" s="2760" t="s">
        <v>2863</v>
      </c>
      <c r="G11" s="2761"/>
      <c r="H11" s="2761"/>
      <c r="I11" s="2761"/>
      <c r="J11" s="2762"/>
      <c r="K11" s="1372"/>
      <c r="L11" s="2731"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71" t="s">
        <v>2865</v>
      </c>
      <c r="X11" s="1616" t="s">
        <v>2837</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58" t="s">
        <v>2867</v>
      </c>
      <c r="B12" s="2763" t="s">
        <v>2868</v>
      </c>
      <c r="C12" s="918">
        <f>ROUND(C15*D15*E15*F15*G15*H15*I15*J15,4)</f>
        <v>1.21</v>
      </c>
      <c r="D12" s="2764" t="s">
        <v>2869</v>
      </c>
      <c r="E12" s="2765"/>
      <c r="F12" s="2765"/>
      <c r="G12" s="2766"/>
      <c r="H12" s="2766"/>
      <c r="I12" s="2766"/>
      <c r="J12" s="2767"/>
      <c r="K12" s="1372"/>
      <c r="L12" s="2768"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71"/>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6"/>
      <c r="B13" s="2769" t="s">
        <v>2872</v>
      </c>
      <c r="C13" s="2770" t="s">
        <v>2873</v>
      </c>
      <c r="D13" s="2990" t="s">
        <v>2874</v>
      </c>
      <c r="E13" s="2990" t="s">
        <v>2875</v>
      </c>
      <c r="F13" s="29" t="s">
        <v>2876</v>
      </c>
      <c r="G13" s="2771" t="s">
        <v>2877</v>
      </c>
      <c r="H13" s="2771" t="s">
        <v>2877</v>
      </c>
      <c r="I13" s="2771" t="s">
        <v>2877</v>
      </c>
      <c r="J13" s="2772" t="s">
        <v>2877</v>
      </c>
      <c r="K13" s="1372"/>
      <c r="L13" s="1372"/>
      <c r="M13" s="1372"/>
      <c r="N13" s="1372"/>
      <c r="O13" s="1372"/>
      <c r="P13" s="1372"/>
      <c r="Q13" s="1372"/>
      <c r="R13" s="1604">
        <v>12</v>
      </c>
      <c r="S13" s="1605"/>
      <c r="T13" s="1604">
        <f t="shared" ca="1" si="0"/>
        <v>0</v>
      </c>
      <c r="U13" s="1605"/>
      <c r="V13" s="1604">
        <f t="shared" ca="1" si="1"/>
        <v>0</v>
      </c>
      <c r="W13" s="3271"/>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76"/>
      <c r="B14" s="2773"/>
      <c r="C14" s="2774" t="s">
        <v>3324</v>
      </c>
      <c r="D14" s="2775" t="s">
        <v>3325</v>
      </c>
      <c r="E14" s="2775" t="s">
        <v>3325</v>
      </c>
      <c r="F14" s="2776" t="s">
        <v>3326</v>
      </c>
      <c r="G14" s="2777" t="s">
        <v>2878</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7"/>
      <c r="B15" s="2781" t="s">
        <v>2879</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82" t="s">
        <v>2815</v>
      </c>
      <c r="M15" s="919" t="s">
        <v>2880</v>
      </c>
      <c r="N15" s="919" t="s">
        <v>2881</v>
      </c>
      <c r="O15" s="919" t="s">
        <v>2882</v>
      </c>
      <c r="P15" s="2783"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8" t="s">
        <v>2884</v>
      </c>
      <c r="B16" s="2750" t="s">
        <v>2885</v>
      </c>
      <c r="C16" s="2986">
        <f>ROUND(SUM(G17:J17)/C17,0)</f>
        <v>47</v>
      </c>
      <c r="D16" s="2784" t="s">
        <v>2886</v>
      </c>
      <c r="E16" s="2785" t="s">
        <v>3327</v>
      </c>
      <c r="F16" s="2786" t="s">
        <v>3328</v>
      </c>
      <c r="G16" s="2787" t="s">
        <v>3329</v>
      </c>
      <c r="H16" s="2787" t="s">
        <v>3330</v>
      </c>
      <c r="I16" s="2787"/>
      <c r="J16" s="2788"/>
      <c r="K16" s="1372"/>
      <c r="L16" s="2789"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9"/>
      <c r="B17" s="2790" t="s">
        <v>2888</v>
      </c>
      <c r="C17" s="923">
        <f>SUMPRODUCT((修正!A2:A5=E2)*(修正!B1:M1=G2)*(修正!B2:M5))</f>
        <v>1.5</v>
      </c>
      <c r="D17" s="2791" t="s">
        <v>2889</v>
      </c>
      <c r="E17" s="922" t="str">
        <f>IF(OR(G2="八级",G2="九级",G2="十级",G2="十一级",G2="十二级"),"五通一平","七通一平")</f>
        <v>五通一平</v>
      </c>
      <c r="F17" s="923" t="s">
        <v>2890</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92"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5">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2893</v>
      </c>
      <c r="C19" s="926">
        <f>ROUND(IF(H19="按公示增长率计算",SUMPRODUCT((地价!A3:A25=YEAR(G19)&amp;"-"&amp;ROUNDUP(MONTH(G19)/3,0))*(地价!X2:AB2=E2)*(地价!X3:AB25)),IF(H19="地价指数",M20/M19,(1+I19)^O19)),4)</f>
        <v>1.554</v>
      </c>
      <c r="D19" s="2802" t="s">
        <v>2894</v>
      </c>
      <c r="E19" s="927">
        <v>41640</v>
      </c>
      <c r="F19" s="2802" t="s">
        <v>2895</v>
      </c>
      <c r="G19" s="928">
        <f>'数据-取费表'!B2</f>
        <v>43481</v>
      </c>
      <c r="H19" s="2803" t="s">
        <v>3331</v>
      </c>
      <c r="I19" s="929" t="str">
        <f>IF(H19="季度增幅（自定义）",SUMIF(N21:N24,E2,O21:O24),"")</f>
        <v/>
      </c>
      <c r="J19" s="2800"/>
      <c r="K19" s="1379"/>
      <c r="L19" s="2804" t="s">
        <v>2896</v>
      </c>
      <c r="M19" s="1736">
        <f>ROUND(SUMIF(地价!B2:F2,E2,地价!B25:F25),0)</f>
        <v>423</v>
      </c>
      <c r="N19" s="2805"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2898</v>
      </c>
      <c r="C20" s="931">
        <f ca="1">ROUND(POWER(1+G20,J20-I20)*(POWER(1+G20,I20)-1)/(POWER(1+G20,J20)-1),4)</f>
        <v>0.98629999999999995</v>
      </c>
      <c r="D20" s="2811" t="s">
        <v>2899</v>
      </c>
      <c r="E20" s="1770">
        <f ca="1">存贷款利率!D4/100</f>
        <v>4.3499999999999997E-2</v>
      </c>
      <c r="F20" s="2811" t="s">
        <v>2891</v>
      </c>
      <c r="G20" s="936">
        <f ca="1">SUMIF(M15:P15,E2,M17:P17)</f>
        <v>0.05</v>
      </c>
      <c r="H20" s="2811" t="s">
        <v>2900</v>
      </c>
      <c r="I20" s="937">
        <f>SUMIF('数据-取费表'!C6:C15,E2,'数据-取费表'!F6:F15)/COUNTIF('数据-取费表'!C6:C15,E2)</f>
        <v>63.04</v>
      </c>
      <c r="J20" s="938">
        <f>IF(E2="住宅",70,IF(E2="商业",40,50))</f>
        <v>70</v>
      </c>
      <c r="K20" s="1379"/>
      <c r="L20" s="2812" t="s">
        <v>2901</v>
      </c>
      <c r="M20" s="1737">
        <f>ROUND(SUMPRODUCT((地价!A4:A25=YEAR(G19)&amp;"-"&amp;ROUNDUP(MONTH(G19)/3,0))*(地价!B2:F2=E2)*(地价!B4:F25)),0)</f>
        <v>657</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3332</v>
      </c>
      <c r="C21" s="2999">
        <f>IF(B21="容积率修正",IF(G3&lt;=10,D22,J22),C23)</f>
        <v>0.89749999999999996</v>
      </c>
      <c r="D21" s="2818"/>
      <c r="E21" s="2818"/>
      <c r="F21" s="2818"/>
      <c r="G21" s="2818"/>
      <c r="H21" s="2818"/>
      <c r="I21" s="2818"/>
      <c r="J21" s="2819"/>
      <c r="K21" s="1379"/>
      <c r="N21" s="2820"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3" customFormat="1" ht="14.25">
      <c r="A22" s="2669" t="s">
        <v>2906</v>
      </c>
      <c r="B22" s="2821" t="s">
        <v>2907</v>
      </c>
      <c r="C22" s="3000" t="s">
        <v>2908</v>
      </c>
      <c r="D22" s="3000">
        <f>IF(E22=G22,F22,IF(G3&lt;=10,ROUND(F22+(H22-F22)*(G3-E22)/(G22-E22),4),"——"))</f>
        <v>0.89749999999999996</v>
      </c>
      <c r="E22" s="915">
        <f>ROUNDDOWN(G3,1)</f>
        <v>2.2000000000000002</v>
      </c>
      <c r="F22" s="3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915">
        <f>ROUNDUP(G3,1)</f>
        <v>2.2000000000000002</v>
      </c>
      <c r="H22" s="3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3000" t="s">
        <v>155</v>
      </c>
      <c r="J22" s="940" t="str">
        <f>IF(G3&gt;10,D113,"——")</f>
        <v>——</v>
      </c>
      <c r="K22" s="1379"/>
      <c r="N22" s="2820"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9" t="s">
        <v>2910</v>
      </c>
      <c r="B23" s="2822" t="s">
        <v>2911</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2913</v>
      </c>
      <c r="C24" s="926">
        <f>SUMIF(A45:A88,E2,B45:B88)</f>
        <v>1</v>
      </c>
      <c r="D24" s="2798"/>
      <c r="E24" s="2828"/>
      <c r="F24" s="2828"/>
      <c r="G24" s="2828"/>
      <c r="H24" s="2828"/>
      <c r="I24" s="2828"/>
      <c r="J24" s="2829"/>
      <c r="K24" s="1379"/>
      <c r="N24" s="2830" t="s">
        <v>2914</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2915</v>
      </c>
      <c r="C25" s="932"/>
      <c r="D25" s="2753"/>
      <c r="E25" s="2753"/>
      <c r="F25" s="2832"/>
      <c r="G25" s="2753"/>
      <c r="H25" s="2753"/>
      <c r="I25" s="2753"/>
      <c r="J25" s="2754"/>
      <c r="K25" s="1372"/>
      <c r="N25" s="2833"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4"/>
      <c r="B26" s="2821" t="s">
        <v>2917</v>
      </c>
      <c r="C26" s="205">
        <f ca="1">E29+SUM(E33:E39)</f>
        <v>86959</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2918</v>
      </c>
      <c r="C27" s="933">
        <f ca="1">E30+SUM(I33:I39)</f>
        <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2919</v>
      </c>
      <c r="C28" s="2845" t="s">
        <v>2920</v>
      </c>
      <c r="D28" s="2845" t="s">
        <v>2921</v>
      </c>
      <c r="E28" s="2846" t="s">
        <v>2922</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2923</v>
      </c>
      <c r="C29" s="205">
        <f ca="1">ROUND(C5*C18*C19*C20*C21*C24,0)</f>
        <v>9686</v>
      </c>
      <c r="D29" s="2850">
        <f>'数据-汇总表'!F21</f>
        <v>89778.47</v>
      </c>
      <c r="E29" s="2998">
        <f ca="1">ROUND(C29*D29/10000,0)</f>
        <v>86959</v>
      </c>
      <c r="F29" s="2851" t="s">
        <v>2924</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2925</v>
      </c>
      <c r="C30" s="228">
        <f ca="1">ROUND(IF(E2="工业",C29*M39,C29*M38),0)</f>
        <v>2422</v>
      </c>
      <c r="D30" s="2856"/>
      <c r="E30" s="2998">
        <f ca="1">ROUND(C30*D30/10000,0)</f>
        <v>0</v>
      </c>
      <c r="F30" s="2857" t="s">
        <v>2926</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2920</v>
      </c>
      <c r="D32" s="497" t="s">
        <v>2921</v>
      </c>
      <c r="E32" s="497" t="s">
        <v>2922</v>
      </c>
      <c r="F32" s="387" t="s">
        <v>2930</v>
      </c>
      <c r="G32" s="2865" t="s">
        <v>2920</v>
      </c>
      <c r="H32" s="2865" t="s">
        <v>2921</v>
      </c>
      <c r="I32" s="2865"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66" t="s">
        <v>2931</v>
      </c>
      <c r="B33" s="2866" t="s">
        <v>2932</v>
      </c>
      <c r="C33" s="205">
        <f ca="1">ROUND(D5*C19*C20*C24*F33,0)</f>
        <v>5359</v>
      </c>
      <c r="D33" s="2850"/>
      <c r="E33" s="199">
        <f ca="1">ROUND(C33*D33/10000,0)</f>
        <v>0</v>
      </c>
      <c r="F33" s="199">
        <f>SUMIF(修正!A45:A56,G2,修正!B45:B56)</f>
        <v>0.6</v>
      </c>
      <c r="G33" s="199">
        <f t="shared" ref="G33" ca="1" si="6">ROUND(IF(E2="工业",C33*$M$39,C33*$M$38),0)</f>
        <v>1340</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7"/>
      <c r="B34" s="2770" t="s">
        <v>2933</v>
      </c>
      <c r="C34" s="205">
        <f ca="1">ROUND(D5*C19*C20*C24*F34,0)</f>
        <v>2679</v>
      </c>
      <c r="D34" s="2850"/>
      <c r="E34" s="199">
        <f t="shared" ref="E34:E39" ca="1" si="7">ROUND(C34*D34/10000,0)</f>
        <v>0</v>
      </c>
      <c r="F34" s="199">
        <f>SUMIF(修正!A45:A56,G2,修正!C45:C56)</f>
        <v>0.3</v>
      </c>
      <c r="G34" s="199">
        <f ca="1">ROUND(IF(E2="工业",C34*$M$39,C34*$M$38),0)</f>
        <v>670</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7"/>
      <c r="B35" s="2770" t="s">
        <v>2934</v>
      </c>
      <c r="C35" s="205">
        <f ca="1">ROUND(D5*C19*C20*C24*F35,0)</f>
        <v>1786</v>
      </c>
      <c r="D35" s="2850"/>
      <c r="E35" s="199">
        <f t="shared" ca="1" si="7"/>
        <v>0</v>
      </c>
      <c r="F35" s="199">
        <f>SUMIF(修正!A45:A56,G2,修正!D45:D56)</f>
        <v>0.2</v>
      </c>
      <c r="G35" s="199">
        <f ca="1">ROUND(IF(E2="工业",C35*$M$39,C35*$M$38),0)</f>
        <v>447</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68"/>
      <c r="B36" s="2770" t="s">
        <v>2935</v>
      </c>
      <c r="C36" s="205">
        <f ca="1">ROUND(D5*C19*C20*C24*F36,0)</f>
        <v>1786</v>
      </c>
      <c r="D36" s="2850"/>
      <c r="E36" s="199">
        <f t="shared" ca="1" si="7"/>
        <v>0</v>
      </c>
      <c r="F36" s="199">
        <f>SUMIF(修正!A45:A56,G2,修正!E45:E56)</f>
        <v>0.2</v>
      </c>
      <c r="G36" s="199">
        <f ca="1">ROUND(IF(E2="工业",C36*$M$39,C36*$M$38),0)</f>
        <v>447</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2936</v>
      </c>
      <c r="C37" s="199">
        <f ca="1">ROUND(D5*C19*C20*C24*F37,0)</f>
        <v>1786</v>
      </c>
      <c r="D37" s="2850"/>
      <c r="E37" s="199">
        <f t="shared" ca="1" si="7"/>
        <v>0</v>
      </c>
      <c r="F37" s="205">
        <f>SUMIF(修正!A45:A56,G2,修正!F45:F56)</f>
        <v>0.2</v>
      </c>
      <c r="G37" s="199">
        <f ca="1">ROUND(IF(E2="工业",C37*$M$39,C37*$M$38),0)</f>
        <v>447</v>
      </c>
      <c r="H37" s="199">
        <f t="shared" si="8"/>
        <v>0</v>
      </c>
      <c r="I37" s="199">
        <f t="shared" ca="1" si="9"/>
        <v>0</v>
      </c>
      <c r="J37" s="2867"/>
      <c r="K37" s="1372"/>
      <c r="L37" s="2869" t="s">
        <v>2937</v>
      </c>
      <c r="M37" s="2870"/>
      <c r="N37" s="1372"/>
      <c r="O37" s="1372"/>
      <c r="P37" s="1372"/>
      <c r="Q37" s="1372"/>
      <c r="R37" s="1372"/>
      <c r="S37" s="1372"/>
      <c r="T37" s="1372"/>
      <c r="U37" s="1372"/>
      <c r="V37" s="1372"/>
      <c r="W37" s="1372"/>
      <c r="X37" s="1372"/>
      <c r="Y37" s="1372"/>
      <c r="Z37" s="1373"/>
    </row>
    <row r="38" spans="1:37">
      <c r="A38" s="2868"/>
      <c r="B38" s="2770" t="s">
        <v>2938</v>
      </c>
      <c r="C38" s="199">
        <f ca="1">ROUND(D5*C19*C41*C24*F38,0)</f>
        <v>1588</v>
      </c>
      <c r="D38" s="2850"/>
      <c r="E38" s="199">
        <f t="shared" ca="1" si="7"/>
        <v>0</v>
      </c>
      <c r="F38" s="205">
        <f>SUMIF(修正!A45:A56,G2,修正!G45:G56)</f>
        <v>0.2</v>
      </c>
      <c r="G38" s="199">
        <f ca="1">ROUND(IF(E2="工业",C38*$M$39,C38*$M$38),0)</f>
        <v>397</v>
      </c>
      <c r="H38" s="199">
        <f t="shared" si="8"/>
        <v>0</v>
      </c>
      <c r="I38" s="199">
        <f t="shared" ca="1" si="9"/>
        <v>0</v>
      </c>
      <c r="J38" s="2867"/>
      <c r="K38" s="1372"/>
      <c r="L38" s="1889" t="s">
        <v>2939</v>
      </c>
      <c r="M38" s="2871">
        <v>0.25</v>
      </c>
      <c r="N38" s="1372"/>
      <c r="O38" s="1372"/>
      <c r="P38" s="1372"/>
      <c r="Q38" s="1372"/>
      <c r="R38" s="1372"/>
      <c r="S38" s="1372"/>
      <c r="T38" s="1372"/>
      <c r="U38" s="1372"/>
      <c r="V38" s="1372"/>
      <c r="W38" s="1372"/>
      <c r="X38" s="1372"/>
      <c r="Y38" s="1372"/>
      <c r="Z38" s="1373"/>
    </row>
    <row r="39" spans="1:37" ht="13.5" thickBot="1">
      <c r="A39" s="2854"/>
      <c r="B39" s="2872" t="s">
        <v>2940</v>
      </c>
      <c r="C39" s="228">
        <f ca="1">ROUND(D5*C19*C41*C24*F39,0)</f>
        <v>1191</v>
      </c>
      <c r="D39" s="2856"/>
      <c r="E39" s="228">
        <f t="shared" ca="1" si="7"/>
        <v>0</v>
      </c>
      <c r="F39" s="934">
        <f>SUMIF(修正!A45:A56,G2,修正!H45:H56)</f>
        <v>0.15</v>
      </c>
      <c r="G39" s="228">
        <f ca="1">ROUND(IF(E2="工业",C39*$M$39,C39*$M$38),0)</f>
        <v>298</v>
      </c>
      <c r="H39" s="228">
        <f t="shared" si="8"/>
        <v>0</v>
      </c>
      <c r="I39" s="228">
        <f t="shared" ca="1" si="9"/>
        <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7">
        <f ca="1">ROUND(POWER(1+E41,H41-G41)*(POWER(1+E41,G41)-1)/(POWER(1+E41,H41)-1),4)</f>
        <v>0.87680000000000002</v>
      </c>
      <c r="D41" s="199" t="s">
        <v>2891</v>
      </c>
      <c r="E41" s="2942">
        <f ca="1">G20</f>
        <v>0.05</v>
      </c>
      <c r="F41" s="199" t="s">
        <v>2900</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2941</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2942</v>
      </c>
      <c r="B46" s="2880" t="e">
        <f>1+E48</f>
        <v>#VALUE!</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2943</v>
      </c>
      <c r="B47" s="2989" t="s">
        <v>2944</v>
      </c>
      <c r="C47" s="2989" t="s">
        <v>2945</v>
      </c>
      <c r="D47" s="2989" t="s">
        <v>2946</v>
      </c>
      <c r="E47" s="818" t="s">
        <v>2947</v>
      </c>
      <c r="F47" s="2884" t="s">
        <v>2948</v>
      </c>
      <c r="G47" s="2989" t="s">
        <v>754</v>
      </c>
      <c r="H47" s="2885" t="s">
        <v>2949</v>
      </c>
      <c r="I47" s="2989"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3" t="s">
        <v>2951</v>
      </c>
      <c r="B48" s="2886" t="str">
        <f>估价对象房地状况!C4</f>
        <v>估价对象位于XX商圈，周边商业氛围成熟，人流量大，商业繁华度好</v>
      </c>
      <c r="C48" s="3001" t="s">
        <v>3333</v>
      </c>
      <c r="D48" s="1288" t="e">
        <f t="shared" ref="D48:D56" si="10">SUMIF($J$47:$N$47,C48,J48:N48)</f>
        <v>#VALUE!</v>
      </c>
      <c r="E48" s="820" t="e">
        <f>ROUND(SUM(D48:D56),4)</f>
        <v>#VALUE!</v>
      </c>
      <c r="F48" s="2506" t="str">
        <f>IF(E2="商业",SUMIF(L1:L12,G2,N1:N12),"——")</f>
        <v>——</v>
      </c>
      <c r="G48" s="1286" t="str">
        <f>H48</f>
        <v>——</v>
      </c>
      <c r="H48" s="1290" t="str">
        <f t="shared" ref="H48:H56" si="11">IFERROR(ROUNDDOWN($F$48*I48/2,4),"——")</f>
        <v>——</v>
      </c>
      <c r="I48" s="819">
        <v>0.33</v>
      </c>
      <c r="J48" s="1287" t="e">
        <f t="shared" ref="J48:J56" si="12">K48+$G48</f>
        <v>#VALUE!</v>
      </c>
      <c r="K48" s="1287" t="e">
        <f t="shared" ref="K48:K56" si="13">$L48+$G48</f>
        <v>#VALUE!</v>
      </c>
      <c r="L48" s="1287">
        <v>0</v>
      </c>
      <c r="M48" s="1287" t="e">
        <f t="shared" ref="M48:N56" si="14">L48-$G48</f>
        <v>#VALUE!</v>
      </c>
      <c r="N48" s="1287" t="e">
        <f t="shared" si="14"/>
        <v>#VALUE!</v>
      </c>
      <c r="AA48" s="1373"/>
      <c r="AB48" s="1373"/>
      <c r="AC48" s="1373"/>
      <c r="AD48" s="1373"/>
      <c r="AE48" s="1373"/>
      <c r="AF48" s="1373"/>
      <c r="AG48" s="1373"/>
      <c r="AH48" s="1373"/>
      <c r="AI48" s="1373"/>
      <c r="AJ48" s="1373"/>
      <c r="AK48" s="1373"/>
    </row>
    <row r="49" spans="1:37" s="1372" customFormat="1" ht="51">
      <c r="A49" s="2883" t="s">
        <v>2952</v>
      </c>
      <c r="B49" s="2887" t="str">
        <f>估价对象房地状况!C18</f>
        <v>估价对象周边道路状况、公共交通通达情况、停车便捷程度，综合评价交通便捷度较好</v>
      </c>
      <c r="C49" s="3001" t="s">
        <v>3333</v>
      </c>
      <c r="D49" s="1288" t="e">
        <f t="shared" si="10"/>
        <v>#VALUE!</v>
      </c>
      <c r="E49" s="821"/>
      <c r="F49" s="2506"/>
      <c r="G49" s="1286" t="str">
        <f t="shared" ref="G49:G56" si="15">H49</f>
        <v>——</v>
      </c>
      <c r="H49" s="1290" t="str">
        <f t="shared" si="11"/>
        <v>——</v>
      </c>
      <c r="I49" s="819">
        <v>0.25</v>
      </c>
      <c r="J49" s="1287" t="e">
        <f t="shared" si="12"/>
        <v>#VALUE!</v>
      </c>
      <c r="K49" s="1287" t="e">
        <f t="shared" si="13"/>
        <v>#VALUE!</v>
      </c>
      <c r="L49" s="1287">
        <v>0</v>
      </c>
      <c r="M49" s="1287" t="e">
        <f t="shared" si="14"/>
        <v>#VALUE!</v>
      </c>
      <c r="N49" s="1287" t="e">
        <f t="shared" si="14"/>
        <v>#VALUE!</v>
      </c>
      <c r="AA49" s="1373"/>
      <c r="AB49" s="1373"/>
      <c r="AC49" s="1373"/>
      <c r="AD49" s="1373"/>
      <c r="AE49" s="1373"/>
      <c r="AF49" s="1373"/>
      <c r="AG49" s="1373"/>
      <c r="AH49" s="1373"/>
      <c r="AI49" s="1373"/>
      <c r="AJ49" s="1373"/>
      <c r="AK49" s="1373"/>
    </row>
    <row r="50" spans="1:37" s="1372" customFormat="1" ht="24">
      <c r="A50" s="2883" t="s">
        <v>2953</v>
      </c>
      <c r="B50" s="2887">
        <f>估价对象房地状况!C19</f>
        <v>0</v>
      </c>
      <c r="C50" s="3001" t="s">
        <v>3333</v>
      </c>
      <c r="D50" s="1288" t="e">
        <f t="shared" si="10"/>
        <v>#VALUE!</v>
      </c>
      <c r="E50" s="821"/>
      <c r="F50" s="2506"/>
      <c r="G50" s="1286" t="str">
        <f t="shared" si="15"/>
        <v>——</v>
      </c>
      <c r="H50" s="1290" t="str">
        <f t="shared" si="11"/>
        <v>——</v>
      </c>
      <c r="I50" s="819">
        <v>0.05</v>
      </c>
      <c r="J50" s="1287" t="e">
        <f t="shared" si="12"/>
        <v>#VALUE!</v>
      </c>
      <c r="K50" s="1287" t="e">
        <f t="shared" si="13"/>
        <v>#VALUE!</v>
      </c>
      <c r="L50" s="1287">
        <v>0</v>
      </c>
      <c r="M50" s="1287" t="e">
        <f t="shared" si="14"/>
        <v>#VALUE!</v>
      </c>
      <c r="N50" s="1287" t="e">
        <f t="shared" si="14"/>
        <v>#VALUE!</v>
      </c>
      <c r="AA50" s="1373"/>
      <c r="AB50" s="1373"/>
      <c r="AC50" s="1373"/>
      <c r="AD50" s="1373"/>
      <c r="AE50" s="1373"/>
      <c r="AF50" s="1373"/>
      <c r="AG50" s="1373"/>
      <c r="AH50" s="1373"/>
      <c r="AI50" s="1373"/>
      <c r="AJ50" s="1373"/>
      <c r="AK50" s="1373"/>
    </row>
    <row r="51" spans="1:37" s="1372" customFormat="1" ht="36.75">
      <c r="A51" s="2883" t="s">
        <v>2954</v>
      </c>
      <c r="B51" s="2888" t="s">
        <v>2955</v>
      </c>
      <c r="C51" s="3001" t="s">
        <v>3333</v>
      </c>
      <c r="D51" s="1288" t="e">
        <f t="shared" si="10"/>
        <v>#VALUE!</v>
      </c>
      <c r="E51" s="821"/>
      <c r="F51" s="2506"/>
      <c r="G51" s="1286" t="str">
        <f t="shared" si="15"/>
        <v>——</v>
      </c>
      <c r="H51" s="1290" t="str">
        <f t="shared" si="11"/>
        <v>——</v>
      </c>
      <c r="I51" s="819">
        <v>0.05</v>
      </c>
      <c r="J51" s="1287" t="e">
        <f t="shared" si="12"/>
        <v>#VALUE!</v>
      </c>
      <c r="K51" s="1287" t="e">
        <f t="shared" si="13"/>
        <v>#VALUE!</v>
      </c>
      <c r="L51" s="1287">
        <v>0</v>
      </c>
      <c r="M51" s="1287" t="e">
        <f t="shared" si="14"/>
        <v>#VALUE!</v>
      </c>
      <c r="N51" s="1287" t="e">
        <f t="shared" si="14"/>
        <v>#VALUE!</v>
      </c>
      <c r="AA51" s="1373"/>
      <c r="AB51" s="1373"/>
      <c r="AC51" s="1373"/>
      <c r="AD51" s="1373"/>
      <c r="AE51" s="1373"/>
      <c r="AF51" s="1373"/>
      <c r="AG51" s="1373"/>
      <c r="AH51" s="1373"/>
      <c r="AI51" s="1373"/>
      <c r="AJ51" s="1373"/>
      <c r="AK51" s="1373"/>
    </row>
    <row r="52" spans="1:37" s="1372" customFormat="1" ht="24">
      <c r="A52" s="2883" t="s">
        <v>2956</v>
      </c>
      <c r="B52" s="2887">
        <f>估价对象房地状况!C24</f>
        <v>0</v>
      </c>
      <c r="C52" s="3001" t="s">
        <v>3334</v>
      </c>
      <c r="D52" s="1288">
        <f t="shared" si="10"/>
        <v>0</v>
      </c>
      <c r="E52" s="821"/>
      <c r="F52" s="2506"/>
      <c r="G52" s="1286" t="str">
        <f t="shared" si="15"/>
        <v>——</v>
      </c>
      <c r="H52" s="1290" t="str">
        <f t="shared" si="11"/>
        <v>——</v>
      </c>
      <c r="I52" s="819">
        <v>0.08</v>
      </c>
      <c r="J52" s="1287" t="e">
        <f t="shared" si="12"/>
        <v>#VALUE!</v>
      </c>
      <c r="K52" s="1287" t="e">
        <f t="shared" si="13"/>
        <v>#VALUE!</v>
      </c>
      <c r="L52" s="1287">
        <v>0</v>
      </c>
      <c r="M52" s="1287" t="e">
        <f t="shared" si="14"/>
        <v>#VALUE!</v>
      </c>
      <c r="N52" s="1287" t="e">
        <f t="shared" si="14"/>
        <v>#VALUE!</v>
      </c>
      <c r="AA52" s="1373"/>
      <c r="AB52" s="1373"/>
      <c r="AC52" s="1373"/>
      <c r="AD52" s="1373"/>
      <c r="AE52" s="1373"/>
      <c r="AF52" s="1373"/>
      <c r="AG52" s="1373"/>
      <c r="AH52" s="1373"/>
      <c r="AI52" s="1373"/>
      <c r="AJ52" s="1373"/>
      <c r="AK52" s="1373"/>
    </row>
    <row r="53" spans="1:37" s="1372" customFormat="1" ht="24">
      <c r="A53" s="2883" t="s">
        <v>2957</v>
      </c>
      <c r="B53" s="2889" t="s">
        <v>2958</v>
      </c>
      <c r="C53" s="3001" t="s">
        <v>3333</v>
      </c>
      <c r="D53" s="1288" t="e">
        <f t="shared" si="10"/>
        <v>#VALUE!</v>
      </c>
      <c r="E53" s="821"/>
      <c r="F53" s="2506"/>
      <c r="G53" s="1286" t="str">
        <f t="shared" si="15"/>
        <v>——</v>
      </c>
      <c r="H53" s="1290" t="str">
        <f t="shared" si="11"/>
        <v>——</v>
      </c>
      <c r="I53" s="819">
        <v>0.03</v>
      </c>
      <c r="J53" s="1287" t="e">
        <f t="shared" si="12"/>
        <v>#VALUE!</v>
      </c>
      <c r="K53" s="1287" t="e">
        <f t="shared" si="13"/>
        <v>#VALUE!</v>
      </c>
      <c r="L53" s="1287">
        <v>0</v>
      </c>
      <c r="M53" s="1287" t="e">
        <f t="shared" si="14"/>
        <v>#VALUE!</v>
      </c>
      <c r="N53" s="1287" t="e">
        <f t="shared" si="14"/>
        <v>#VALUE!</v>
      </c>
      <c r="AA53" s="1373"/>
      <c r="AB53" s="1373"/>
      <c r="AC53" s="1373"/>
      <c r="AD53" s="1373"/>
      <c r="AE53" s="1373"/>
      <c r="AF53" s="1373"/>
      <c r="AG53" s="1373"/>
      <c r="AH53" s="1373"/>
      <c r="AI53" s="1373"/>
      <c r="AJ53" s="1373"/>
      <c r="AK53" s="1373"/>
    </row>
    <row r="54" spans="1:37" s="1372" customFormat="1" ht="25.5">
      <c r="A54" s="2890" t="s">
        <v>2959</v>
      </c>
      <c r="B54" s="1727" t="str">
        <f>估价对象房地状况!C21</f>
        <v>估价对象所在区域公共配套设施齐备情况</v>
      </c>
      <c r="C54" s="3001" t="s">
        <v>3333</v>
      </c>
      <c r="D54" s="1288" t="e">
        <f t="shared" si="10"/>
        <v>#VALUE!</v>
      </c>
      <c r="E54" s="821"/>
      <c r="F54" s="2506"/>
      <c r="G54" s="1286" t="str">
        <f t="shared" si="15"/>
        <v>——</v>
      </c>
      <c r="H54" s="1290" t="str">
        <f t="shared" si="11"/>
        <v>——</v>
      </c>
      <c r="I54" s="819">
        <v>0.05</v>
      </c>
      <c r="J54" s="1287" t="e">
        <f t="shared" si="12"/>
        <v>#VALUE!</v>
      </c>
      <c r="K54" s="1287" t="e">
        <f t="shared" si="13"/>
        <v>#VALUE!</v>
      </c>
      <c r="L54" s="1287">
        <v>0</v>
      </c>
      <c r="M54" s="1287" t="e">
        <f t="shared" si="14"/>
        <v>#VALUE!</v>
      </c>
      <c r="N54" s="1287" t="e">
        <f t="shared" si="14"/>
        <v>#VALUE!</v>
      </c>
      <c r="AA54" s="1373"/>
      <c r="AB54" s="1373"/>
      <c r="AC54" s="1373"/>
      <c r="AD54" s="1373"/>
      <c r="AE54" s="1373"/>
      <c r="AF54" s="1373"/>
      <c r="AG54" s="1373"/>
      <c r="AH54" s="1373"/>
      <c r="AI54" s="1373"/>
      <c r="AJ54" s="1373"/>
      <c r="AK54" s="1373"/>
    </row>
    <row r="55" spans="1:37" s="1372" customFormat="1" ht="25.5">
      <c r="A55" s="2890" t="s">
        <v>2960</v>
      </c>
      <c r="B55" s="2887" t="str">
        <f>估价对象房地状况!C22</f>
        <v>估价对象所在区域基础设施水平</v>
      </c>
      <c r="C55" s="3001" t="s">
        <v>3335</v>
      </c>
      <c r="D55" s="1288" t="e">
        <f t="shared" si="10"/>
        <v>#VALUE!</v>
      </c>
      <c r="E55" s="821"/>
      <c r="F55" s="2506"/>
      <c r="G55" s="1286" t="str">
        <f t="shared" si="15"/>
        <v>——</v>
      </c>
      <c r="H55" s="1290" t="str">
        <f t="shared" si="11"/>
        <v>——</v>
      </c>
      <c r="I55" s="819">
        <v>0.1</v>
      </c>
      <c r="J55" s="1287" t="e">
        <f t="shared" si="12"/>
        <v>#VALUE!</v>
      </c>
      <c r="K55" s="1287" t="e">
        <f t="shared" si="13"/>
        <v>#VALUE!</v>
      </c>
      <c r="L55" s="1287">
        <v>0</v>
      </c>
      <c r="M55" s="1287" t="e">
        <f t="shared" si="14"/>
        <v>#VALUE!</v>
      </c>
      <c r="N55" s="1287" t="e">
        <f t="shared" si="14"/>
        <v>#VALUE!</v>
      </c>
      <c r="AA55" s="1373"/>
      <c r="AB55" s="1373"/>
      <c r="AC55" s="1373"/>
      <c r="AD55" s="1373"/>
      <c r="AE55" s="1373"/>
      <c r="AF55" s="1373"/>
      <c r="AG55" s="1373"/>
      <c r="AH55" s="1373"/>
      <c r="AI55" s="1373"/>
      <c r="AJ55" s="1373"/>
      <c r="AK55" s="1373"/>
    </row>
    <row r="56" spans="1:37" s="1372" customFormat="1" ht="39" thickBot="1">
      <c r="A56" s="2891" t="s">
        <v>2961</v>
      </c>
      <c r="B56" s="2892" t="str">
        <f>估价对象房地状况!C20</f>
        <v>区域自然环境：；人文环境；综合评价环境状况一般</v>
      </c>
      <c r="C56" s="3001" t="s">
        <v>3333</v>
      </c>
      <c r="D56" s="1288" t="e">
        <f t="shared" si="10"/>
        <v>#VALUE!</v>
      </c>
      <c r="E56" s="824"/>
      <c r="F56" s="2506"/>
      <c r="G56" s="1286" t="str">
        <f t="shared" si="15"/>
        <v>——</v>
      </c>
      <c r="H56" s="1290" t="str">
        <f t="shared" si="11"/>
        <v>——</v>
      </c>
      <c r="I56" s="823">
        <v>0.06</v>
      </c>
      <c r="J56" s="1287" t="e">
        <f t="shared" si="12"/>
        <v>#VALUE!</v>
      </c>
      <c r="K56" s="1287" t="e">
        <f t="shared" si="13"/>
        <v>#VALUE!</v>
      </c>
      <c r="L56" s="1287">
        <v>0</v>
      </c>
      <c r="M56" s="1287" t="e">
        <f t="shared" si="14"/>
        <v>#VALUE!</v>
      </c>
      <c r="N56" s="1287" t="e">
        <f t="shared" si="14"/>
        <v>#VALUE!</v>
      </c>
      <c r="AA56" s="1373"/>
      <c r="AB56" s="1373"/>
      <c r="AC56" s="1373"/>
      <c r="AD56" s="1373"/>
      <c r="AE56" s="1373"/>
      <c r="AF56" s="1373"/>
      <c r="AG56" s="1373"/>
      <c r="AH56" s="1373"/>
      <c r="AI56" s="1373"/>
      <c r="AJ56" s="1373"/>
      <c r="AK56" s="1373"/>
    </row>
    <row r="57" spans="1:37" s="1372" customFormat="1" ht="15">
      <c r="A57" s="2879" t="s">
        <v>2962</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2943</v>
      </c>
      <c r="B58" s="2989"/>
      <c r="C58" s="2989" t="s">
        <v>2945</v>
      </c>
      <c r="D58" s="2989" t="s">
        <v>2946</v>
      </c>
      <c r="E58" s="818" t="s">
        <v>2947</v>
      </c>
      <c r="F58" s="2884" t="s">
        <v>2963</v>
      </c>
      <c r="G58" s="2989" t="s">
        <v>754</v>
      </c>
      <c r="H58" s="2885" t="s">
        <v>2949</v>
      </c>
      <c r="I58" s="2989"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3" t="s">
        <v>2964</v>
      </c>
      <c r="B59" s="2886" t="str">
        <f>估价对象房地状况!C17</f>
        <v>估价对象位于XX商圈，周边办公楼项目较多，入驻率高，办公集聚程度较好</v>
      </c>
      <c r="C59" s="2775"/>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3" t="s">
        <v>2952</v>
      </c>
      <c r="B60" s="2887" t="str">
        <f>估价对象房地状况!C18</f>
        <v>估价对象周边道路状况、公共交通通达情况、停车便捷程度，综合评价交通便捷度较好</v>
      </c>
      <c r="C60" s="2775"/>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3" t="s">
        <v>2953</v>
      </c>
      <c r="B61" s="2887">
        <f>估价对象房地状况!C19</f>
        <v>0</v>
      </c>
      <c r="C61" s="2775"/>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3" t="s">
        <v>2954</v>
      </c>
      <c r="B62" s="2888" t="s">
        <v>2955</v>
      </c>
      <c r="C62" s="2775"/>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3" t="s">
        <v>2956</v>
      </c>
      <c r="B63" s="2887">
        <f>估价对象房地状况!C24</f>
        <v>0</v>
      </c>
      <c r="C63" s="2775"/>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3" t="s">
        <v>2957</v>
      </c>
      <c r="B64" s="2889" t="s">
        <v>2958</v>
      </c>
      <c r="C64" s="2775"/>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3" t="s">
        <v>2959</v>
      </c>
      <c r="B65" s="1727" t="str">
        <f>估价对象房地状况!C21</f>
        <v>估价对象所在区域公共配套设施齐备情况</v>
      </c>
      <c r="C65" s="2775"/>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3" t="s">
        <v>2960</v>
      </c>
      <c r="B66" s="1727" t="str">
        <f>估价对象房地状况!C22</f>
        <v>估价对象所在区域基础设施水平</v>
      </c>
      <c r="C66" s="2775"/>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1" t="s">
        <v>2961</v>
      </c>
      <c r="B67" s="2893" t="str">
        <f>估价对象房地状况!C20</f>
        <v>区域自然环境：；人文环境；综合评价环境状况一般</v>
      </c>
      <c r="C67" s="2775"/>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9" t="s">
        <v>2965</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2943</v>
      </c>
      <c r="B69" s="2989"/>
      <c r="C69" s="2989" t="s">
        <v>2945</v>
      </c>
      <c r="D69" s="2989" t="s">
        <v>2946</v>
      </c>
      <c r="E69" s="818" t="s">
        <v>2947</v>
      </c>
      <c r="F69" s="2884" t="s">
        <v>2963</v>
      </c>
      <c r="G69" s="2989" t="s">
        <v>754</v>
      </c>
      <c r="H69" s="2885" t="s">
        <v>2949</v>
      </c>
      <c r="I69" s="2989"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3" t="s">
        <v>2966</v>
      </c>
      <c r="B70" s="2886" t="str">
        <f>估价对象房地状况!C15</f>
        <v>估价对象周边居住用地比例、居住小区规模和社区发展完善程度，综合评价居住社区成熟度一般</v>
      </c>
      <c r="C70" s="2775"/>
      <c r="D70" s="1288">
        <f t="shared" ref="D70:D78" si="21">SUMIF($J$69:$N$69,C70,J70:N70)</f>
        <v>0</v>
      </c>
      <c r="E70" s="820">
        <f>ROUND(SUM(D70:D78),4)</f>
        <v>0</v>
      </c>
      <c r="F70" s="2506">
        <f>IF(E2="住宅",SUMIF(L1:L12,G2,N1:N12),"——")</f>
        <v>0.15</v>
      </c>
      <c r="G70" s="1286"/>
      <c r="H70" s="1290">
        <f t="shared" ref="H70:H78" si="22">IFERROR(ROUNDDOWN($F$70*I70/2,4),"——")</f>
        <v>1.0500000000000001E-2</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3" t="s">
        <v>2952</v>
      </c>
      <c r="B71" s="2887" t="str">
        <f>估价对象房地状况!C18</f>
        <v>估价对象周边道路状况、公共交通通达情况、停车便捷程度，综合评价交通便捷度较好</v>
      </c>
      <c r="C71" s="2775"/>
      <c r="D71" s="1288">
        <f t="shared" si="21"/>
        <v>0</v>
      </c>
      <c r="E71" s="825"/>
      <c r="F71" s="2506"/>
      <c r="G71" s="1286"/>
      <c r="H71" s="1290">
        <f t="shared" si="22"/>
        <v>2.2499999999999999E-2</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3" t="s">
        <v>2953</v>
      </c>
      <c r="B72" s="2887">
        <f>估价对象房地状况!C19</f>
        <v>0</v>
      </c>
      <c r="C72" s="2775"/>
      <c r="D72" s="1288">
        <f t="shared" si="21"/>
        <v>0</v>
      </c>
      <c r="E72" s="825"/>
      <c r="F72" s="2506"/>
      <c r="G72" s="1286"/>
      <c r="H72" s="1290">
        <f t="shared" si="22"/>
        <v>6.0000000000000001E-3</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3" t="s">
        <v>2967</v>
      </c>
      <c r="B73" s="2887">
        <f>估价对象房地状况!C24</f>
        <v>0</v>
      </c>
      <c r="C73" s="2775"/>
      <c r="D73" s="1288">
        <f t="shared" si="21"/>
        <v>0</v>
      </c>
      <c r="E73" s="825"/>
      <c r="F73" s="2506"/>
      <c r="G73" s="1286"/>
      <c r="H73" s="1290">
        <f t="shared" si="22"/>
        <v>3.0000000000000001E-3</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3" t="s">
        <v>2959</v>
      </c>
      <c r="B74" s="1727" t="str">
        <f>估价对象房地状况!C21</f>
        <v>估价对象所在区域公共配套设施齐备情况</v>
      </c>
      <c r="C74" s="2775"/>
      <c r="D74" s="1288">
        <f t="shared" si="21"/>
        <v>0</v>
      </c>
      <c r="E74" s="825"/>
      <c r="F74" s="2506"/>
      <c r="G74" s="1286"/>
      <c r="H74" s="1290">
        <f t="shared" si="22"/>
        <v>6.0000000000000001E-3</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3" t="s">
        <v>2960</v>
      </c>
      <c r="B75" s="1727" t="str">
        <f>估价对象房地状况!C22</f>
        <v>估价对象所在区域基础设施水平</v>
      </c>
      <c r="C75" s="2775"/>
      <c r="D75" s="1288">
        <f t="shared" si="21"/>
        <v>0</v>
      </c>
      <c r="E75" s="825"/>
      <c r="F75" s="2506"/>
      <c r="G75" s="1286"/>
      <c r="H75" s="1290">
        <f t="shared" si="22"/>
        <v>8.9999999999999993E-3</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4" customFormat="1" ht="24">
      <c r="A76" s="2883" t="s">
        <v>2957</v>
      </c>
      <c r="B76" s="2889" t="s">
        <v>2958</v>
      </c>
      <c r="C76" s="2775"/>
      <c r="D76" s="1288">
        <f t="shared" si="21"/>
        <v>0</v>
      </c>
      <c r="E76" s="825"/>
      <c r="F76" s="2506"/>
      <c r="G76" s="1286"/>
      <c r="H76" s="1290">
        <f t="shared" si="22"/>
        <v>3.7000000000000002E-3</v>
      </c>
      <c r="I76" s="819">
        <v>0.05</v>
      </c>
      <c r="J76" s="1287">
        <f t="shared" si="23"/>
        <v>0</v>
      </c>
      <c r="K76" s="1287">
        <f t="shared" si="24"/>
        <v>0</v>
      </c>
      <c r="L76" s="1287">
        <v>0</v>
      </c>
      <c r="M76" s="1287">
        <f t="shared" si="25"/>
        <v>0</v>
      </c>
      <c r="N76" s="1287">
        <f t="shared" si="25"/>
        <v>0</v>
      </c>
      <c r="AA76" s="2894"/>
      <c r="AB76" s="1373"/>
      <c r="AC76" s="1373"/>
      <c r="AD76" s="1373"/>
      <c r="AE76" s="1373"/>
      <c r="AF76" s="1373"/>
      <c r="AG76" s="1373"/>
      <c r="AH76" s="2894"/>
      <c r="AI76" s="2894"/>
      <c r="AJ76" s="2894"/>
      <c r="AK76" s="2894"/>
    </row>
    <row r="77" spans="1:37" ht="38.25">
      <c r="A77" s="2883" t="s">
        <v>2961</v>
      </c>
      <c r="B77" s="2886" t="str">
        <f>估价对象房地状况!C20</f>
        <v>区域自然环境：；人文环境；综合评价环境状况一般</v>
      </c>
      <c r="C77" s="2775"/>
      <c r="D77" s="1288">
        <f t="shared" si="21"/>
        <v>0</v>
      </c>
      <c r="E77" s="825"/>
      <c r="F77" s="2506"/>
      <c r="G77" s="1286"/>
      <c r="H77" s="1290">
        <f t="shared" si="22"/>
        <v>1.12E-2</v>
      </c>
      <c r="I77" s="819">
        <v>0.15</v>
      </c>
      <c r="J77" s="1287">
        <f t="shared" si="23"/>
        <v>0</v>
      </c>
      <c r="K77" s="1287">
        <f t="shared" si="24"/>
        <v>0</v>
      </c>
      <c r="L77" s="1287">
        <v>0</v>
      </c>
      <c r="M77" s="1287">
        <f t="shared" si="25"/>
        <v>0</v>
      </c>
      <c r="N77" s="1287">
        <f t="shared" si="25"/>
        <v>0</v>
      </c>
      <c r="Z77" s="2725"/>
      <c r="AA77" s="2801"/>
      <c r="AG77" s="1374"/>
      <c r="AK77" s="2801"/>
    </row>
    <row r="78" spans="1:37" ht="24.75" thickBot="1">
      <c r="A78" s="2891" t="s">
        <v>2968</v>
      </c>
      <c r="B78" s="2895"/>
      <c r="C78" s="2775"/>
      <c r="D78" s="1288">
        <f t="shared" si="21"/>
        <v>0</v>
      </c>
      <c r="E78" s="826"/>
      <c r="F78" s="2506"/>
      <c r="G78" s="1286"/>
      <c r="H78" s="1290">
        <f t="shared" si="22"/>
        <v>3.0000000000000001E-3</v>
      </c>
      <c r="I78" s="823">
        <v>0.04</v>
      </c>
      <c r="J78" s="1287">
        <f t="shared" si="23"/>
        <v>0</v>
      </c>
      <c r="K78" s="1287">
        <f t="shared" si="24"/>
        <v>0</v>
      </c>
      <c r="L78" s="1287">
        <v>0</v>
      </c>
      <c r="M78" s="1287">
        <f t="shared" si="25"/>
        <v>0</v>
      </c>
      <c r="N78" s="1287">
        <f t="shared" si="25"/>
        <v>0</v>
      </c>
      <c r="Z78" s="2725"/>
      <c r="AA78" s="2801"/>
      <c r="AG78" s="1374"/>
      <c r="AK78" s="2801"/>
    </row>
    <row r="79" spans="1:37" ht="15">
      <c r="A79" s="2879" t="s">
        <v>2969</v>
      </c>
      <c r="B79" s="2880">
        <f>1+E81</f>
        <v>1</v>
      </c>
      <c r="C79" s="813"/>
      <c r="D79" s="813"/>
      <c r="E79" s="814"/>
      <c r="F79" s="2882"/>
      <c r="G79" s="6"/>
      <c r="H79" s="6"/>
      <c r="I79" s="6"/>
      <c r="J79" s="7"/>
      <c r="K79" s="7"/>
      <c r="L79" s="7"/>
      <c r="M79" s="7"/>
      <c r="N79" s="7"/>
      <c r="Z79" s="2725"/>
      <c r="AA79" s="2801"/>
      <c r="AG79" s="1374"/>
      <c r="AK79" s="2801"/>
    </row>
    <row r="80" spans="1:37" ht="24.75">
      <c r="A80" s="2883" t="s">
        <v>2943</v>
      </c>
      <c r="B80" s="2989"/>
      <c r="C80" s="2989" t="s">
        <v>2945</v>
      </c>
      <c r="D80" s="2989" t="s">
        <v>2946</v>
      </c>
      <c r="E80" s="818" t="s">
        <v>2947</v>
      </c>
      <c r="F80" s="2884" t="s">
        <v>2963</v>
      </c>
      <c r="G80" s="2989" t="s">
        <v>754</v>
      </c>
      <c r="H80" s="2885" t="s">
        <v>2949</v>
      </c>
      <c r="I80" s="2989" t="s">
        <v>2950</v>
      </c>
      <c r="J80" s="602" t="s">
        <v>2598</v>
      </c>
      <c r="K80" s="602" t="s">
        <v>2599</v>
      </c>
      <c r="L80" s="602" t="s">
        <v>2600</v>
      </c>
      <c r="M80" s="602" t="s">
        <v>2601</v>
      </c>
      <c r="N80" s="602" t="s">
        <v>2602</v>
      </c>
      <c r="Z80" s="2725"/>
      <c r="AA80" s="2801"/>
      <c r="AG80" s="1374"/>
      <c r="AK80" s="2801"/>
    </row>
    <row r="81" spans="1:37" ht="38.25">
      <c r="A81" s="2883" t="s">
        <v>2970</v>
      </c>
      <c r="B81" s="2887" t="str">
        <f>估价对象房地状况!G15</f>
        <v>估价对象位于XX开发区，园区建设成熟度XX，产业集聚程度XX</v>
      </c>
      <c r="C81" s="2775"/>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5"/>
      <c r="AA81" s="2801"/>
      <c r="AG81" s="1374"/>
      <c r="AK81" s="2801"/>
    </row>
    <row r="82" spans="1:37" ht="51">
      <c r="A82" s="2883" t="s">
        <v>2952</v>
      </c>
      <c r="B82" s="2887" t="str">
        <f>估价对象房地状况!G16</f>
        <v>估价对象周边道路状况、公共交通通达情况、停车便捷程度，综合评价交通便捷度较好</v>
      </c>
      <c r="C82" s="2775"/>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5"/>
      <c r="AA82" s="2801"/>
      <c r="AG82" s="1374"/>
      <c r="AK82" s="2801"/>
    </row>
    <row r="83" spans="1:37" ht="24">
      <c r="A83" s="2883" t="s">
        <v>2953</v>
      </c>
      <c r="B83" s="2887">
        <f>估价对象房地状况!G17</f>
        <v>0</v>
      </c>
      <c r="C83" s="2775"/>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5"/>
      <c r="AA83" s="2801"/>
      <c r="AG83" s="1374"/>
      <c r="AK83" s="2801"/>
    </row>
    <row r="84" spans="1:37" ht="14.25">
      <c r="A84" s="2883" t="s">
        <v>2967</v>
      </c>
      <c r="B84" s="2887">
        <f>估价对象房地状况!G22</f>
        <v>0</v>
      </c>
      <c r="C84" s="2775"/>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5"/>
      <c r="AA84" s="2801"/>
      <c r="AG84" s="1374"/>
      <c r="AK84" s="2801"/>
    </row>
    <row r="85" spans="1:37" ht="25.5">
      <c r="A85" s="2883" t="s">
        <v>2959</v>
      </c>
      <c r="B85" s="1727" t="str">
        <f>估价对象房地状况!G19</f>
        <v>估价对象所在区域公共配套设施齐备情况</v>
      </c>
      <c r="C85" s="2775"/>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5"/>
      <c r="AA85" s="2801"/>
      <c r="AG85" s="1374"/>
      <c r="AK85" s="2801"/>
    </row>
    <row r="86" spans="1:37" ht="25.5">
      <c r="A86" s="2883" t="s">
        <v>2960</v>
      </c>
      <c r="B86" s="1727" t="str">
        <f>估价对象房地状况!G20</f>
        <v>估价对象所在区域基础设施水平</v>
      </c>
      <c r="C86" s="2775"/>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5"/>
      <c r="AA86" s="2801"/>
      <c r="AG86" s="1374"/>
      <c r="AK86" s="2801"/>
    </row>
    <row r="87" spans="1:37" ht="24">
      <c r="A87" s="2883" t="s">
        <v>2957</v>
      </c>
      <c r="B87" s="2889" t="s">
        <v>2971</v>
      </c>
      <c r="C87" s="2775"/>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5"/>
      <c r="AA87" s="2801"/>
      <c r="AG87" s="1374"/>
      <c r="AK87" s="2801"/>
    </row>
    <row r="88" spans="1:37" ht="39" thickBot="1">
      <c r="A88" s="2891" t="s">
        <v>2972</v>
      </c>
      <c r="B88" s="2896" t="str">
        <f>估价对象房地状况!G18</f>
        <v>该园区内是否有污染型企业，绿化情况，卫生条件，整体环境状况判断</v>
      </c>
      <c r="C88" s="2775"/>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5"/>
      <c r="AA88" s="2801"/>
      <c r="AG88" s="1374"/>
      <c r="AK88" s="2801"/>
    </row>
    <row r="90" spans="1:37">
      <c r="A90" s="3260" t="s">
        <v>2973</v>
      </c>
      <c r="B90" s="3260"/>
      <c r="C90" s="3260"/>
      <c r="D90" s="3260"/>
      <c r="E90" s="3260"/>
      <c r="F90" s="3260"/>
      <c r="G90" s="3260"/>
      <c r="H90" s="3260"/>
      <c r="I90" s="3260"/>
      <c r="J90" s="3260"/>
      <c r="K90" s="2996"/>
      <c r="L90" s="2996"/>
      <c r="M90" s="2996"/>
      <c r="N90" s="2996"/>
    </row>
    <row r="91" spans="1:37">
      <c r="A91" s="3262" t="s">
        <v>2974</v>
      </c>
      <c r="B91" s="3262" t="s">
        <v>2975</v>
      </c>
      <c r="C91" s="2851" t="s">
        <v>2976</v>
      </c>
      <c r="D91" s="2852"/>
      <c r="E91" s="2852"/>
      <c r="F91" s="2852"/>
      <c r="G91" s="2852"/>
      <c r="H91" s="2852"/>
      <c r="I91" s="2852"/>
      <c r="J91" s="2898"/>
      <c r="K91" s="2899"/>
      <c r="L91" s="2899"/>
      <c r="M91" s="2899"/>
      <c r="N91" s="2899"/>
    </row>
    <row r="92" spans="1:37">
      <c r="A92" s="3262"/>
      <c r="B92" s="3262"/>
      <c r="C92" s="2998" t="s">
        <v>2842</v>
      </c>
      <c r="D92" s="2998" t="s">
        <v>2843</v>
      </c>
      <c r="E92" s="2998" t="s">
        <v>2844</v>
      </c>
      <c r="F92" s="2998" t="s">
        <v>2845</v>
      </c>
      <c r="G92" s="2998" t="s">
        <v>2846</v>
      </c>
      <c r="H92" s="2998" t="s">
        <v>2847</v>
      </c>
      <c r="I92" s="2998" t="s">
        <v>2848</v>
      </c>
      <c r="J92" s="2998" t="s">
        <v>2849</v>
      </c>
      <c r="K92" s="2998" t="s">
        <v>2850</v>
      </c>
      <c r="L92" s="2998" t="s">
        <v>2851</v>
      </c>
      <c r="M92" s="2998" t="s">
        <v>2852</v>
      </c>
      <c r="N92" s="2998" t="s">
        <v>2853</v>
      </c>
    </row>
    <row r="93" spans="1:37">
      <c r="A93" s="3263"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4"/>
      <c r="B99" s="2900" t="s">
        <v>2858</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6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3" t="s">
        <v>2978</v>
      </c>
      <c r="B101" s="2904" t="s">
        <v>2979</v>
      </c>
      <c r="C101" s="2905">
        <f>$G$3</f>
        <v>2.2000000000000002</v>
      </c>
      <c r="D101" s="2905">
        <f t="shared" ref="D101:N101" si="32">$G$3</f>
        <v>2.2000000000000002</v>
      </c>
      <c r="E101" s="2905">
        <f t="shared" si="32"/>
        <v>2.2000000000000002</v>
      </c>
      <c r="F101" s="2905">
        <f t="shared" si="32"/>
        <v>2.2000000000000002</v>
      </c>
      <c r="G101" s="2905">
        <f t="shared" si="32"/>
        <v>2.2000000000000002</v>
      </c>
      <c r="H101" s="2905">
        <f t="shared" si="32"/>
        <v>2.2000000000000002</v>
      </c>
      <c r="I101" s="2905">
        <f t="shared" si="32"/>
        <v>2.2000000000000002</v>
      </c>
      <c r="J101" s="2905">
        <f t="shared" si="32"/>
        <v>2.2000000000000002</v>
      </c>
      <c r="K101" s="2905">
        <f t="shared" si="32"/>
        <v>2.2000000000000002</v>
      </c>
      <c r="L101" s="2905">
        <f t="shared" si="32"/>
        <v>2.2000000000000002</v>
      </c>
      <c r="M101" s="2905">
        <f t="shared" si="32"/>
        <v>2.2000000000000002</v>
      </c>
      <c r="N101" s="2905">
        <f t="shared" si="32"/>
        <v>2.2000000000000002</v>
      </c>
    </row>
    <row r="102" spans="1:14">
      <c r="A102" s="3264"/>
      <c r="B102" s="2900">
        <v>1</v>
      </c>
      <c r="C102" s="2901">
        <f>1.9362/C101</f>
        <v>0.88009090909090903</v>
      </c>
      <c r="D102" s="2901">
        <f>1.9362/D101</f>
        <v>0.88009090909090903</v>
      </c>
      <c r="E102" s="2901">
        <f>1.8629/E101</f>
        <v>0.84677272727272723</v>
      </c>
      <c r="F102" s="2901">
        <f>1.8629/F101</f>
        <v>0.84677272727272723</v>
      </c>
      <c r="G102" s="2901">
        <f>1.8629/G101</f>
        <v>0.84677272727272723</v>
      </c>
      <c r="H102" s="2901">
        <f>1.8629/H101</f>
        <v>0.84677272727272723</v>
      </c>
      <c r="I102" s="2901">
        <f>1.8629/I101</f>
        <v>0.84677272727272723</v>
      </c>
      <c r="J102" s="2901">
        <f>1.942/J101</f>
        <v>0.88272727272727258</v>
      </c>
      <c r="K102" s="2901">
        <f>1.942/K101</f>
        <v>0.88272727272727258</v>
      </c>
      <c r="L102" s="2901">
        <f>1.942/L101</f>
        <v>0.88272727272727258</v>
      </c>
      <c r="M102" s="2901">
        <f>1.942/M101</f>
        <v>0.88272727272727258</v>
      </c>
      <c r="N102" s="2901">
        <f>1.942/N101</f>
        <v>0.88272727272727258</v>
      </c>
    </row>
    <row r="103" spans="1:14">
      <c r="A103" s="3264"/>
      <c r="B103" s="2900">
        <v>2</v>
      </c>
      <c r="C103" s="2901">
        <f>1.4198/C101</f>
        <v>0.64536363636363625</v>
      </c>
      <c r="D103" s="2901">
        <f>1.4198/D101</f>
        <v>0.64536363636363625</v>
      </c>
      <c r="E103" s="2901">
        <f>1.3372/E101</f>
        <v>0.6078181818181817</v>
      </c>
      <c r="F103" s="2901">
        <f>1.3372/F101</f>
        <v>0.6078181818181817</v>
      </c>
      <c r="G103" s="2901">
        <f>1.3372/G101</f>
        <v>0.6078181818181817</v>
      </c>
      <c r="H103" s="2901">
        <f>1.3372/H101</f>
        <v>0.6078181818181817</v>
      </c>
      <c r="I103" s="2901">
        <f>1.3372/I101</f>
        <v>0.6078181818181817</v>
      </c>
      <c r="J103" s="2901">
        <f>1.2799/J101</f>
        <v>0.58177272727272722</v>
      </c>
      <c r="K103" s="2901">
        <f>1.2799/K101</f>
        <v>0.58177272727272722</v>
      </c>
      <c r="L103" s="2901">
        <f>1.2799/L101</f>
        <v>0.58177272727272722</v>
      </c>
      <c r="M103" s="2901">
        <f>1.2799/M101</f>
        <v>0.58177272727272722</v>
      </c>
      <c r="N103" s="2901">
        <f>1.2799/N101</f>
        <v>0.58177272727272722</v>
      </c>
    </row>
    <row r="104" spans="1:14">
      <c r="A104" s="3264"/>
      <c r="B104" s="2900">
        <v>3</v>
      </c>
      <c r="C104" s="2901">
        <f>1.1594/C101</f>
        <v>0.52699999999999991</v>
      </c>
      <c r="D104" s="2901">
        <f>1.1594/D101</f>
        <v>0.52699999999999991</v>
      </c>
      <c r="E104" s="2901">
        <f>1.0788/E101</f>
        <v>0.49036363636363633</v>
      </c>
      <c r="F104" s="2901">
        <f>1.0788/F101</f>
        <v>0.49036363636363633</v>
      </c>
      <c r="G104" s="2901">
        <f>1.0788/G101</f>
        <v>0.49036363636363633</v>
      </c>
      <c r="H104" s="2901">
        <f>1.0788/H101</f>
        <v>0.49036363636363633</v>
      </c>
      <c r="I104" s="2901">
        <f>1.0788/I101</f>
        <v>0.49036363636363633</v>
      </c>
      <c r="J104" s="2901">
        <f>1.0072/J101</f>
        <v>0.45781818181818185</v>
      </c>
      <c r="K104" s="2901">
        <f>1.0072/K101</f>
        <v>0.45781818181818185</v>
      </c>
      <c r="L104" s="2901">
        <f>1.0072/L101</f>
        <v>0.45781818181818185</v>
      </c>
      <c r="M104" s="2901">
        <f>1.0072/M101</f>
        <v>0.45781818181818185</v>
      </c>
      <c r="N104" s="2901">
        <f>1.0072/N101</f>
        <v>0.45781818181818185</v>
      </c>
    </row>
    <row r="105" spans="1:14">
      <c r="A105" s="3264"/>
      <c r="B105" s="2900">
        <v>4</v>
      </c>
      <c r="C105" s="2901">
        <f>0.9622/C101</f>
        <v>0.43736363636363634</v>
      </c>
      <c r="D105" s="2901">
        <f>0.9622/D101</f>
        <v>0.43736363636363634</v>
      </c>
      <c r="E105" s="2901">
        <f>0.8656/E101</f>
        <v>0.39345454545454545</v>
      </c>
      <c r="F105" s="2901">
        <f>0.8656/F101</f>
        <v>0.39345454545454545</v>
      </c>
      <c r="G105" s="2901">
        <f>0.8656/G101</f>
        <v>0.39345454545454545</v>
      </c>
      <c r="H105" s="2901">
        <f>0.8656/H101</f>
        <v>0.39345454545454545</v>
      </c>
      <c r="I105" s="2901">
        <f>0.8656/I101</f>
        <v>0.39345454545454545</v>
      </c>
      <c r="J105" s="2901">
        <f>0.7525/J101</f>
        <v>0.34204545454545449</v>
      </c>
      <c r="K105" s="2901">
        <f>0.7525/K101</f>
        <v>0.34204545454545449</v>
      </c>
      <c r="L105" s="2901">
        <f>0.7525/L101</f>
        <v>0.34204545454545449</v>
      </c>
      <c r="M105" s="2901">
        <f>0.7525/M101</f>
        <v>0.34204545454545449</v>
      </c>
      <c r="N105" s="2901">
        <f>0.7525/N101</f>
        <v>0.34204545454545449</v>
      </c>
    </row>
    <row r="106" spans="1:14">
      <c r="A106" s="3264"/>
      <c r="B106" s="2900">
        <v>5</v>
      </c>
      <c r="C106" s="2901">
        <f>0.8417/C101</f>
        <v>0.38259090909090904</v>
      </c>
      <c r="D106" s="2901">
        <f>0.8417/D101</f>
        <v>0.38259090909090904</v>
      </c>
      <c r="E106" s="2901">
        <f>0.7371/E101</f>
        <v>0.33504545454545454</v>
      </c>
      <c r="F106" s="2901">
        <f>0.7371/F101</f>
        <v>0.33504545454545454</v>
      </c>
      <c r="G106" s="2901">
        <f>0.7371/G101</f>
        <v>0.33504545454545454</v>
      </c>
      <c r="H106" s="2901">
        <f>0.7371/H101</f>
        <v>0.33504545454545454</v>
      </c>
      <c r="I106" s="2901">
        <f>0.7371/I101</f>
        <v>0.33504545454545454</v>
      </c>
      <c r="J106" s="2901">
        <f>0.5659/J101</f>
        <v>0.25722727272727269</v>
      </c>
      <c r="K106" s="2901">
        <f>0.5659/K101</f>
        <v>0.25722727272727269</v>
      </c>
      <c r="L106" s="2901">
        <f>0.5659/L101</f>
        <v>0.25722727272727269</v>
      </c>
      <c r="M106" s="2901">
        <f>0.5659/M101</f>
        <v>0.25722727272727269</v>
      </c>
      <c r="N106" s="2901">
        <f>0.5659/N101</f>
        <v>0.25722727272727269</v>
      </c>
    </row>
    <row r="107" spans="1:14">
      <c r="A107" s="3264"/>
      <c r="B107" s="2900">
        <v>6</v>
      </c>
      <c r="C107" s="2901">
        <f>0.7608/C101</f>
        <v>0.3458181818181818</v>
      </c>
      <c r="D107" s="2901">
        <f>0.7608/D101</f>
        <v>0.3458181818181818</v>
      </c>
      <c r="E107" s="2901">
        <f>0.6482/E101</f>
        <v>0.29463636363636359</v>
      </c>
      <c r="F107" s="2901">
        <f>0.6482/F101</f>
        <v>0.29463636363636359</v>
      </c>
      <c r="G107" s="2901">
        <f>0.6482/G101</f>
        <v>0.29463636363636359</v>
      </c>
      <c r="H107" s="2901">
        <f>0.6482/H101</f>
        <v>0.29463636363636359</v>
      </c>
      <c r="I107" s="2901">
        <f>0.6482/I101</f>
        <v>0.29463636363636359</v>
      </c>
      <c r="J107" s="2901">
        <f>0.4525/J101</f>
        <v>0.20568181818181816</v>
      </c>
      <c r="K107" s="2901">
        <f>0.4525/K101</f>
        <v>0.20568181818181816</v>
      </c>
      <c r="L107" s="2901">
        <f>0.4525/L101</f>
        <v>0.20568181818181816</v>
      </c>
      <c r="M107" s="2901">
        <f>0.4525/M101</f>
        <v>0.20568181818181816</v>
      </c>
      <c r="N107" s="2901">
        <f>0.4525/N101</f>
        <v>0.20568181818181816</v>
      </c>
    </row>
    <row r="108" spans="1:14">
      <c r="A108" s="3264"/>
      <c r="B108" s="3189" t="s">
        <v>2871</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65"/>
      <c r="B109" s="3190"/>
      <c r="C109" s="2903">
        <f>(-0.163*(C108^2)-0.59*C108+7617)*(10^(-4))/C101</f>
        <v>0.34622727272727272</v>
      </c>
      <c r="D109" s="2903">
        <f>(-0.163*(D108^2)-0.59*D108+7617)*(10^(-4))/D101</f>
        <v>0.34622727272727272</v>
      </c>
      <c r="E109" s="2903">
        <f>(-0.161*(E108^2)-7.509*E108+6533)*(10^(-4))/E101</f>
        <v>0.29695454545454542</v>
      </c>
      <c r="F109" s="2903">
        <f>(-0.161*(F108^2)-7.509*F108+6533)*(10^(-4))/F101</f>
        <v>0.29695454545454542</v>
      </c>
      <c r="G109" s="2903">
        <f>(-0.161*(G108^2)-7.509*G108+6533)*(10^(-4))/G101</f>
        <v>0.29695454545454542</v>
      </c>
      <c r="H109" s="2903">
        <f>(-0.161*(H108^2)-7.509*H108+6533)*(10^(-4))/H101</f>
        <v>0.29695454545454542</v>
      </c>
      <c r="I109" s="2903">
        <f>(-0.161*(I108^2)-7.509*I108+6533)*(10^(-4))/I101</f>
        <v>0.29695454545454542</v>
      </c>
      <c r="J109" s="2903">
        <f>(-0.214*(J108^2)-21.991*J108+4665)*(10^(-4))/J101</f>
        <v>0.21204545454545454</v>
      </c>
      <c r="K109" s="2903">
        <f>(-0.214*(K108^2)-21.991*K108+4665)*(10^(-4))/K101</f>
        <v>0.21204545454545454</v>
      </c>
      <c r="L109" s="2903">
        <f>(-0.214*(L108^2)-21.991*L108+4665)*(10^(-4))/L101</f>
        <v>0.21204545454545454</v>
      </c>
      <c r="M109" s="2903">
        <f>(-0.214*(M108^2)-21.991*M108+4665)*(10^(-4))/M101</f>
        <v>0.21204545454545454</v>
      </c>
      <c r="N109" s="2903">
        <f>(-0.214*(N108^2)-21.991*N108+4665)*(10^(-4))/N101</f>
        <v>0.21204545454545454</v>
      </c>
    </row>
    <row r="110" spans="1:14">
      <c r="A110" s="3261" t="s">
        <v>2981</v>
      </c>
      <c r="B110" s="3261"/>
      <c r="C110" s="3261"/>
      <c r="D110" s="3261"/>
      <c r="E110" s="3261"/>
      <c r="F110" s="3261"/>
      <c r="G110" s="3261"/>
      <c r="H110" s="3261"/>
      <c r="I110" s="3261"/>
      <c r="J110" s="3261"/>
      <c r="K110" s="2997"/>
      <c r="L110" s="2997"/>
      <c r="M110" s="2997"/>
      <c r="N110" s="2997"/>
    </row>
    <row r="112" spans="1:14" ht="13.5" thickBot="1"/>
    <row r="113" spans="1:13" ht="25.5" thickBot="1">
      <c r="A113" s="902" t="s">
        <v>2982</v>
      </c>
      <c r="B113" s="1289">
        <f>G3</f>
        <v>2.2000000000000002</v>
      </c>
      <c r="C113" s="903" t="s">
        <v>2983</v>
      </c>
      <c r="D113" s="904">
        <f>SUMPRODUCT((A115:A118=F113)*(B114:M114=H113)*B115:M118)</f>
        <v>0.72030000000000005</v>
      </c>
      <c r="E113" s="2729" t="s">
        <v>2815</v>
      </c>
      <c r="F113" s="2908" t="str">
        <f>E2</f>
        <v>住宅</v>
      </c>
      <c r="G113" s="2729" t="s">
        <v>2816</v>
      </c>
      <c r="H113" s="2908" t="str">
        <f>G2</f>
        <v>八级</v>
      </c>
      <c r="I113" s="2729"/>
      <c r="J113" s="2909"/>
      <c r="K113" s="2909"/>
      <c r="L113" s="2909"/>
      <c r="M113" s="2909"/>
    </row>
    <row r="114" spans="1:13">
      <c r="A114" s="907"/>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8" t="s">
        <v>2880</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2881</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2882</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2883</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4" sqref="B24"/>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3004</v>
      </c>
    </row>
    <row r="2" spans="1:5" ht="15.75">
      <c r="A2" s="2915" t="s">
        <v>2996</v>
      </c>
      <c r="B2" s="2916">
        <f ca="1">SUMIF(B6:B13,"&lt;&gt;#ref!",B6:B13)</f>
        <v>106460</v>
      </c>
      <c r="C2" s="2915" t="s">
        <v>2997</v>
      </c>
      <c r="D2" s="2915" t="s">
        <v>2998</v>
      </c>
      <c r="E2" s="2916">
        <f ca="1">SUMIF(E6:E13,"&lt;&gt;#ref!",E6:E13)</f>
        <v>138864.16999999998</v>
      </c>
    </row>
    <row r="3" spans="1:5" ht="15.75">
      <c r="A3" s="2915" t="s">
        <v>2999</v>
      </c>
      <c r="B3" s="2916">
        <f ca="1">ROUND(B2*10000/E2,0)</f>
        <v>7666</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f ca="1">SUMIF(INDIRECT("'"&amp;A6&amp;"'"&amp;"!A:A"),"总价",INDIRECT("'"&amp;A6&amp;"'"&amp;"!B:B"))</f>
        <v>19501</v>
      </c>
      <c r="C6" s="2915" t="s">
        <v>2997</v>
      </c>
      <c r="D6" s="2917"/>
      <c r="E6" s="2580">
        <f ca="1">SUMIF(INDIRECT("'"&amp;A6&amp;"'"&amp;"!C:C"),"建筑面积",INDIRECT("'"&amp;A6&amp;"'"&amp;"!D:D"))</f>
        <v>49085.7</v>
      </c>
    </row>
    <row r="7" spans="1:5" ht="15.75">
      <c r="A7" s="2920" t="s">
        <v>3341</v>
      </c>
      <c r="B7" s="2916">
        <f ca="1">SUMIF(INDIRECT("'"&amp;A7&amp;"'"&amp;"!A:A"),"总价",INDIRECT("'"&amp;A7&amp;"'"&amp;"!B:B"))</f>
        <v>86959</v>
      </c>
      <c r="C7" s="2915" t="s">
        <v>2997</v>
      </c>
      <c r="D7" s="2917"/>
      <c r="E7" s="2580">
        <f t="shared" ref="E7:E13" ca="1" si="0">SUMIF(INDIRECT("'"&amp;A7&amp;"'"&amp;"!C:C"),"建筑面积",INDIRECT("'"&amp;A7&amp;"'"&amp;"!D:D"))</f>
        <v>89778.47</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62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70</v>
      </c>
      <c r="E1" s="1823" t="s">
        <v>1383</v>
      </c>
      <c r="F1" s="1285">
        <f ca="1">J53</f>
        <v>33.020000000000003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62633</v>
      </c>
      <c r="C2" s="1847" t="s">
        <v>1512</v>
      </c>
      <c r="D2" s="1847"/>
      <c r="E2" s="1848"/>
      <c r="F2" s="1849"/>
      <c r="G2" s="1850"/>
      <c r="H2" s="1842"/>
      <c r="I2" s="1842"/>
      <c r="J2" s="1842"/>
      <c r="K2" s="1843"/>
      <c r="L2" s="1842"/>
      <c r="M2" s="1842"/>
    </row>
    <row r="3" spans="1:37" ht="18" customHeight="1" thickBot="1">
      <c r="A3" s="1851" t="s">
        <v>1513</v>
      </c>
      <c r="B3" s="1852">
        <f ca="1">IF(ISERROR(B2*10000/F43),0,ROUND(B2*10000/F43,0))</f>
        <v>12456</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5871</v>
      </c>
      <c r="D5" s="1824" t="s">
        <v>1398</v>
      </c>
      <c r="E5" s="1295"/>
      <c r="F5" s="1296"/>
      <c r="G5" s="1853"/>
      <c r="H5" s="343">
        <v>1</v>
      </c>
      <c r="I5" s="344" t="s">
        <v>1397</v>
      </c>
      <c r="J5" s="1294">
        <f ca="1">J6+J10+J12</f>
        <v>0</v>
      </c>
      <c r="K5" s="1824" t="s">
        <v>1398</v>
      </c>
      <c r="L5" s="1295"/>
      <c r="M5" s="1296"/>
    </row>
    <row r="6" spans="1:37" ht="18" customHeight="1">
      <c r="A6" s="1293" t="s">
        <v>1032</v>
      </c>
      <c r="B6" s="3323" t="s">
        <v>1399</v>
      </c>
      <c r="C6" s="1298">
        <f ca="1">ROUND(F6*F8*F7*(1-F9)/10000,0)</f>
        <v>5871</v>
      </c>
      <c r="D6" s="163" t="s">
        <v>3033</v>
      </c>
      <c r="E6" s="346" t="s">
        <v>1401</v>
      </c>
      <c r="F6" s="347">
        <f ca="1">INDIRECT("'数据-取费表'!u"&amp;$G$1)</f>
        <v>58712000</v>
      </c>
      <c r="G6" s="1853"/>
      <c r="H6" s="1293" t="s">
        <v>1032</v>
      </c>
      <c r="I6" s="3323" t="s">
        <v>1399</v>
      </c>
      <c r="J6" s="345">
        <f ca="1">ROUND(M6*M8*M7*(1-M9)/10000,0)</f>
        <v>0</v>
      </c>
      <c r="K6" s="163" t="s">
        <v>3032</v>
      </c>
      <c r="L6" s="346" t="s">
        <v>1401</v>
      </c>
      <c r="M6" s="347">
        <f ca="1">INDIRECT("'数据-取费表'!z"&amp;$G$1)</f>
        <v>0</v>
      </c>
    </row>
    <row r="7" spans="1:37" ht="18" customHeight="1">
      <c r="A7" s="1297"/>
      <c r="B7" s="3324"/>
      <c r="C7" s="1299"/>
      <c r="D7" s="351"/>
      <c r="E7" s="1300" t="s">
        <v>1402</v>
      </c>
      <c r="F7" s="347">
        <f ca="1">IF(INDIRECT("'数据-取费表'!ah"&amp;$G$1)="",INDIRECT("'数据-取费表'!k"&amp;$G$1),INDIRECT("'数据-取费表'!ah"&amp;$G$1))</f>
        <v>1</v>
      </c>
      <c r="G7" s="1853"/>
      <c r="H7" s="348"/>
      <c r="I7" s="3324"/>
      <c r="J7" s="350"/>
      <c r="K7" s="351"/>
      <c r="L7" s="346" t="s">
        <v>1402</v>
      </c>
      <c r="M7" s="347">
        <f ca="1">F7</f>
        <v>1</v>
      </c>
    </row>
    <row r="8" spans="1:37" ht="18" customHeight="1">
      <c r="A8" s="348"/>
      <c r="B8" s="3324"/>
      <c r="C8" s="350"/>
      <c r="D8" s="351"/>
      <c r="E8" s="346" t="s">
        <v>1403</v>
      </c>
      <c r="F8" s="347">
        <f ca="1">INDIRECT("'数据-取费表'!ai"&amp;$G$1)</f>
        <v>1</v>
      </c>
      <c r="G8" s="1853"/>
      <c r="H8" s="348"/>
      <c r="I8" s="3324"/>
      <c r="J8" s="350"/>
      <c r="K8" s="351"/>
      <c r="L8" s="346" t="s">
        <v>1403</v>
      </c>
      <c r="M8" s="347">
        <f ca="1">INDIRECT("'数据-取费表'!ai"&amp;$G$1)</f>
        <v>1</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3042</v>
      </c>
      <c r="E10" s="357" t="s">
        <v>1406</v>
      </c>
      <c r="F10" s="3030" t="s">
        <v>3314</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45422</v>
      </c>
      <c r="D13" s="1333" t="s">
        <v>1411</v>
      </c>
      <c r="E13" s="1333" t="s">
        <v>1412</v>
      </c>
      <c r="F13" s="1334">
        <f ca="1">INDIRECT("'数据-取费表'!y"&amp;$G$1)</f>
        <v>0.97</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31432</v>
      </c>
      <c r="D14" s="1802" t="s">
        <v>1414</v>
      </c>
      <c r="E14" s="1796"/>
      <c r="F14" s="363"/>
      <c r="G14" s="1853"/>
      <c r="H14" s="1203" t="s">
        <v>1032</v>
      </c>
      <c r="I14" s="346" t="s">
        <v>1415</v>
      </c>
      <c r="J14" s="23">
        <f ca="1">C29</f>
        <v>46827</v>
      </c>
      <c r="K14" s="14"/>
      <c r="L14" s="981"/>
      <c r="M14" s="982"/>
    </row>
    <row r="15" spans="1:37" s="1860" customFormat="1" ht="18" customHeight="1" thickBot="1">
      <c r="A15" s="1203" t="s">
        <v>1033</v>
      </c>
      <c r="B15" s="346" t="s">
        <v>1416</v>
      </c>
      <c r="C15" s="23">
        <f ca="1">ROUND(C14*F15,0)</f>
        <v>943</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1099</v>
      </c>
      <c r="K16" s="1339" t="s">
        <v>1421</v>
      </c>
      <c r="L16" s="1340"/>
      <c r="M16" s="1296"/>
    </row>
    <row r="17" spans="1:37" s="1860" customFormat="1" ht="18" customHeight="1">
      <c r="A17" s="1203" t="s">
        <v>1386</v>
      </c>
      <c r="B17" s="346" t="s">
        <v>1422</v>
      </c>
      <c r="C17" s="23">
        <f ca="1">ROUND(F17*(F43+INDIRECT("'数据-取费表'!S"&amp;$G$1))/10000,0)</f>
        <v>1107</v>
      </c>
      <c r="D17" s="346" t="s">
        <v>1423</v>
      </c>
      <c r="E17" s="346" t="s">
        <v>1424</v>
      </c>
      <c r="F17" s="25">
        <f>'数据-取费表'!B35</f>
        <v>200</v>
      </c>
      <c r="G17" s="1856"/>
      <c r="H17" s="1203" t="s">
        <v>1032</v>
      </c>
      <c r="I17" s="346" t="s">
        <v>1425</v>
      </c>
      <c r="J17" s="23">
        <f ca="1">ROUND(IF(项目基本情况!B11="自然人",J5*M17,J18+J19+J20),1)</f>
        <v>396.5</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471</v>
      </c>
      <c r="D18" s="346" t="s">
        <v>1417</v>
      </c>
      <c r="E18" s="346" t="s">
        <v>1418</v>
      </c>
      <c r="F18" s="366">
        <f>'数据-取费表'!B36</f>
        <v>1.4999999999999999E-2</v>
      </c>
      <c r="G18" s="1856"/>
      <c r="H18" s="1203" t="s">
        <v>1031</v>
      </c>
      <c r="I18" s="346" t="s">
        <v>1429</v>
      </c>
      <c r="J18" s="23">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33953</v>
      </c>
      <c r="D19" s="139" t="s">
        <v>1432</v>
      </c>
      <c r="E19" s="1820"/>
      <c r="F19" s="25"/>
      <c r="G19" s="1853"/>
      <c r="H19" s="1203" t="s">
        <v>1033</v>
      </c>
      <c r="I19" s="346" t="s">
        <v>1433</v>
      </c>
      <c r="J19" s="23">
        <f ca="1">IF(K19="按租金收入计税",ROUND(J5*M19,2),ROUND(C29*M19*0.7,2))</f>
        <v>393.35</v>
      </c>
      <c r="K19" s="1830" t="s">
        <v>1434</v>
      </c>
      <c r="L19" s="346" t="s">
        <v>1418</v>
      </c>
      <c r="M19" s="366">
        <f>IF(K19="按租金收入计税",'数据-取费表'!B51,'数据-取费表'!B50)</f>
        <v>1.2E-2</v>
      </c>
    </row>
    <row r="20" spans="1:37" s="1860" customFormat="1" ht="18" customHeight="1">
      <c r="A20" s="1203" t="s">
        <v>1036</v>
      </c>
      <c r="B20" s="346" t="s">
        <v>1435</v>
      </c>
      <c r="C20" s="23">
        <f ca="1">ROUND(C19*F20,0)</f>
        <v>679</v>
      </c>
      <c r="D20" s="368" t="s">
        <v>1436</v>
      </c>
      <c r="E20" s="346" t="s">
        <v>1418</v>
      </c>
      <c r="F20" s="366">
        <f>'数据-取费表'!B37</f>
        <v>0.02</v>
      </c>
      <c r="G20" s="1856"/>
      <c r="H20" s="1203" t="s">
        <v>1385</v>
      </c>
      <c r="I20" s="163" t="s">
        <v>1437</v>
      </c>
      <c r="J20" s="24">
        <f ca="1">ROUND(M20*M21/10000,2)</f>
        <v>3.12</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20786.8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ROUND(J14*M22,1)</f>
        <v>702.4</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1645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1820"/>
      <c r="F25" s="25"/>
      <c r="G25" s="1853"/>
      <c r="H25" s="1331" t="s">
        <v>1028</v>
      </c>
      <c r="I25" s="1346" t="s">
        <v>1459</v>
      </c>
      <c r="J25" s="354">
        <f ca="1">J5-J16</f>
        <v>-1099</v>
      </c>
      <c r="K25" s="1347" t="s">
        <v>1460</v>
      </c>
      <c r="L25" s="1348"/>
      <c r="M25" s="1349"/>
    </row>
    <row r="26" spans="1:37">
      <c r="A26" s="1203" t="s">
        <v>1031</v>
      </c>
      <c r="B26" s="346" t="s">
        <v>1461</v>
      </c>
      <c r="C26" s="23">
        <f ca="1">ROUND((C19+C20)*F26,0)</f>
        <v>6926</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46827</v>
      </c>
      <c r="D29" s="1344"/>
      <c r="E29" s="1342"/>
      <c r="F29" s="1345"/>
      <c r="G29" s="1856"/>
      <c r="H29" s="379" t="s">
        <v>1030</v>
      </c>
      <c r="I29" s="380" t="s">
        <v>1475</v>
      </c>
      <c r="J29" s="381">
        <f ca="1">ROUND(J26/(1+F40)^F41,0)</f>
        <v>0</v>
      </c>
      <c r="K29" s="382" t="s">
        <v>1476</v>
      </c>
      <c r="L29" s="383"/>
      <c r="M29" s="384">
        <f ca="1">INDIRECT("'数据-取费表'!k"&amp;$G$1)</f>
        <v>50283.39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1563</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ROUND(IF(项目基本情况!B11="自然人",C5*F31,C32+C33+C34),1)</f>
        <v>704</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307.52999999999997</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393.35</v>
      </c>
      <c r="D33" s="3029" t="s">
        <v>3378</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3.12</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20786.8</v>
      </c>
      <c r="G35" s="1853"/>
      <c r="H35" s="744"/>
      <c r="I35" s="1862"/>
      <c r="J35" s="1863"/>
      <c r="K35" s="1864"/>
      <c r="L35" s="1861"/>
      <c r="M35" s="1861"/>
    </row>
    <row r="36" spans="1:18" ht="18" customHeight="1">
      <c r="A36" s="1354" t="s">
        <v>1036</v>
      </c>
      <c r="B36" s="346" t="s">
        <v>1445</v>
      </c>
      <c r="C36" s="23">
        <f ca="1">ROUND(C29*F36,1)</f>
        <v>702.4</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68.099999999999994</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88.1</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4308</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61316</v>
      </c>
      <c r="D40" s="369" t="s">
        <v>1465</v>
      </c>
      <c r="E40" s="346" t="s">
        <v>1466</v>
      </c>
      <c r="F40" s="356">
        <f ca="1">INDIRECT("'数据-取费表'!I"&amp;$G$1)</f>
        <v>0.06</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33.020000000000003</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12194</v>
      </c>
      <c r="D43" s="382" t="s">
        <v>1484</v>
      </c>
      <c r="E43" s="383" t="s">
        <v>1485</v>
      </c>
      <c r="F43" s="384">
        <f ca="1">INDIRECT("'数据-取费表'!k"&amp;$G$1)</f>
        <v>50283.39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-77926</v>
      </c>
      <c r="D46" s="1874" t="str">
        <f>C2</f>
        <v>万元</v>
      </c>
      <c r="E46" s="1868"/>
      <c r="F46" s="1868"/>
      <c r="I46" s="1875" t="s">
        <v>1517</v>
      </c>
      <c r="J46" s="1876"/>
      <c r="K46" s="1877"/>
      <c r="L46" s="1878">
        <f ca="1">IF(M47="住宅",0,IF(L48&gt;J51,L60,J60))</f>
        <v>1317</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f ca="1">INDIRECT("'数据-取费表'!d"&amp;$G$1)</f>
        <v>40</v>
      </c>
      <c r="M47" s="1840" t="str">
        <f>IF(ISNUMBER(FIND("住宅",C1)),"住宅","非住宅")</f>
        <v>非住宅</v>
      </c>
      <c r="O47" s="1886" t="s">
        <v>1037</v>
      </c>
      <c r="P47" s="1887" t="s">
        <v>1524</v>
      </c>
      <c r="Q47" s="1888">
        <f ca="1">C40+J29</f>
        <v>61316</v>
      </c>
      <c r="R47" s="1888" t="s">
        <v>1525</v>
      </c>
    </row>
    <row r="48" spans="1:18" s="1844" customFormat="1" ht="28.5" thickBot="1">
      <c r="A48" s="1362" t="s">
        <v>1132</v>
      </c>
      <c r="B48" s="344" t="s">
        <v>1397</v>
      </c>
      <c r="C48" s="1819">
        <f ca="1">C49+C53+C55</f>
        <v>0</v>
      </c>
      <c r="D48" s="1364"/>
      <c r="E48" s="1365"/>
      <c r="F48" s="1183"/>
      <c r="G48" s="791"/>
      <c r="H48" s="792"/>
      <c r="I48" s="1889" t="s">
        <v>1526</v>
      </c>
      <c r="J48" s="1890" t="s">
        <v>3317</v>
      </c>
      <c r="K48" s="1891" t="s">
        <v>1527</v>
      </c>
      <c r="L48" s="1892">
        <f ca="1">INDIRECT("'数据-取费表'!f"&amp;$G$1)</f>
        <v>33.020000000000003</v>
      </c>
      <c r="O48" s="1886" t="s">
        <v>1038</v>
      </c>
      <c r="P48" s="1887" t="s">
        <v>1528</v>
      </c>
      <c r="Q48" s="1888">
        <f ca="1">J60</f>
        <v>1317</v>
      </c>
      <c r="R48" s="1888" t="s">
        <v>1529</v>
      </c>
    </row>
    <row r="49" spans="1:18" s="1844" customFormat="1" ht="13.5" thickBot="1">
      <c r="A49" s="1196" t="s">
        <v>1133</v>
      </c>
      <c r="B49" s="1831" t="s">
        <v>1486</v>
      </c>
      <c r="C49" s="1366">
        <f ca="1">ROUND(F49*F51*F50*(1-F52)/10000,0)</f>
        <v>0</v>
      </c>
      <c r="D49" s="1278" t="s">
        <v>3034</v>
      </c>
      <c r="E49" s="1832" t="s">
        <v>1487</v>
      </c>
      <c r="F49" s="1283"/>
      <c r="G49" s="1893"/>
      <c r="H49" s="792"/>
      <c r="I49" s="1889" t="s">
        <v>1530</v>
      </c>
      <c r="J49" s="1894">
        <v>2017</v>
      </c>
      <c r="K49" s="1891" t="s">
        <v>1531</v>
      </c>
      <c r="L49" s="1895"/>
      <c r="O49" s="1896" t="s">
        <v>1039</v>
      </c>
      <c r="P49" s="1887" t="s">
        <v>1532</v>
      </c>
      <c r="Q49" s="1888">
        <f ca="1">C29</f>
        <v>46827</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f ca="1">J58</f>
        <v>0.41599999999999998</v>
      </c>
      <c r="R50" s="1888"/>
    </row>
    <row r="51" spans="1:18" s="1844" customFormat="1" ht="13.5" thickBot="1">
      <c r="A51" s="1198"/>
      <c r="B51" s="1200"/>
      <c r="C51" s="1201"/>
      <c r="D51" s="1174"/>
      <c r="E51" s="1202" t="s">
        <v>1403</v>
      </c>
      <c r="F51" s="347">
        <f ca="1">F8</f>
        <v>1</v>
      </c>
      <c r="I51" s="1900" t="s">
        <v>1536</v>
      </c>
      <c r="J51" s="1901">
        <f>IF(J49="",J50,J49+J50-YEAR('数据-取费表'!B2))</f>
        <v>58</v>
      </c>
      <c r="K51" s="1902" t="s">
        <v>1537</v>
      </c>
      <c r="L51" s="1903">
        <f ca="1">ROUND(-PV(INDIRECT("'数据-取费表'!h"&amp;$G$1),L48,(C39-C13*C76),0),0)</f>
        <v>10287</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33.020000000000003</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33.020000000000003</v>
      </c>
      <c r="K53" s="3321" t="s">
        <v>1544</v>
      </c>
      <c r="L53" s="3322"/>
      <c r="O53" s="1886" t="s">
        <v>1043</v>
      </c>
      <c r="P53" s="1887" t="s">
        <v>1545</v>
      </c>
      <c r="Q53" s="1888">
        <f ca="1">Q47+Q48</f>
        <v>62633</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0.41599999999999998</v>
      </c>
      <c r="K55" s="1914" t="s">
        <v>1548</v>
      </c>
      <c r="L55" s="1915"/>
      <c r="O55" s="1879" t="s">
        <v>1518</v>
      </c>
      <c r="P55" s="1880" t="s">
        <v>1519</v>
      </c>
      <c r="Q55" s="1881" t="s">
        <v>1520</v>
      </c>
      <c r="R55" s="1881" t="s">
        <v>1521</v>
      </c>
    </row>
    <row r="56" spans="1:18" s="1844" customFormat="1" ht="25.5" thickTop="1" thickBot="1">
      <c r="A56" s="1178">
        <v>2</v>
      </c>
      <c r="B56" s="1179" t="s">
        <v>1410</v>
      </c>
      <c r="C56" s="275">
        <f ca="1">C13</f>
        <v>45422</v>
      </c>
      <c r="D56" s="1916"/>
      <c r="E56" s="1917"/>
      <c r="F56" s="1909"/>
      <c r="I56" s="1918" t="s">
        <v>1550</v>
      </c>
      <c r="J56" s="1919" t="s">
        <v>3318</v>
      </c>
      <c r="K56" s="1889" t="s">
        <v>1551</v>
      </c>
      <c r="L56" s="1892" t="str">
        <f ca="1">IF(L48&lt;J51,"——",L48-J53)</f>
        <v>——</v>
      </c>
      <c r="O56" s="1886" t="s">
        <v>1037</v>
      </c>
      <c r="P56" s="1887" t="s">
        <v>1524</v>
      </c>
      <c r="Q56" s="1888">
        <f ca="1">C40+J29</f>
        <v>61316</v>
      </c>
      <c r="R56" s="1888" t="s">
        <v>1525</v>
      </c>
    </row>
    <row r="57" spans="1:18" s="1844" customFormat="1" ht="24.75" thickBot="1">
      <c r="A57" s="1920"/>
      <c r="B57" s="1171" t="s">
        <v>1474</v>
      </c>
      <c r="C57" s="281">
        <f ca="1">C29</f>
        <v>46827</v>
      </c>
      <c r="D57" s="1921"/>
      <c r="E57" s="1922"/>
      <c r="F57" s="1923"/>
      <c r="I57" s="1924" t="s">
        <v>1552</v>
      </c>
      <c r="J57" s="1925">
        <f ca="1">IF(OR(M47="住宅",J51&lt;L48,J56="是"),"——",J51-L48)</f>
        <v>24.979999999999997</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1167</v>
      </c>
      <c r="D58" s="1181" t="s">
        <v>1421</v>
      </c>
      <c r="E58" s="1182"/>
      <c r="F58" s="1183"/>
      <c r="I58" s="1924" t="s">
        <v>1556</v>
      </c>
      <c r="J58" s="1926">
        <f ca="1">IF(J55&lt;0.4,0.4,J55)</f>
        <v>0.41599999999999998</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396.5</v>
      </c>
      <c r="D59" s="1184" t="s">
        <v>1426</v>
      </c>
      <c r="E59" s="1185" t="s">
        <v>1427</v>
      </c>
      <c r="F59" s="367" t="str">
        <f ca="1">IF(项目基本情况!B11="企业","",IF(INDIRECT("'数据-取费表'!c"&amp;$G$1)="住宅",5%,IF(F49*F50*F51/12/(1+'数据-取费表'!C42)&gt;20000,12%,7%)))</f>
        <v/>
      </c>
      <c r="I59" s="1924" t="s">
        <v>1559</v>
      </c>
      <c r="J59" s="1925">
        <f ca="1">IF(OR(M47="住宅",J51&lt;L48,J56="是"),"——",ROUND(C29*J58,0))</f>
        <v>19480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1317</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IF(项目基本情况!B11="自然人","——",IF(D61="按租金收入计税",ROUND(C48*F61,2),IF(D61="按房产原值计税",ROUND(C57*F61*0.7,2),INDIRECT("'数据-取费表'!Aj"&amp;$G$1))))</f>
        <v>393.35</v>
      </c>
      <c r="D61" s="1830" t="s">
        <v>1434</v>
      </c>
      <c r="E61" s="1171" t="s">
        <v>1490</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4">
        <f ca="1">IF(项目基本情况!B11="自然人","——",ROUND(F62*F63/10000,2))</f>
        <v>3.12</v>
      </c>
      <c r="D62" s="1186" t="s">
        <v>1493</v>
      </c>
      <c r="E62" s="1171" t="s">
        <v>1494</v>
      </c>
      <c r="F62" s="370">
        <f t="shared" si="0"/>
        <v>1.5</v>
      </c>
      <c r="I62" s="1931" t="s">
        <v>1566</v>
      </c>
      <c r="J62" s="1932" t="s">
        <v>1567</v>
      </c>
      <c r="K62" s="1932" t="s">
        <v>1568</v>
      </c>
      <c r="L62" s="1932" t="s">
        <v>1569</v>
      </c>
      <c r="M62" s="1933" t="s">
        <v>1570</v>
      </c>
      <c r="O62" s="1886" t="s">
        <v>1043</v>
      </c>
      <c r="P62" s="1887" t="s">
        <v>1571</v>
      </c>
      <c r="Q62" s="1888">
        <f ca="1">Q56+Q57</f>
        <v>61316</v>
      </c>
      <c r="R62" s="1888" t="s">
        <v>1044</v>
      </c>
    </row>
    <row r="63" spans="1:18" s="1844" customFormat="1" ht="13.5" thickBot="1">
      <c r="A63" s="371"/>
      <c r="B63" s="1177"/>
      <c r="C63" s="28"/>
      <c r="D63" s="1187"/>
      <c r="E63" s="1171" t="s">
        <v>1495</v>
      </c>
      <c r="F63" s="347">
        <f t="shared" ca="1" si="0"/>
        <v>20786.8</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ROUND(C57*F64,1)</f>
        <v>702.4</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68.099999999999994</v>
      </c>
      <c r="D65" s="1185" t="s">
        <v>1450</v>
      </c>
      <c r="E65" s="1171" t="s">
        <v>1451</v>
      </c>
      <c r="F65" s="375">
        <f t="shared" ca="1" si="0"/>
        <v>1.5E-3</v>
      </c>
      <c r="I65" s="1931" t="s">
        <v>1575</v>
      </c>
      <c r="J65" s="1932">
        <v>40</v>
      </c>
      <c r="K65" s="1932">
        <v>30</v>
      </c>
      <c r="L65" s="1932">
        <v>50</v>
      </c>
      <c r="M65" s="1934">
        <v>0.02</v>
      </c>
      <c r="O65" s="1886" t="s">
        <v>1037</v>
      </c>
      <c r="P65" s="1887" t="s">
        <v>1576</v>
      </c>
      <c r="Q65" s="1888">
        <f ca="1">C40+J29</f>
        <v>61316</v>
      </c>
      <c r="R65" s="1888" t="s">
        <v>1525</v>
      </c>
    </row>
    <row r="66" spans="1:18" s="1844" customFormat="1" ht="16.5" thickBot="1">
      <c r="A66" s="1203" t="s">
        <v>1500</v>
      </c>
      <c r="B66" s="1171" t="s">
        <v>1435</v>
      </c>
      <c r="C66" s="23">
        <f ca="1">ROUND(C48*F66,1)</f>
        <v>0</v>
      </c>
      <c r="D66" s="1185" t="s">
        <v>1501</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-1167</v>
      </c>
      <c r="D67" s="1184" t="s">
        <v>1460</v>
      </c>
      <c r="E67" s="1189"/>
      <c r="F67" s="1190"/>
      <c r="O67" s="1896" t="s">
        <v>1039</v>
      </c>
      <c r="P67" s="1887" t="s">
        <v>1558</v>
      </c>
      <c r="Q67" s="1935">
        <f ca="1">L51</f>
        <v>10287</v>
      </c>
      <c r="R67" s="1888" t="s">
        <v>1578</v>
      </c>
    </row>
    <row r="68" spans="1:18" s="1844" customFormat="1" ht="16.5" thickBot="1">
      <c r="A68" s="1168" t="s">
        <v>1029</v>
      </c>
      <c r="B68" s="1169" t="s">
        <v>1481</v>
      </c>
      <c r="C68" s="345">
        <f ca="1">ROUND(C67*(1-((1+F70)/(1+F68))^F69)/(F68-F70),0)</f>
        <v>-16610</v>
      </c>
      <c r="D68" s="1186" t="s">
        <v>1465</v>
      </c>
      <c r="E68" s="1171" t="s">
        <v>1466</v>
      </c>
      <c r="F68" s="356">
        <f ca="1">F40</f>
        <v>0.06</v>
      </c>
      <c r="O68" s="1896" t="s">
        <v>1040</v>
      </c>
      <c r="P68" s="1936" t="s">
        <v>1579</v>
      </c>
      <c r="Q68" s="1888">
        <f ca="1">ROUND(Q69-Q70*Q71,0)</f>
        <v>674</v>
      </c>
      <c r="R68" s="1888" t="s">
        <v>1048</v>
      </c>
    </row>
    <row r="69" spans="1:18" s="1844" customFormat="1" ht="13.5" thickBot="1">
      <c r="A69" s="1172"/>
      <c r="B69" s="1173"/>
      <c r="C69" s="350"/>
      <c r="D69" s="1191" t="s">
        <v>1469</v>
      </c>
      <c r="E69" s="1171" t="s">
        <v>1470</v>
      </c>
      <c r="F69" s="378">
        <f ca="1">F41</f>
        <v>33.020000000000003</v>
      </c>
      <c r="O69" s="1896" t="s">
        <v>1045</v>
      </c>
      <c r="P69" s="1936" t="s">
        <v>1580</v>
      </c>
      <c r="Q69" s="1888">
        <f ca="1">C39</f>
        <v>4308</v>
      </c>
      <c r="R69" s="1888" t="s">
        <v>1525</v>
      </c>
    </row>
    <row r="70" spans="1:18" s="1844" customFormat="1" ht="13.5" thickBot="1">
      <c r="A70" s="1175"/>
      <c r="B70" s="1176"/>
      <c r="C70" s="354"/>
      <c r="D70" s="1187"/>
      <c r="E70" s="1171" t="s">
        <v>1473</v>
      </c>
      <c r="F70" s="1277"/>
      <c r="O70" s="1896" t="s">
        <v>1046</v>
      </c>
      <c r="P70" s="1936" t="s">
        <v>1581</v>
      </c>
      <c r="Q70" s="1888">
        <f ca="1">C13</f>
        <v>45422</v>
      </c>
      <c r="R70" s="1888" t="s">
        <v>1525</v>
      </c>
    </row>
    <row r="71" spans="1:18" s="1844" customFormat="1" ht="13.5" thickBot="1">
      <c r="A71" s="1192" t="s">
        <v>1030</v>
      </c>
      <c r="B71" s="1193" t="s">
        <v>1483</v>
      </c>
      <c r="C71" s="381">
        <f ca="1">ROUND(C68*10000/F71,0)</f>
        <v>-3303</v>
      </c>
      <c r="D71" s="1194" t="s">
        <v>1484</v>
      </c>
      <c r="E71" s="1195" t="s">
        <v>1485</v>
      </c>
      <c r="F71" s="384">
        <f ca="1">F43</f>
        <v>50283.39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3634</v>
      </c>
      <c r="D75" s="1844"/>
      <c r="E75" s="1844"/>
      <c r="F75" s="1844"/>
      <c r="K75" s="1870"/>
      <c r="L75" s="1844"/>
      <c r="O75" s="1886" t="s">
        <v>1043</v>
      </c>
      <c r="P75" s="1887" t="s">
        <v>1545</v>
      </c>
      <c r="Q75" s="1888">
        <f ca="1">Q65+Q66</f>
        <v>61316</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0.15600000000000003</v>
      </c>
    </row>
    <row r="80" spans="1:18">
      <c r="B80" s="385" t="s">
        <v>1507</v>
      </c>
      <c r="C80" s="317">
        <f ca="1">ROUND(C75/C39,3)</f>
        <v>0.84399999999999997</v>
      </c>
    </row>
    <row r="81" spans="2:3">
      <c r="B81" s="313" t="s">
        <v>1508</v>
      </c>
      <c r="C81" s="281"/>
    </row>
    <row r="82" spans="2:3">
      <c r="B82" s="316" t="s">
        <v>1509</v>
      </c>
      <c r="C82" s="318">
        <f ca="1">1-C83</f>
        <v>0.25900000000000001</v>
      </c>
    </row>
    <row r="83" spans="2:3">
      <c r="B83" s="316" t="s">
        <v>1510</v>
      </c>
      <c r="C83" s="317">
        <f ca="1">ROUND(C13/C40,3)</f>
        <v>0.74099999999999999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7</v>
      </c>
    </row>
    <row r="2" spans="1:33" ht="18" customHeight="1">
      <c r="A2" s="244" t="s">
        <v>2328</v>
      </c>
      <c r="B2" s="247">
        <f ca="1">C32</f>
        <v>-1603</v>
      </c>
      <c r="C2" s="319" t="s">
        <v>2461</v>
      </c>
      <c r="D2" s="319"/>
      <c r="E2" s="319"/>
      <c r="F2" s="319"/>
      <c r="G2" s="319"/>
      <c r="H2" s="319"/>
      <c r="I2" s="319"/>
      <c r="J2" s="319"/>
      <c r="K2" s="319"/>
    </row>
    <row r="3" spans="1:33" ht="18" customHeight="1" thickBot="1">
      <c r="A3" s="246" t="s">
        <v>2330</v>
      </c>
      <c r="B3" s="247">
        <f ca="1">ROUND(B2*10000/IF(C1="",'数据-汇总表'!E3,INDIRECT("'数据-取费表'!K"&amp;$K$1)),0)</f>
        <v>-101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9" t="s">
        <v>2466</v>
      </c>
      <c r="D5" s="2559" t="s">
        <v>2467</v>
      </c>
      <c r="E5" s="2559" t="s">
        <v>2468</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1330</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2482</v>
      </c>
      <c r="C12" s="23">
        <f ca="1">ROUND(C11*F12,0)</f>
        <v>0</v>
      </c>
      <c r="D12" s="975"/>
      <c r="E12" s="374"/>
      <c r="F12" s="978">
        <f>'数据-取费表'!B33</f>
        <v>0.03</v>
      </c>
      <c r="G12" s="8" t="s">
        <v>2483</v>
      </c>
      <c r="H12" s="970"/>
      <c r="I12" s="970"/>
      <c r="J12" s="970"/>
      <c r="K12" s="971"/>
    </row>
    <row r="13" spans="1:33" s="977" customFormat="1" ht="13.5" customHeight="1">
      <c r="A13" s="973" t="s">
        <v>1332</v>
      </c>
      <c r="B13" s="974" t="s">
        <v>2484</v>
      </c>
      <c r="C13" s="23">
        <f ca="1">ROUND(IF(C1="",SUMIF('数据-取费表'!C:C,"住宅",'数据-取费表'!P:P)*F13,IF(INDIRECT("'数据-取费表'!c"&amp;$K$1)="住宅",INDIRECT("'数据-取费表'!P"&amp;$K$1)*F13,0)),0)</f>
        <v>0</v>
      </c>
      <c r="D13" s="1035"/>
      <c r="E13" s="374"/>
      <c r="F13" s="978">
        <f>'数据-取费表'!B34</f>
        <v>0.05</v>
      </c>
      <c r="G13" s="8" t="s">
        <v>2485</v>
      </c>
      <c r="H13" s="970"/>
      <c r="I13" s="970"/>
      <c r="J13" s="970"/>
      <c r="K13" s="971"/>
    </row>
    <row r="14" spans="1:33" s="979" customFormat="1" ht="13.5" customHeight="1">
      <c r="A14" s="973" t="s">
        <v>1333</v>
      </c>
      <c r="B14" s="974" t="s">
        <v>2486</v>
      </c>
      <c r="C14" s="23">
        <f ca="1">ROUND(D14*E14*F11/10000,0)</f>
        <v>0</v>
      </c>
      <c r="D14" s="1035">
        <f ca="1">IF(C1="",'数据-汇总表'!E3,INDIRECT("'数据-取费表'!K"&amp;$K$1)+INDIRECT("'数据-取费表'!S"&amp;$K$1))</f>
        <v>158096.87</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158096.87</v>
      </c>
      <c r="E17" s="23">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2493</v>
      </c>
      <c r="C18" s="23">
        <f ca="1">C19+C20-IF(C1="",'数据-取费表'!B29,IF(G18="已全部缴纳",C19+C20,H18))</f>
        <v>1347</v>
      </c>
      <c r="D18" s="1035"/>
      <c r="E18" s="23"/>
      <c r="F18" s="978"/>
      <c r="G18" s="2561"/>
      <c r="H18" s="1579"/>
      <c r="I18" s="2562" t="s">
        <v>2494</v>
      </c>
      <c r="J18" s="981"/>
      <c r="K18" s="982"/>
    </row>
    <row r="19" spans="1:33" s="977" customFormat="1" ht="13.5" customHeight="1">
      <c r="A19" s="973" t="s">
        <v>805</v>
      </c>
      <c r="B19" s="974" t="s">
        <v>2495</v>
      </c>
      <c r="C19" s="23">
        <f ca="1">ROUND(D19*E19/10000,0)</f>
        <v>1347</v>
      </c>
      <c r="D19" s="1035">
        <f ca="1">IF(C1="",'数据-汇总表'!E5,IF(INDIRECT("'数据-取费表'!c"&amp;$K$1)="住宅",INDIRECT("'数据-取费表'!k"&amp;$K$1),0))</f>
        <v>89778.47</v>
      </c>
      <c r="E19" s="23">
        <f>'数据-取费表'!B27</f>
        <v>150</v>
      </c>
      <c r="F19" s="978"/>
      <c r="G19" s="14"/>
      <c r="H19" s="1581"/>
      <c r="I19" s="983"/>
      <c r="J19" s="983"/>
      <c r="K19" s="984"/>
    </row>
    <row r="20" spans="1:33" s="977" customFormat="1" ht="13.5" customHeight="1">
      <c r="A20" s="973" t="s">
        <v>806</v>
      </c>
      <c r="B20" s="974" t="s">
        <v>2496</v>
      </c>
      <c r="C20" s="23">
        <f ca="1">ROUND(D20*E20/10000,0)</f>
        <v>1298</v>
      </c>
      <c r="D20" s="1035">
        <f ca="1">IF(C1="",'数据-汇总表'!E6,IF(INDIRECT("'数据-取费表'!c"&amp;$K$1)="住宅",INDIRECT("'数据-取费表'!s"&amp;$K$1),INDIRECT("'数据-取费表'!k"&amp;$K$1)+INDIRECT("'数据-取费表'!s"&amp;$K$1)))</f>
        <v>68318.399999999994</v>
      </c>
      <c r="E20" s="23">
        <f>'数据-取费表'!B28</f>
        <v>190</v>
      </c>
      <c r="F20" s="978"/>
      <c r="G20" s="14"/>
      <c r="H20" s="983"/>
      <c r="I20" s="983"/>
      <c r="J20" s="983"/>
      <c r="K20" s="984"/>
    </row>
    <row r="21" spans="1:33" s="977" customFormat="1" ht="13.5" customHeight="1">
      <c r="A21" s="963" t="s">
        <v>802</v>
      </c>
      <c r="B21" s="987" t="s">
        <v>2497</v>
      </c>
      <c r="C21" s="988">
        <f ca="1">C16+C17+C18</f>
        <v>1347</v>
      </c>
      <c r="D21" s="989"/>
      <c r="E21" s="324"/>
      <c r="F21" s="324"/>
      <c r="G21" s="139" t="s">
        <v>2498</v>
      </c>
      <c r="H21" s="981"/>
      <c r="I21" s="981"/>
      <c r="J21" s="981"/>
      <c r="K21" s="982"/>
    </row>
    <row r="22" spans="1:33" s="977" customFormat="1" ht="13.5" customHeight="1">
      <c r="A22" s="963" t="s">
        <v>2470</v>
      </c>
      <c r="B22" s="987" t="s">
        <v>2499</v>
      </c>
      <c r="C22" s="988">
        <f ca="1">ROUND(C21*F22,0)</f>
        <v>27</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2510</v>
      </c>
      <c r="B28" s="2564" t="s">
        <v>2511</v>
      </c>
      <c r="C28" s="330">
        <f ca="1">C30</f>
        <v>275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275</v>
      </c>
      <c r="D30" s="327"/>
      <c r="E30" s="328"/>
      <c r="F30" s="333"/>
      <c r="G30" s="139"/>
      <c r="H30" s="981"/>
      <c r="I30" s="981"/>
      <c r="J30" s="981"/>
      <c r="K30" s="982"/>
    </row>
    <row r="31" spans="1:33" s="977" customFormat="1" ht="13.5" customHeight="1" thickBot="1">
      <c r="A31" s="2565"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-1603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#VALUE!</v>
      </c>
      <c r="C2" s="1847" t="s">
        <v>1587</v>
      </c>
      <c r="D2" s="1940" t="e">
        <f ca="1">C40+J29+L46</f>
        <v>#VALUE!</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323" t="s">
        <v>1399</v>
      </c>
      <c r="C6" s="1298">
        <f ca="1">ROUND(F6*F8*F7*(1-F9),0)</f>
        <v>0</v>
      </c>
      <c r="D6" s="163" t="s">
        <v>3030</v>
      </c>
      <c r="E6" s="346" t="s">
        <v>1401</v>
      </c>
      <c r="F6" s="347">
        <f ca="1">INDIRECT("'数据-取费表'!u"&amp;$G$1)</f>
        <v>0</v>
      </c>
      <c r="G6" s="1853"/>
      <c r="H6" s="1293" t="s">
        <v>1032</v>
      </c>
      <c r="I6" s="3323" t="s">
        <v>1399</v>
      </c>
      <c r="J6" s="345">
        <f ca="1">ROUND(M6*M8*M7*(1-M9),0)</f>
        <v>0</v>
      </c>
      <c r="K6" s="1836" t="s">
        <v>3031</v>
      </c>
      <c r="L6" s="346" t="s">
        <v>1401</v>
      </c>
      <c r="M6" s="347">
        <f ca="1">INDIRECT("'数据-取费表'!z"&amp;$G$1)</f>
        <v>0</v>
      </c>
    </row>
    <row r="7" spans="1:37" ht="18" customHeight="1">
      <c r="A7" s="1297"/>
      <c r="B7" s="3324"/>
      <c r="C7" s="1299"/>
      <c r="D7" s="351"/>
      <c r="E7" s="1300" t="s">
        <v>1402</v>
      </c>
      <c r="F7" s="347">
        <f ca="1">IF(INDIRECT("'数据-取费表'!ah"&amp;$G$1)="",INDIRECT("'数据-取费表'!k"&amp;$G$1),INDIRECT("'数据-取费表'!ah"&amp;$G$1))</f>
        <v>0</v>
      </c>
      <c r="G7" s="1853"/>
      <c r="H7" s="348"/>
      <c r="I7" s="3324"/>
      <c r="J7" s="350"/>
      <c r="K7" s="351"/>
      <c r="L7" s="346" t="s">
        <v>1402</v>
      </c>
      <c r="M7" s="347">
        <f ca="1">F7</f>
        <v>0</v>
      </c>
    </row>
    <row r="8" spans="1:37" ht="18" customHeight="1">
      <c r="A8" s="348"/>
      <c r="B8" s="3324"/>
      <c r="C8" s="350"/>
      <c r="D8" s="351"/>
      <c r="E8" s="346" t="s">
        <v>1403</v>
      </c>
      <c r="F8" s="347">
        <f ca="1">INDIRECT("'数据-取费表'!ai"&amp;$G$1)</f>
        <v>365</v>
      </c>
      <c r="G8" s="1853"/>
      <c r="H8" s="348"/>
      <c r="I8" s="3324"/>
      <c r="J8" s="350"/>
      <c r="K8" s="351"/>
      <c r="L8" s="346" t="s">
        <v>1403</v>
      </c>
      <c r="M8" s="347">
        <f ca="1">INDIRECT("'数据-取费表'!ai"&amp;$G$1)</f>
        <v>365</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1368"/>
      <c r="G10" s="1853"/>
      <c r="H10" s="1293" t="s">
        <v>1036</v>
      </c>
      <c r="I10" s="1825" t="s">
        <v>1405</v>
      </c>
      <c r="J10" s="345">
        <f ca="1">ROUND(IF(M10="押一",J6/12*M11,IF(M10="押二",J6/12*2*M11,IF(M10="押三",J6/12*3*M11,J11*M11))),0)</f>
        <v>0</v>
      </c>
      <c r="K10" s="1837" t="s">
        <v>3043</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3">
        <f ca="1">C29</f>
        <v>0</v>
      </c>
      <c r="K14" s="14"/>
      <c r="L14" s="981"/>
      <c r="M14" s="982"/>
    </row>
    <row r="15" spans="1:37" s="1860" customFormat="1" ht="18" customHeight="1" thickBot="1">
      <c r="A15" s="1203" t="s">
        <v>1033</v>
      </c>
      <c r="B15" s="346" t="s">
        <v>1416</v>
      </c>
      <c r="C15" s="23">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ROUND(INDIRECT("'数据-取费表'!l"&amp;$G$1)*F43*F16,0)</f>
        <v>0</v>
      </c>
      <c r="D16" s="346" t="s">
        <v>1417</v>
      </c>
      <c r="E16" s="346" t="s">
        <v>1418</v>
      </c>
      <c r="F16" s="366">
        <f ca="1">IF(INDIRECT("'数据-取费表'!c"&amp;$G$1)="住宅",'数据-取费表'!B34,0)</f>
        <v>0</v>
      </c>
      <c r="G16" s="1853"/>
      <c r="H16" s="1331" t="s">
        <v>1027</v>
      </c>
      <c r="I16" s="1332" t="s">
        <v>1420</v>
      </c>
      <c r="J16" s="354" t="e">
        <f ca="1">ROUND(J17+J22+J23+J24,0)</f>
        <v>#VALUE!</v>
      </c>
      <c r="K16" s="1339" t="s">
        <v>1421</v>
      </c>
      <c r="L16" s="1340"/>
      <c r="M16" s="1296"/>
    </row>
    <row r="17" spans="1:37" s="1860" customFormat="1" ht="18" customHeight="1">
      <c r="A17" s="1203" t="s">
        <v>1386</v>
      </c>
      <c r="B17" s="346" t="s">
        <v>1422</v>
      </c>
      <c r="C17" s="23">
        <f ca="1">ROUND(F17*(F43+INDIRECT("'数据-取费表'!S"&amp;$G$1)),0)</f>
        <v>0</v>
      </c>
      <c r="D17" s="346" t="s">
        <v>1423</v>
      </c>
      <c r="E17" s="346" t="s">
        <v>1424</v>
      </c>
      <c r="F17" s="25">
        <f>'数据-取费表'!B35</f>
        <v>200</v>
      </c>
      <c r="G17" s="1856"/>
      <c r="H17" s="1203" t="s">
        <v>1032</v>
      </c>
      <c r="I17" s="346" t="s">
        <v>1425</v>
      </c>
      <c r="J17" s="23">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0</v>
      </c>
      <c r="D18" s="346" t="s">
        <v>1417</v>
      </c>
      <c r="E18" s="346" t="s">
        <v>1418</v>
      </c>
      <c r="F18" s="366">
        <f>'数据-取费表'!B36</f>
        <v>1.4999999999999999E-2</v>
      </c>
      <c r="G18" s="1856"/>
      <c r="H18" s="1203" t="s">
        <v>1031</v>
      </c>
      <c r="I18" s="346" t="s">
        <v>1429</v>
      </c>
      <c r="J18" s="23">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0</v>
      </c>
      <c r="D19" s="139" t="s">
        <v>1432</v>
      </c>
      <c r="E19" s="1820"/>
      <c r="F19" s="25"/>
      <c r="G19" s="1853"/>
      <c r="H19" s="1203" t="s">
        <v>1033</v>
      </c>
      <c r="I19" s="346" t="s">
        <v>1433</v>
      </c>
      <c r="J19" s="23">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3">
        <f ca="1">ROUND(C19*F20,0)</f>
        <v>0</v>
      </c>
      <c r="D20" s="368" t="s">
        <v>1436</v>
      </c>
      <c r="E20" s="346" t="s">
        <v>1418</v>
      </c>
      <c r="F20" s="366">
        <f>'数据-取费表'!B37</f>
        <v>0.02</v>
      </c>
      <c r="G20" s="1856"/>
      <c r="H20" s="1203" t="s">
        <v>1385</v>
      </c>
      <c r="I20" s="163" t="s">
        <v>1437</v>
      </c>
      <c r="J20" s="24">
        <f ca="1">ROUND(M20*M21,0)</f>
        <v>0</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v>
      </c>
      <c r="D21" s="368" t="s">
        <v>1441</v>
      </c>
      <c r="E21" s="346" t="s">
        <v>1442</v>
      </c>
      <c r="F21" s="366">
        <f>'数据-取费表'!B38</f>
        <v>0.02</v>
      </c>
      <c r="G21" s="1856"/>
      <c r="H21" s="371"/>
      <c r="I21" s="355"/>
      <c r="J21" s="28"/>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ROUND(J14*M22,0)</f>
        <v>0</v>
      </c>
      <c r="K22" s="1800" t="s">
        <v>1446</v>
      </c>
      <c r="L22" s="346" t="s">
        <v>1418</v>
      </c>
      <c r="M22" s="373">
        <f ca="1">INDIRECT("'数据-取费表'!Ak"&amp;$G$1)</f>
        <v>0</v>
      </c>
    </row>
    <row r="23" spans="1:37" s="1860" customFormat="1" ht="18" customHeight="1">
      <c r="A23" s="1203"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ROUND(J13*M23,0)</f>
        <v>#VALUE!</v>
      </c>
      <c r="K23" s="1800" t="s">
        <v>1450</v>
      </c>
      <c r="L23" s="346" t="s">
        <v>1451</v>
      </c>
      <c r="M23" s="375" t="str">
        <f ca="1">INDIRECT("'数据-取费表'!Al"&amp;$G$1)</f>
        <v>%</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3"/>
      <c r="D25" s="139" t="s">
        <v>1458</v>
      </c>
      <c r="E25" s="1820"/>
      <c r="F25" s="25"/>
      <c r="G25" s="1853"/>
      <c r="H25" s="1331" t="s">
        <v>1028</v>
      </c>
      <c r="I25" s="1346" t="s">
        <v>1459</v>
      </c>
      <c r="J25" s="354" t="e">
        <f ca="1">J5-J16</f>
        <v>#VALUE!</v>
      </c>
      <c r="K25" s="1347" t="s">
        <v>1460</v>
      </c>
      <c r="L25" s="1348"/>
      <c r="M25" s="1349"/>
    </row>
    <row r="26" spans="1:37" ht="18" customHeight="1">
      <c r="A26" s="1203" t="s">
        <v>1031</v>
      </c>
      <c r="B26" s="346" t="s">
        <v>1461</v>
      </c>
      <c r="C26" s="23">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3">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t="e">
        <f ca="1">ROUND(J26/(1+F40)^F41,0)</f>
        <v>#N/A</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#VALUE!</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f>
        <v>0</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0</v>
      </c>
      <c r="G35" s="1853"/>
      <c r="H35" s="744"/>
      <c r="I35" s="1862"/>
      <c r="J35" s="1863"/>
      <c r="K35" s="1864"/>
      <c r="L35" s="1861"/>
      <c r="M35" s="1861"/>
    </row>
    <row r="36" spans="1:18" ht="18" customHeight="1">
      <c r="A36" s="1354" t="s">
        <v>1036</v>
      </c>
      <c r="B36" s="346" t="s">
        <v>1445</v>
      </c>
      <c r="C36" s="23">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3" t="e">
        <f ca="1">ROUND(C13*F37,0)</f>
        <v>#VALUE!</v>
      </c>
      <c r="D37" s="1800" t="s">
        <v>1450</v>
      </c>
      <c r="E37" s="346" t="s">
        <v>1451</v>
      </c>
      <c r="F37" s="375" t="str">
        <f ca="1">INDIRECT("'数据-取费表'!Al"&amp;$G$1)</f>
        <v>%</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t="e">
        <f ca="1">C5-C30</f>
        <v>#VALUE!</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#VALUE!</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#VALUE!</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#VALUE!</v>
      </c>
      <c r="D45" s="1942" t="s">
        <v>1600</v>
      </c>
      <c r="E45" s="1868"/>
      <c r="F45" s="1868"/>
      <c r="O45" s="1871" t="s">
        <v>1515</v>
      </c>
      <c r="P45" s="1841"/>
      <c r="Q45" s="1841"/>
      <c r="R45" s="1841"/>
    </row>
    <row r="46" spans="1:18" s="1844" customFormat="1" ht="13.5" thickBot="1">
      <c r="A46" s="1872" t="s">
        <v>1516</v>
      </c>
      <c r="C46" s="1873" t="e">
        <f ca="1">ROUND(C45/10000,0)</f>
        <v>#VALUE!</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#VALUE!</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365</v>
      </c>
      <c r="I51" s="1900" t="s">
        <v>1536</v>
      </c>
      <c r="J51" s="1901">
        <f>IF(J49="",J50,J49+J50-YEAR('数据-取费表'!B2))</f>
        <v>0</v>
      </c>
      <c r="K51" s="1902" t="s">
        <v>1537</v>
      </c>
      <c r="L51" s="1903" t="e">
        <f ca="1">ROUND(-PV(INDIRECT("'数据-取费表'!h"&amp;$G$1),L48,(C39-C13*C76),0),0)</f>
        <v>#VALUE!</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3044</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321" t="s">
        <v>1544</v>
      </c>
      <c r="L53" s="3322"/>
      <c r="O53" s="1886" t="s">
        <v>1043</v>
      </c>
      <c r="P53" s="1887" t="s">
        <v>1545</v>
      </c>
      <c r="Q53" s="1888" t="e">
        <f ca="1">Q47+Q48</f>
        <v>#VALUE!</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#VALUE!</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t="e">
        <f ca="1">IF(L48&lt;J51,"——",IF(L55="比较法",L49,IF(L55="基准地价",L50,L51)))</f>
        <v>#VALUE!</v>
      </c>
      <c r="O57" s="1886" t="s">
        <v>1038</v>
      </c>
      <c r="P57" s="1887" t="s">
        <v>1602</v>
      </c>
      <c r="Q57" s="1888" t="e">
        <f ca="1">L60</f>
        <v>#VALUE!</v>
      </c>
      <c r="R57" s="1888" t="s">
        <v>1603</v>
      </c>
    </row>
    <row r="58" spans="1:18" s="1844" customFormat="1" ht="24.75" thickBot="1">
      <c r="A58" s="359" t="s">
        <v>1027</v>
      </c>
      <c r="B58" s="1179" t="s">
        <v>1420</v>
      </c>
      <c r="C58" s="360" t="e">
        <f ca="1">ROUND(C59+C64+C65+C66,0)</f>
        <v>#VALUE!</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#VALUE!</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4">
        <f ca="1">IF(项目基本情况!B11="自然人","——",ROUND(F62*F63,0))</f>
        <v>0</v>
      </c>
      <c r="D62" s="1186" t="s">
        <v>1493</v>
      </c>
      <c r="E62" s="1171" t="s">
        <v>1494</v>
      </c>
      <c r="F62" s="370">
        <f t="shared" si="0"/>
        <v>1.5</v>
      </c>
      <c r="I62" s="1931" t="s">
        <v>1566</v>
      </c>
      <c r="J62" s="1932" t="s">
        <v>1567</v>
      </c>
      <c r="K62" s="1932" t="s">
        <v>1568</v>
      </c>
      <c r="L62" s="1932" t="s">
        <v>1569</v>
      </c>
      <c r="M62" s="1933" t="s">
        <v>1570</v>
      </c>
      <c r="O62" s="1886" t="s">
        <v>1043</v>
      </c>
      <c r="P62" s="1887" t="s">
        <v>1571</v>
      </c>
      <c r="Q62" s="1888" t="e">
        <f ca="1">Q56+Q57</f>
        <v>#VALUE!</v>
      </c>
      <c r="R62" s="1888" t="s">
        <v>1044</v>
      </c>
    </row>
    <row r="63" spans="1:18" s="1844" customFormat="1" ht="13.5" thickBot="1">
      <c r="A63" s="371"/>
      <c r="B63" s="1177"/>
      <c r="C63" s="28"/>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ROUND(C56*F65,0)</f>
        <v>#VALUE!</v>
      </c>
      <c r="D65" s="1185" t="s">
        <v>1450</v>
      </c>
      <c r="E65" s="1171" t="s">
        <v>1451</v>
      </c>
      <c r="F65" s="375" t="str">
        <f t="shared" ca="1" si="0"/>
        <v>%</v>
      </c>
      <c r="I65" s="1931" t="s">
        <v>1575</v>
      </c>
      <c r="J65" s="1932">
        <v>40</v>
      </c>
      <c r="K65" s="1932">
        <v>30</v>
      </c>
      <c r="L65" s="1932">
        <v>50</v>
      </c>
      <c r="M65" s="1934">
        <v>0.02</v>
      </c>
      <c r="O65" s="1886" t="s">
        <v>1037</v>
      </c>
      <c r="P65" s="1887" t="s">
        <v>1576</v>
      </c>
      <c r="Q65" s="1888" t="e">
        <f ca="1">C40+J29</f>
        <v>#VALUE!</v>
      </c>
      <c r="R65" s="1888" t="s">
        <v>1525</v>
      </c>
    </row>
    <row r="66" spans="1:18" s="1844" customFormat="1" ht="16.5" thickBot="1">
      <c r="A66" s="1203" t="s">
        <v>1500</v>
      </c>
      <c r="B66" s="1171" t="s">
        <v>1435</v>
      </c>
      <c r="C66" s="23">
        <f ca="1">ROUND(C48*F66,0)</f>
        <v>0</v>
      </c>
      <c r="D66" s="1185" t="s">
        <v>1501</v>
      </c>
      <c r="E66" s="1171" t="s">
        <v>1418</v>
      </c>
      <c r="F66" s="356">
        <f t="shared" ca="1" si="0"/>
        <v>0</v>
      </c>
      <c r="O66" s="1886" t="s">
        <v>1038</v>
      </c>
      <c r="P66" s="1887" t="s">
        <v>1554</v>
      </c>
      <c r="Q66" s="1888" t="e">
        <f ca="1">L60</f>
        <v>#VALUE!</v>
      </c>
      <c r="R66" s="1888" t="s">
        <v>1577</v>
      </c>
    </row>
    <row r="67" spans="1:18" s="1844" customFormat="1" ht="16.5" thickBot="1">
      <c r="A67" s="1178" t="s">
        <v>1028</v>
      </c>
      <c r="B67" s="1188" t="s">
        <v>1459</v>
      </c>
      <c r="C67" s="360" t="e">
        <f ca="1">C48-C58</f>
        <v>#VALUE!</v>
      </c>
      <c r="D67" s="1184" t="s">
        <v>1460</v>
      </c>
      <c r="E67" s="1189"/>
      <c r="F67" s="1190"/>
      <c r="O67" s="1896" t="s">
        <v>1039</v>
      </c>
      <c r="P67" s="1887" t="s">
        <v>1558</v>
      </c>
      <c r="Q67" s="1935" t="e">
        <f ca="1">L51</f>
        <v>#VALUE!</v>
      </c>
      <c r="R67" s="1888" t="s">
        <v>1578</v>
      </c>
    </row>
    <row r="68" spans="1:18" s="1844" customFormat="1" ht="16.5" thickBot="1">
      <c r="A68" s="1168" t="s">
        <v>1029</v>
      </c>
      <c r="B68" s="1169" t="s">
        <v>1481</v>
      </c>
      <c r="C68" s="345" t="e">
        <f ca="1">ROUND(C67*(1-((1+F70)/(1+F68))^F69)/(F68-F70),0)</f>
        <v>#VALUE!</v>
      </c>
      <c r="D68" s="1186" t="s">
        <v>1465</v>
      </c>
      <c r="E68" s="1171" t="s">
        <v>1466</v>
      </c>
      <c r="F68" s="356">
        <f ca="1">F40</f>
        <v>0</v>
      </c>
      <c r="O68" s="1896" t="s">
        <v>1040</v>
      </c>
      <c r="P68" s="1936" t="s">
        <v>1579</v>
      </c>
      <c r="Q68" s="1888" t="e">
        <f ca="1">ROUND(Q69-Q70*Q71,0)</f>
        <v>#VALUE!</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#VALUE!</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#VALUE!</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#VALUE!</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#VALUE!</v>
      </c>
    </row>
    <row r="80" spans="1:18">
      <c r="B80" s="385" t="s">
        <v>1507</v>
      </c>
      <c r="C80" s="317" t="e">
        <f ca="1">ROUND(C75/C39,3)</f>
        <v>#VALUE!</v>
      </c>
    </row>
    <row r="81" spans="2:3">
      <c r="B81" s="313" t="s">
        <v>1508</v>
      </c>
      <c r="C81" s="281"/>
    </row>
    <row r="82" spans="2:3">
      <c r="B82" s="316" t="s">
        <v>1509</v>
      </c>
      <c r="C82" s="318" t="e">
        <f ca="1">1-C83</f>
        <v>#VALUE!</v>
      </c>
    </row>
    <row r="83" spans="2:3">
      <c r="B83" s="316" t="s">
        <v>1510</v>
      </c>
      <c r="C83" s="317" t="e">
        <f ca="1">ROUND(C13/C40,3)</f>
        <v>#VALUE!</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估价对象为北京市房地产，为所有。根据《国有土地使用证》[]，估价对象（分摊）出让国有建设用地使用权面积为59391.98平方米，建筑面积为158096.87平方米。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估价对象为北京市房地产,属开发建设的，该项目尚在开发建设中。根据《国有土地使用证》[]，估价对象（分摊）出让国有建设用地使用权面积为59391.98平方米，规划建筑面积为158096.87平方米。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2019年1月16日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29" sqref="D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3066</v>
      </c>
      <c r="D1" s="1822" t="s">
        <v>70</v>
      </c>
      <c r="E1" s="1823" t="s">
        <v>1383</v>
      </c>
      <c r="F1" s="1285">
        <f ca="1">J53</f>
        <v>63.04</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146453</v>
      </c>
      <c r="C2" s="1847" t="s">
        <v>1512</v>
      </c>
      <c r="D2" s="1847"/>
      <c r="E2" s="1848"/>
      <c r="F2" s="1849"/>
      <c r="G2" s="1850"/>
      <c r="H2" s="1842"/>
      <c r="I2" s="1842"/>
      <c r="J2" s="1842"/>
      <c r="K2" s="1843"/>
      <c r="L2" s="1842"/>
      <c r="M2" s="1842"/>
    </row>
    <row r="3" spans="1:37" ht="18" customHeight="1" thickBot="1">
      <c r="A3" s="1851" t="s">
        <v>1513</v>
      </c>
      <c r="B3" s="1852">
        <f ca="1">IF(ISERROR(B2*10000/F43),0,ROUND(B2*10000/F43,0))</f>
        <v>16313</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9842</v>
      </c>
      <c r="D5" s="1824" t="s">
        <v>1398</v>
      </c>
      <c r="E5" s="1295"/>
      <c r="F5" s="1296"/>
      <c r="G5" s="1853"/>
      <c r="H5" s="343">
        <v>1</v>
      </c>
      <c r="I5" s="344" t="s">
        <v>1397</v>
      </c>
      <c r="J5" s="1294">
        <f ca="1">J6+J10+J12</f>
        <v>0</v>
      </c>
      <c r="K5" s="1824" t="s">
        <v>1398</v>
      </c>
      <c r="L5" s="1295"/>
      <c r="M5" s="1296"/>
    </row>
    <row r="6" spans="1:37" ht="18" customHeight="1">
      <c r="A6" s="1293" t="s">
        <v>1032</v>
      </c>
      <c r="B6" s="3323" t="s">
        <v>1399</v>
      </c>
      <c r="C6" s="1298">
        <f ca="1">ROUND(F6*F8*F7*(1-F9)/10000,0)</f>
        <v>9842</v>
      </c>
      <c r="D6" s="163" t="s">
        <v>3033</v>
      </c>
      <c r="E6" s="346" t="s">
        <v>1401</v>
      </c>
      <c r="F6" s="347">
        <f ca="1">INDIRECT("'数据-取费表'!u"&amp;$G$1)</f>
        <v>98416000</v>
      </c>
      <c r="G6" s="1853"/>
      <c r="H6" s="1293" t="s">
        <v>1032</v>
      </c>
      <c r="I6" s="3323" t="s">
        <v>1399</v>
      </c>
      <c r="J6" s="345">
        <f ca="1">ROUND(M6*M8*M7*(1-M9)/10000,0)</f>
        <v>0</v>
      </c>
      <c r="K6" s="163" t="s">
        <v>3032</v>
      </c>
      <c r="L6" s="346" t="s">
        <v>1401</v>
      </c>
      <c r="M6" s="347">
        <f ca="1">INDIRECT("'数据-取费表'!z"&amp;$G$1)</f>
        <v>0</v>
      </c>
    </row>
    <row r="7" spans="1:37" ht="18" customHeight="1">
      <c r="A7" s="1297"/>
      <c r="B7" s="3324"/>
      <c r="C7" s="1299"/>
      <c r="D7" s="351"/>
      <c r="E7" s="2994" t="s">
        <v>1402</v>
      </c>
      <c r="F7" s="347">
        <f ca="1">IF(INDIRECT("'数据-取费表'!ah"&amp;$G$1)="",INDIRECT("'数据-取费表'!k"&amp;$G$1),INDIRECT("'数据-取费表'!ah"&amp;$G$1))</f>
        <v>1</v>
      </c>
      <c r="G7" s="1853"/>
      <c r="H7" s="348"/>
      <c r="I7" s="3324"/>
      <c r="J7" s="350"/>
      <c r="K7" s="351"/>
      <c r="L7" s="346" t="s">
        <v>1402</v>
      </c>
      <c r="M7" s="347">
        <f ca="1">F7</f>
        <v>1</v>
      </c>
    </row>
    <row r="8" spans="1:37" ht="18" customHeight="1">
      <c r="A8" s="348"/>
      <c r="B8" s="3324"/>
      <c r="C8" s="350"/>
      <c r="D8" s="351"/>
      <c r="E8" s="346" t="s">
        <v>1403</v>
      </c>
      <c r="F8" s="347">
        <f ca="1">INDIRECT("'数据-取费表'!ai"&amp;$G$1)</f>
        <v>1</v>
      </c>
      <c r="G8" s="1853"/>
      <c r="H8" s="348"/>
      <c r="I8" s="3324"/>
      <c r="J8" s="350"/>
      <c r="K8" s="351"/>
      <c r="L8" s="346" t="s">
        <v>1403</v>
      </c>
      <c r="M8" s="347">
        <f ca="1">INDIRECT("'数据-取费表'!ai"&amp;$G$1)</f>
        <v>1</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3030" t="s">
        <v>3314</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58401</v>
      </c>
      <c r="D13" s="1333" t="s">
        <v>1411</v>
      </c>
      <c r="E13" s="1333" t="s">
        <v>1412</v>
      </c>
      <c r="F13" s="1334">
        <f ca="1">INDIRECT("'数据-取费表'!y"&amp;$G$1)</f>
        <v>0.97</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38165</v>
      </c>
      <c r="D14" s="2985" t="s">
        <v>1414</v>
      </c>
      <c r="E14" s="2983"/>
      <c r="F14" s="363"/>
      <c r="G14" s="1853"/>
      <c r="H14" s="1203" t="s">
        <v>1032</v>
      </c>
      <c r="I14" s="346" t="s">
        <v>1415</v>
      </c>
      <c r="J14" s="23">
        <f ca="1">C29</f>
        <v>60207</v>
      </c>
      <c r="K14" s="2993"/>
      <c r="L14" s="981"/>
      <c r="M14" s="982"/>
    </row>
    <row r="15" spans="1:37" s="1860" customFormat="1" ht="18" customHeight="1" thickBot="1">
      <c r="A15" s="1203" t="s">
        <v>1033</v>
      </c>
      <c r="B15" s="346" t="s">
        <v>1416</v>
      </c>
      <c r="C15" s="23">
        <f ca="1">ROUND(C14*F15,0)</f>
        <v>1145</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1796</v>
      </c>
      <c r="D16" s="346" t="s">
        <v>1417</v>
      </c>
      <c r="E16" s="346" t="s">
        <v>1418</v>
      </c>
      <c r="F16" s="366">
        <f ca="1">IF(INDIRECT("'数据-取费表'!c"&amp;$G$1)="住宅",'数据-取费表'!B34,0)</f>
        <v>0.05</v>
      </c>
      <c r="G16" s="1853"/>
      <c r="H16" s="1331" t="s">
        <v>1027</v>
      </c>
      <c r="I16" s="1332" t="s">
        <v>1420</v>
      </c>
      <c r="J16" s="354">
        <f ca="1">ROUND(J17+J22+J23+J24,0)</f>
        <v>1415</v>
      </c>
      <c r="K16" s="1339" t="s">
        <v>1421</v>
      </c>
      <c r="L16" s="2987"/>
      <c r="M16" s="1296"/>
    </row>
    <row r="17" spans="1:37" s="1860" customFormat="1" ht="18" customHeight="1">
      <c r="A17" s="1203" t="s">
        <v>1386</v>
      </c>
      <c r="B17" s="346" t="s">
        <v>1422</v>
      </c>
      <c r="C17" s="23">
        <f ca="1">ROUND(F17*(F43+INDIRECT("'数据-取费表'!S"&amp;$G$1))/10000,0)</f>
        <v>1976</v>
      </c>
      <c r="D17" s="346" t="s">
        <v>1423</v>
      </c>
      <c r="E17" s="346" t="s">
        <v>1424</v>
      </c>
      <c r="F17" s="25">
        <f>'数据-取费表'!B35</f>
        <v>200</v>
      </c>
      <c r="G17" s="1856"/>
      <c r="H17" s="1203" t="s">
        <v>1032</v>
      </c>
      <c r="I17" s="346" t="s">
        <v>1425</v>
      </c>
      <c r="J17" s="23">
        <f ca="1">ROUND(IF(项目基本情况!B11="自然人",J5*M17,J18+J19+J20),1)</f>
        <v>511.5</v>
      </c>
      <c r="K17" s="2985" t="s">
        <v>1426</v>
      </c>
      <c r="L17" s="2984"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572</v>
      </c>
      <c r="D18" s="346" t="s">
        <v>1417</v>
      </c>
      <c r="E18" s="346" t="s">
        <v>1418</v>
      </c>
      <c r="F18" s="366">
        <f>'数据-取费表'!B36</f>
        <v>1.4999999999999999E-2</v>
      </c>
      <c r="G18" s="1856"/>
      <c r="H18" s="1203" t="s">
        <v>1031</v>
      </c>
      <c r="I18" s="346" t="s">
        <v>1429</v>
      </c>
      <c r="J18" s="23">
        <f ca="1">ROUND(J5*M18/(1+'数据-取费表'!C42),2)</f>
        <v>0</v>
      </c>
      <c r="K18" s="2984"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43654</v>
      </c>
      <c r="D19" s="139" t="s">
        <v>1432</v>
      </c>
      <c r="E19" s="2992"/>
      <c r="F19" s="25"/>
      <c r="G19" s="1853"/>
      <c r="H19" s="1203" t="s">
        <v>1033</v>
      </c>
      <c r="I19" s="346" t="s">
        <v>1433</v>
      </c>
      <c r="J19" s="23">
        <f ca="1">IF(K19="按租金收入计税",ROUND(J5*M19,2),ROUND(C29*M19*0.7,2))</f>
        <v>505.74</v>
      </c>
      <c r="K19" s="1830" t="s">
        <v>1434</v>
      </c>
      <c r="L19" s="346" t="s">
        <v>1418</v>
      </c>
      <c r="M19" s="366">
        <f>IF(K19="按租金收入计税",'数据-取费表'!B51,'数据-取费表'!B50)</f>
        <v>1.2E-2</v>
      </c>
    </row>
    <row r="20" spans="1:37" s="1860" customFormat="1" ht="18" customHeight="1">
      <c r="A20" s="1203" t="s">
        <v>1036</v>
      </c>
      <c r="B20" s="346" t="s">
        <v>1435</v>
      </c>
      <c r="C20" s="23">
        <f ca="1">ROUND(C19*F20,0)</f>
        <v>873</v>
      </c>
      <c r="D20" s="368" t="s">
        <v>1436</v>
      </c>
      <c r="E20" s="346" t="s">
        <v>1418</v>
      </c>
      <c r="F20" s="366">
        <f>'数据-取费表'!B37</f>
        <v>0.02</v>
      </c>
      <c r="G20" s="1856"/>
      <c r="H20" s="1203" t="s">
        <v>1385</v>
      </c>
      <c r="I20" s="163" t="s">
        <v>1437</v>
      </c>
      <c r="J20" s="24">
        <f ca="1">ROUND(M20*M21/10000,2)</f>
        <v>5.79</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38605.17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92"/>
      <c r="F22" s="25"/>
      <c r="G22" s="1853"/>
      <c r="H22" s="1203" t="s">
        <v>1036</v>
      </c>
      <c r="I22" s="346" t="s">
        <v>1445</v>
      </c>
      <c r="J22" s="23">
        <f ca="1">ROUND(J14*M22,1)</f>
        <v>903.1</v>
      </c>
      <c r="K22" s="2984"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2115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2984" t="s">
        <v>1450</v>
      </c>
      <c r="L23" s="346" t="s">
        <v>1418</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f ca="1">ROUND(J5*M24,1)</f>
        <v>0</v>
      </c>
      <c r="K24" s="1344" t="s">
        <v>1455</v>
      </c>
      <c r="L24" s="1342" t="s">
        <v>1418</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92"/>
      <c r="F25" s="25"/>
      <c r="G25" s="1853"/>
      <c r="H25" s="1331" t="s">
        <v>1028</v>
      </c>
      <c r="I25" s="1346" t="s">
        <v>1459</v>
      </c>
      <c r="J25" s="354">
        <f ca="1">J5-J16</f>
        <v>-1415</v>
      </c>
      <c r="K25" s="1347" t="s">
        <v>1460</v>
      </c>
      <c r="L25" s="1348"/>
      <c r="M25" s="1349"/>
    </row>
    <row r="26" spans="1:37">
      <c r="A26" s="1203" t="s">
        <v>1031</v>
      </c>
      <c r="B26" s="346" t="s">
        <v>1461</v>
      </c>
      <c r="C26" s="23">
        <f ca="1">ROUND((C19+C20)*F26,0)</f>
        <v>8905</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60207</v>
      </c>
      <c r="D29" s="1344"/>
      <c r="E29" s="1342"/>
      <c r="F29" s="1345"/>
      <c r="G29" s="1856"/>
      <c r="H29" s="379" t="s">
        <v>1030</v>
      </c>
      <c r="I29" s="380" t="s">
        <v>1475</v>
      </c>
      <c r="J29" s="381">
        <f ca="1">ROUND(J26/(1+F40)^F41,0)</f>
        <v>0</v>
      </c>
      <c r="K29" s="382" t="s">
        <v>1476</v>
      </c>
      <c r="L29" s="383"/>
      <c r="M29" s="384">
        <f ca="1">INDIRECT("'数据-取费表'!k"&amp;$G$1)</f>
        <v>89778.47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2165</v>
      </c>
      <c r="D30" s="1339" t="s">
        <v>1421</v>
      </c>
      <c r="E30" s="2987"/>
      <c r="F30" s="1296"/>
      <c r="G30" s="1853"/>
      <c r="H30" s="744"/>
      <c r="I30" s="745"/>
      <c r="J30" s="746"/>
      <c r="K30" s="747"/>
      <c r="L30" s="748"/>
      <c r="M30" s="749"/>
    </row>
    <row r="31" spans="1:37" ht="18" customHeight="1">
      <c r="A31" s="1203" t="s">
        <v>1032</v>
      </c>
      <c r="B31" s="346" t="s">
        <v>1425</v>
      </c>
      <c r="C31" s="23">
        <f ca="1">ROUND(IF(项目基本情况!B11="自然人",C5*F31,C32+C33+C34),1)</f>
        <v>1027.0999999999999</v>
      </c>
      <c r="D31" s="2985" t="s">
        <v>1426</v>
      </c>
      <c r="E31" s="2984"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515.53</v>
      </c>
      <c r="D32" s="2984"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505.74</v>
      </c>
      <c r="D33" s="1830" t="s">
        <v>3378</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5.79</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38605.17</v>
      </c>
      <c r="G35" s="1853"/>
      <c r="H35" s="744"/>
      <c r="I35" s="1862"/>
      <c r="J35" s="1863"/>
      <c r="K35" s="1864"/>
      <c r="L35" s="1861"/>
      <c r="M35" s="1861"/>
    </row>
    <row r="36" spans="1:18" ht="18" customHeight="1">
      <c r="A36" s="1354" t="s">
        <v>1036</v>
      </c>
      <c r="B36" s="346" t="s">
        <v>1445</v>
      </c>
      <c r="C36" s="23">
        <f ca="1">ROUND(C29*F36,1)</f>
        <v>903.1</v>
      </c>
      <c r="D36" s="2984"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87.6</v>
      </c>
      <c r="D37" s="2984" t="s">
        <v>1450</v>
      </c>
      <c r="E37" s="346" t="s">
        <v>1418</v>
      </c>
      <c r="F37" s="375">
        <f ca="1">INDIRECT("'数据-取费表'!Al"&amp;$G$1)</f>
        <v>1.5E-3</v>
      </c>
      <c r="G37" s="1853"/>
      <c r="H37" s="1861"/>
      <c r="I37" s="1862"/>
      <c r="J37" s="1863"/>
      <c r="K37" s="750"/>
      <c r="L37" s="1861"/>
      <c r="M37" s="1861"/>
    </row>
    <row r="38" spans="1:18" ht="18" customHeight="1" thickBot="1">
      <c r="A38" s="1341" t="s">
        <v>1388</v>
      </c>
      <c r="B38" s="1342" t="s">
        <v>1435</v>
      </c>
      <c r="C38" s="1343">
        <f ca="1">ROUND(C5*F38,1)</f>
        <v>147.6</v>
      </c>
      <c r="D38" s="1344" t="s">
        <v>1455</v>
      </c>
      <c r="E38" s="1342" t="s">
        <v>1418</v>
      </c>
      <c r="F38" s="1338">
        <f ca="1">INDIRECT("'数据-取费表'!Am"&amp;$G$1)</f>
        <v>1.4999999999999999E-2</v>
      </c>
      <c r="G38" s="1853"/>
      <c r="H38" s="1861"/>
      <c r="I38" s="1862"/>
      <c r="J38" s="1863"/>
      <c r="K38" s="1867"/>
      <c r="L38" s="1861"/>
      <c r="M38" s="1861"/>
    </row>
    <row r="39" spans="1:18" ht="24.6" customHeight="1" thickTop="1">
      <c r="A39" s="1331" t="s">
        <v>1028</v>
      </c>
      <c r="B39" s="1346" t="s">
        <v>1459</v>
      </c>
      <c r="C39" s="354">
        <f ca="1">C5-C30</f>
        <v>7677</v>
      </c>
      <c r="D39" s="1347" t="s">
        <v>1460</v>
      </c>
      <c r="E39" s="1348"/>
      <c r="F39" s="1349"/>
      <c r="G39" s="1853"/>
      <c r="H39" s="1861"/>
      <c r="I39" s="1862"/>
      <c r="J39" s="1863"/>
      <c r="K39" s="1867"/>
      <c r="L39" s="1861"/>
      <c r="M39" s="1861"/>
    </row>
    <row r="40" spans="1:18" ht="18" customHeight="1">
      <c r="A40" s="343" t="s">
        <v>1029</v>
      </c>
      <c r="B40" s="344" t="s">
        <v>1481</v>
      </c>
      <c r="C40" s="345">
        <f ca="1">ROUND(C39*(1-((1+F42)/(1+F40))^F41)/(F40-F42),0)</f>
        <v>146453</v>
      </c>
      <c r="D40" s="369" t="s">
        <v>1465</v>
      </c>
      <c r="E40" s="346" t="s">
        <v>1466</v>
      </c>
      <c r="F40" s="356">
        <f ca="1">INDIRECT("'数据-取费表'!I"&amp;$G$1)</f>
        <v>0.05</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63.04</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16313</v>
      </c>
      <c r="D43" s="382" t="s">
        <v>1484</v>
      </c>
      <c r="E43" s="383" t="s">
        <v>1485</v>
      </c>
      <c r="F43" s="384">
        <f ca="1">INDIRECT("'数据-取费表'!k"&amp;$G$1)</f>
        <v>89778.47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-175106</v>
      </c>
      <c r="D46" s="1874" t="str">
        <f>C2</f>
        <v>万元</v>
      </c>
      <c r="E46" s="1868"/>
      <c r="F46" s="1868"/>
      <c r="I46" s="1875" t="s">
        <v>1517</v>
      </c>
      <c r="J46" s="1876"/>
      <c r="K46" s="1877"/>
      <c r="L46" s="1878">
        <f>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f ca="1">INDIRECT("'数据-取费表'!d"&amp;$G$1)</f>
        <v>70</v>
      </c>
      <c r="M47" s="1840" t="str">
        <f>IF(ISNUMBER(FIND("住宅",C1)),"住宅","非住宅")</f>
        <v>住宅</v>
      </c>
      <c r="O47" s="1886" t="s">
        <v>1037</v>
      </c>
      <c r="P47" s="1887" t="s">
        <v>1524</v>
      </c>
      <c r="Q47" s="1888">
        <f ca="1">C40+J29</f>
        <v>146453</v>
      </c>
      <c r="R47" s="1888" t="s">
        <v>1525</v>
      </c>
    </row>
    <row r="48" spans="1:18" s="1844" customFormat="1" ht="28.5" thickBot="1">
      <c r="A48" s="1362" t="s">
        <v>1132</v>
      </c>
      <c r="B48" s="344" t="s">
        <v>1397</v>
      </c>
      <c r="C48" s="2991">
        <f ca="1">C49+C53+C55</f>
        <v>0</v>
      </c>
      <c r="D48" s="1364"/>
      <c r="E48" s="1365"/>
      <c r="F48" s="1183"/>
      <c r="G48" s="791"/>
      <c r="H48" s="792"/>
      <c r="I48" s="1889" t="s">
        <v>1526</v>
      </c>
      <c r="J48" s="1890" t="s">
        <v>3317</v>
      </c>
      <c r="K48" s="1891" t="s">
        <v>1527</v>
      </c>
      <c r="L48" s="1892">
        <f ca="1">INDIRECT("'数据-取费表'!f"&amp;$G$1)</f>
        <v>63.04</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3032</v>
      </c>
      <c r="E49" s="1832" t="s">
        <v>1487</v>
      </c>
      <c r="F49" s="1283"/>
      <c r="G49" s="1893"/>
      <c r="H49" s="792"/>
      <c r="I49" s="1889" t="s">
        <v>1530</v>
      </c>
      <c r="J49" s="1894">
        <v>2017</v>
      </c>
      <c r="K49" s="1891" t="s">
        <v>1531</v>
      </c>
      <c r="L49" s="1895"/>
      <c r="O49" s="1896" t="s">
        <v>1039</v>
      </c>
      <c r="P49" s="1887" t="s">
        <v>1532</v>
      </c>
      <c r="Q49" s="1888">
        <f ca="1">C29</f>
        <v>60207</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1</v>
      </c>
      <c r="I51" s="1900" t="s">
        <v>1536</v>
      </c>
      <c r="J51" s="1901">
        <f>IF(J49="",J50,J49+J50-YEAR('数据-取费表'!B2))</f>
        <v>58</v>
      </c>
      <c r="K51" s="1902" t="s">
        <v>1537</v>
      </c>
      <c r="L51" s="1903">
        <f ca="1">ROUND(-PV(INDIRECT("'数据-取费表'!h"&amp;$G$1),L48,(C39-C13*C76),0),0)</f>
        <v>62612</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63.04</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63.04</v>
      </c>
      <c r="K53" s="3321" t="s">
        <v>1544</v>
      </c>
      <c r="L53" s="3322"/>
      <c r="O53" s="1886" t="s">
        <v>1043</v>
      </c>
      <c r="P53" s="1887" t="s">
        <v>1545</v>
      </c>
      <c r="Q53" s="1888">
        <f ca="1">Q47+Q48</f>
        <v>146453</v>
      </c>
      <c r="R53" s="1888" t="s">
        <v>1044</v>
      </c>
    </row>
    <row r="54" spans="1:18" s="1844" customFormat="1" ht="13.5" thickBot="1">
      <c r="A54" s="1408"/>
      <c r="B54" s="1827" t="s">
        <v>1384</v>
      </c>
      <c r="C54" s="1180"/>
      <c r="D54" s="1826"/>
      <c r="E54" s="2988"/>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1546</v>
      </c>
      <c r="P54" s="1841"/>
      <c r="Q54" s="1841"/>
      <c r="R54" s="1841"/>
    </row>
    <row r="55" spans="1:18" s="1844" customFormat="1" ht="13.5" thickBot="1">
      <c r="A55" s="1335" t="s">
        <v>1072</v>
      </c>
      <c r="B55" s="1829" t="s">
        <v>1409</v>
      </c>
      <c r="C55" s="1336"/>
      <c r="D55" s="1826"/>
      <c r="E55" s="2988"/>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58401</v>
      </c>
      <c r="D56" s="1916"/>
      <c r="E56" s="1917"/>
      <c r="F56" s="1909"/>
      <c r="I56" s="1918" t="s">
        <v>1550</v>
      </c>
      <c r="J56" s="1919" t="s">
        <v>3318</v>
      </c>
      <c r="K56" s="1889" t="s">
        <v>1551</v>
      </c>
      <c r="L56" s="1892">
        <f ca="1">IF(L48&lt;J51,"——",L48-J53)</f>
        <v>0</v>
      </c>
      <c r="O56" s="1886" t="s">
        <v>1037</v>
      </c>
      <c r="P56" s="1887" t="s">
        <v>1524</v>
      </c>
      <c r="Q56" s="1888">
        <f ca="1">C40+J29</f>
        <v>146453</v>
      </c>
      <c r="R56" s="1888" t="s">
        <v>1525</v>
      </c>
    </row>
    <row r="57" spans="1:18" s="1844" customFormat="1" ht="24.75" thickBot="1">
      <c r="A57" s="1920"/>
      <c r="B57" s="1171" t="s">
        <v>1474</v>
      </c>
      <c r="C57" s="281">
        <f ca="1">C29</f>
        <v>60207</v>
      </c>
      <c r="D57" s="1921"/>
      <c r="E57" s="1922"/>
      <c r="F57" s="1923"/>
      <c r="I57" s="1924" t="s">
        <v>1552</v>
      </c>
      <c r="J57" s="1925" t="str">
        <f ca="1">IF(OR(M47="住宅",J51&lt;L48,J56="是"),"——",J51-L48)</f>
        <v>——</v>
      </c>
      <c r="K57" s="1889" t="s">
        <v>1553</v>
      </c>
      <c r="L57" s="1892">
        <f ca="1">IF(L48&lt;J51,"——",IF(L55="比较法",L49,IF(L55="基准地价",L50,L51)))</f>
        <v>62612</v>
      </c>
      <c r="O57" s="1886" t="s">
        <v>1038</v>
      </c>
      <c r="P57" s="1887" t="s">
        <v>1554</v>
      </c>
      <c r="Q57" s="1888">
        <f ca="1">L60</f>
        <v>0</v>
      </c>
      <c r="R57" s="1888" t="s">
        <v>1555</v>
      </c>
    </row>
    <row r="58" spans="1:18" s="1844" customFormat="1" ht="24.75" thickBot="1">
      <c r="A58" s="359" t="s">
        <v>1027</v>
      </c>
      <c r="B58" s="1179" t="s">
        <v>1420</v>
      </c>
      <c r="C58" s="360">
        <f ca="1">ROUND(C59+C64+C65+C66,0)</f>
        <v>1502</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511.5</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3">
        <f ca="1">IF(项目基本情况!B11="自然人","——",IF(D61="按租金收入计税",ROUND(C48*F61,2),IF(D61="按房产原值计税",ROUND(C57*F61*0.7,2),INDIRECT("'数据-取费表'!Aj"&amp;$G$1))))</f>
        <v>505.74</v>
      </c>
      <c r="D61" s="1830" t="s">
        <v>1434</v>
      </c>
      <c r="E61" s="1171" t="s">
        <v>1418</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1437</v>
      </c>
      <c r="C62" s="24">
        <f ca="1">IF(项目基本情况!B11="自然人","——",ROUND(F62*F63/10000,2))</f>
        <v>5.79</v>
      </c>
      <c r="D62" s="1186" t="s">
        <v>1438</v>
      </c>
      <c r="E62" s="1171" t="s">
        <v>1439</v>
      </c>
      <c r="F62" s="370">
        <f t="shared" si="0"/>
        <v>1.5</v>
      </c>
      <c r="I62" s="1931" t="s">
        <v>1566</v>
      </c>
      <c r="J62" s="1932" t="s">
        <v>1567</v>
      </c>
      <c r="K62" s="1932" t="s">
        <v>1568</v>
      </c>
      <c r="L62" s="1932" t="s">
        <v>1569</v>
      </c>
      <c r="M62" s="1933" t="s">
        <v>1570</v>
      </c>
      <c r="O62" s="1886" t="s">
        <v>1043</v>
      </c>
      <c r="P62" s="1887" t="s">
        <v>1545</v>
      </c>
      <c r="Q62" s="1888">
        <f ca="1">Q56+Q57</f>
        <v>146453</v>
      </c>
      <c r="R62" s="1888" t="s">
        <v>1044</v>
      </c>
    </row>
    <row r="63" spans="1:18" s="1844" customFormat="1" ht="13.5" thickBot="1">
      <c r="A63" s="371"/>
      <c r="B63" s="1177"/>
      <c r="C63" s="28"/>
      <c r="D63" s="1187"/>
      <c r="E63" s="1171" t="s">
        <v>1443</v>
      </c>
      <c r="F63" s="347">
        <f t="shared" ca="1" si="0"/>
        <v>38605.17</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f ca="1">ROUND(C57*F64,1)</f>
        <v>903.1</v>
      </c>
      <c r="D64" s="1185" t="s">
        <v>1478</v>
      </c>
      <c r="E64" s="1171" t="s">
        <v>1418</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87.6</v>
      </c>
      <c r="D65" s="1185" t="s">
        <v>1450</v>
      </c>
      <c r="E65" s="1171" t="s">
        <v>1418</v>
      </c>
      <c r="F65" s="375">
        <f t="shared" ca="1" si="0"/>
        <v>1.5E-3</v>
      </c>
      <c r="I65" s="1931" t="s">
        <v>1575</v>
      </c>
      <c r="J65" s="1932">
        <v>40</v>
      </c>
      <c r="K65" s="1932">
        <v>30</v>
      </c>
      <c r="L65" s="1932">
        <v>50</v>
      </c>
      <c r="M65" s="1934">
        <v>0.02</v>
      </c>
      <c r="O65" s="1886" t="s">
        <v>1037</v>
      </c>
      <c r="P65" s="1887" t="s">
        <v>1524</v>
      </c>
      <c r="Q65" s="1888">
        <f ca="1">C40+J29</f>
        <v>146453</v>
      </c>
      <c r="R65" s="1888" t="s">
        <v>1525</v>
      </c>
    </row>
    <row r="66" spans="1:18" s="1844" customFormat="1" ht="16.5" thickBot="1">
      <c r="A66" s="1203" t="s">
        <v>1500</v>
      </c>
      <c r="B66" s="1171" t="s">
        <v>1435</v>
      </c>
      <c r="C66" s="23">
        <f ca="1">ROUND(C48*F66,1)</f>
        <v>0</v>
      </c>
      <c r="D66" s="1185" t="s">
        <v>1455</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-1502</v>
      </c>
      <c r="D67" s="1184" t="s">
        <v>1460</v>
      </c>
      <c r="E67" s="1189"/>
      <c r="F67" s="1190"/>
      <c r="O67" s="1896" t="s">
        <v>1039</v>
      </c>
      <c r="P67" s="1887" t="s">
        <v>1558</v>
      </c>
      <c r="Q67" s="1935">
        <f ca="1">L51</f>
        <v>62612</v>
      </c>
      <c r="R67" s="1888" t="s">
        <v>1578</v>
      </c>
    </row>
    <row r="68" spans="1:18" s="1844" customFormat="1" ht="16.5" thickBot="1">
      <c r="A68" s="1168" t="s">
        <v>1029</v>
      </c>
      <c r="B68" s="1169" t="s">
        <v>1481</v>
      </c>
      <c r="C68" s="345">
        <f ca="1">ROUND(C67*(1-((1+F70)/(1+F68))^F69)/(F68-F70),0)</f>
        <v>-28653</v>
      </c>
      <c r="D68" s="1186" t="s">
        <v>1465</v>
      </c>
      <c r="E68" s="1171" t="s">
        <v>1466</v>
      </c>
      <c r="F68" s="356">
        <f ca="1">F40</f>
        <v>0.05</v>
      </c>
      <c r="O68" s="1896" t="s">
        <v>1040</v>
      </c>
      <c r="P68" s="1936" t="s">
        <v>1579</v>
      </c>
      <c r="Q68" s="1888">
        <f ca="1">ROUND(Q69-Q70*Q71,0)</f>
        <v>3005</v>
      </c>
      <c r="R68" s="1888" t="s">
        <v>1048</v>
      </c>
    </row>
    <row r="69" spans="1:18" s="1844" customFormat="1" ht="13.5" thickBot="1">
      <c r="A69" s="1172"/>
      <c r="B69" s="1173"/>
      <c r="C69" s="350"/>
      <c r="D69" s="1191" t="s">
        <v>1469</v>
      </c>
      <c r="E69" s="1171" t="s">
        <v>1470</v>
      </c>
      <c r="F69" s="378">
        <f ca="1">F41</f>
        <v>63.04</v>
      </c>
      <c r="O69" s="1896" t="s">
        <v>1045</v>
      </c>
      <c r="P69" s="1936" t="s">
        <v>1580</v>
      </c>
      <c r="Q69" s="1888">
        <f ca="1">C39</f>
        <v>7677</v>
      </c>
      <c r="R69" s="1888" t="s">
        <v>1525</v>
      </c>
    </row>
    <row r="70" spans="1:18" s="1844" customFormat="1" ht="13.5" thickBot="1">
      <c r="A70" s="1175"/>
      <c r="B70" s="1176"/>
      <c r="C70" s="354"/>
      <c r="D70" s="1187"/>
      <c r="E70" s="1171" t="s">
        <v>1473</v>
      </c>
      <c r="F70" s="1277"/>
      <c r="O70" s="1896" t="s">
        <v>1046</v>
      </c>
      <c r="P70" s="1936" t="s">
        <v>1581</v>
      </c>
      <c r="Q70" s="1888">
        <f ca="1">C13</f>
        <v>58401</v>
      </c>
      <c r="R70" s="1888" t="s">
        <v>1525</v>
      </c>
    </row>
    <row r="71" spans="1:18" s="1844" customFormat="1" ht="13.5" thickBot="1">
      <c r="A71" s="1192" t="s">
        <v>1030</v>
      </c>
      <c r="B71" s="1193" t="s">
        <v>1483</v>
      </c>
      <c r="C71" s="381">
        <f ca="1">ROUND(C68*10000/F71,0)</f>
        <v>-3192</v>
      </c>
      <c r="D71" s="1194" t="s">
        <v>1484</v>
      </c>
      <c r="E71" s="1195" t="s">
        <v>1485</v>
      </c>
      <c r="F71" s="384">
        <f ca="1">F43</f>
        <v>89778.47</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4672</v>
      </c>
      <c r="D75" s="1844"/>
      <c r="E75" s="1844"/>
      <c r="F75" s="1844"/>
      <c r="K75" s="1870"/>
      <c r="L75" s="1844"/>
      <c r="O75" s="1886" t="s">
        <v>1043</v>
      </c>
      <c r="P75" s="1887" t="s">
        <v>1545</v>
      </c>
      <c r="Q75" s="1888">
        <f ca="1">Q65+Q66</f>
        <v>146453</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0.39100000000000001</v>
      </c>
    </row>
    <row r="80" spans="1:18">
      <c r="B80" s="385" t="s">
        <v>1507</v>
      </c>
      <c r="C80" s="317">
        <f ca="1">ROUND(C75/C39,3)</f>
        <v>0.60899999999999999</v>
      </c>
    </row>
    <row r="81" spans="2:3">
      <c r="B81" s="313" t="s">
        <v>1508</v>
      </c>
      <c r="C81" s="281"/>
    </row>
    <row r="82" spans="2:3">
      <c r="B82" s="316" t="s">
        <v>1509</v>
      </c>
      <c r="C82" s="318">
        <f ca="1">1-C83</f>
        <v>0.60099999999999998</v>
      </c>
    </row>
    <row r="83" spans="2:3">
      <c r="B83" s="316" t="s">
        <v>1510</v>
      </c>
      <c r="C83" s="317">
        <f ca="1">ROUND(C13/C40,3)</f>
        <v>0.39900000000000002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7" sqref="J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70</v>
      </c>
      <c r="E1" s="1823" t="s">
        <v>1383</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t="e">
        <f ca="1">C6+C10+C12</f>
        <v>#N/A</v>
      </c>
      <c r="D5" s="1824" t="s">
        <v>1398</v>
      </c>
      <c r="E5" s="1295"/>
      <c r="F5" s="1296"/>
      <c r="G5" s="1853"/>
      <c r="H5" s="343">
        <v>1</v>
      </c>
      <c r="I5" s="344" t="s">
        <v>1397</v>
      </c>
      <c r="J5" s="1294" t="e">
        <f ca="1">J6+J10+J12</f>
        <v>#N/A</v>
      </c>
      <c r="K5" s="1824" t="s">
        <v>1398</v>
      </c>
      <c r="L5" s="1295"/>
      <c r="M5" s="1296"/>
    </row>
    <row r="6" spans="1:37" ht="18" customHeight="1">
      <c r="A6" s="1293" t="s">
        <v>1032</v>
      </c>
      <c r="B6" s="3323" t="s">
        <v>1399</v>
      </c>
      <c r="C6" s="1298" t="e">
        <f ca="1">ROUND(F6*F8*F7*(1-F9)/10000,0)</f>
        <v>#N/A</v>
      </c>
      <c r="D6" s="163" t="s">
        <v>3033</v>
      </c>
      <c r="E6" s="346" t="s">
        <v>1401</v>
      </c>
      <c r="F6" s="347" t="e">
        <f ca="1">INDIRECT("'数据-取费表'!u"&amp;$G$1)</f>
        <v>#N/A</v>
      </c>
      <c r="G6" s="1853"/>
      <c r="H6" s="1293" t="s">
        <v>1032</v>
      </c>
      <c r="I6" s="3323" t="s">
        <v>1399</v>
      </c>
      <c r="J6" s="345" t="e">
        <f ca="1">ROUND(M6*M8*M7*(1-M9)/10000,0)</f>
        <v>#N/A</v>
      </c>
      <c r="K6" s="163" t="s">
        <v>3032</v>
      </c>
      <c r="L6" s="346" t="s">
        <v>1401</v>
      </c>
      <c r="M6" s="347" t="e">
        <f ca="1">INDIRECT("'数据-取费表'!z"&amp;$G$1)</f>
        <v>#N/A</v>
      </c>
    </row>
    <row r="7" spans="1:37" ht="18" customHeight="1">
      <c r="A7" s="1297"/>
      <c r="B7" s="3324"/>
      <c r="C7" s="1299"/>
      <c r="D7" s="351"/>
      <c r="E7" s="2948" t="s">
        <v>1402</v>
      </c>
      <c r="F7" s="347" t="e">
        <f ca="1">IF(INDIRECT("'数据-取费表'!ah"&amp;$G$1)="",INDIRECT("'数据-取费表'!k"&amp;$G$1),INDIRECT("'数据-取费表'!ah"&amp;$G$1))</f>
        <v>#N/A</v>
      </c>
      <c r="G7" s="1853"/>
      <c r="H7" s="348"/>
      <c r="I7" s="3324"/>
      <c r="J7" s="350"/>
      <c r="K7" s="351"/>
      <c r="L7" s="346" t="s">
        <v>1402</v>
      </c>
      <c r="M7" s="347" t="e">
        <f ca="1">F7</f>
        <v>#N/A</v>
      </c>
    </row>
    <row r="8" spans="1:37" ht="18" customHeight="1">
      <c r="A8" s="348"/>
      <c r="B8" s="3324"/>
      <c r="C8" s="350"/>
      <c r="D8" s="351"/>
      <c r="E8" s="346" t="s">
        <v>1403</v>
      </c>
      <c r="F8" s="347" t="e">
        <f ca="1">INDIRECT("'数据-取费表'!ai"&amp;$G$1)</f>
        <v>#N/A</v>
      </c>
      <c r="G8" s="1853"/>
      <c r="H8" s="348"/>
      <c r="I8" s="3324"/>
      <c r="J8" s="350"/>
      <c r="K8" s="351"/>
      <c r="L8" s="346" t="s">
        <v>1403</v>
      </c>
      <c r="M8" s="347" t="e">
        <f ca="1">INDIRECT("'数据-取费表'!ai"&amp;$G$1)</f>
        <v>#N/A</v>
      </c>
    </row>
    <row r="9" spans="1:37" ht="18" customHeight="1">
      <c r="A9" s="348"/>
      <c r="B9" s="3325"/>
      <c r="C9" s="350"/>
      <c r="D9" s="351"/>
      <c r="E9" s="346" t="s">
        <v>1404</v>
      </c>
      <c r="F9" s="356" t="e">
        <f ca="1">INDIRECT("'数据-取费表'!w"&amp;$G$1)</f>
        <v>#N/A</v>
      </c>
      <c r="G9" s="1853"/>
      <c r="H9" s="348"/>
      <c r="I9" s="3325"/>
      <c r="J9" s="350"/>
      <c r="K9" s="351"/>
      <c r="L9" s="357" t="s">
        <v>1404</v>
      </c>
      <c r="M9" s="358" t="e">
        <f ca="1">INDIRECT("'数据-取费表'!ab"&amp;$G$1)</f>
        <v>#N/A</v>
      </c>
    </row>
    <row r="10" spans="1:37" ht="18" customHeight="1">
      <c r="A10" s="1293" t="s">
        <v>1036</v>
      </c>
      <c r="B10" s="1825" t="s">
        <v>1405</v>
      </c>
      <c r="C10" s="360">
        <f ca="1">ROUND(IF(F10="押一",C6/12*F11,IF(F10="押二",C6/12*2*F11,IF(F10="押三",C6/12*3*F11,C11*F11))),0)</f>
        <v>0</v>
      </c>
      <c r="D10" s="1826" t="s">
        <v>3041</v>
      </c>
      <c r="E10" s="357" t="s">
        <v>1406</v>
      </c>
      <c r="F10" s="1368" t="s">
        <v>3314</v>
      </c>
      <c r="G10" s="1853"/>
      <c r="H10" s="1293" t="s">
        <v>1036</v>
      </c>
      <c r="I10" s="1825" t="s">
        <v>1405</v>
      </c>
      <c r="J10" s="345" t="e">
        <f ca="1">ROUND(IF(M10="押一",J6/12*M11,IF(M10="押二",J6/12*2*M11,IF(M10="押三",J6/12*3*M11,J11*M11))),0)</f>
        <v>#N/A</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t="e">
        <f ca="1">ROUND(C29*F13,0)</f>
        <v>#N/A</v>
      </c>
      <c r="D13" s="1333" t="s">
        <v>1411</v>
      </c>
      <c r="E13" s="1333" t="s">
        <v>1412</v>
      </c>
      <c r="F13" s="1334" t="e">
        <f ca="1">INDIRECT("'数据-取费表'!y"&amp;$G$1)</f>
        <v>#N/A</v>
      </c>
      <c r="G13" s="1853"/>
      <c r="H13" s="1331">
        <v>2</v>
      </c>
      <c r="I13" s="1332" t="s">
        <v>1410</v>
      </c>
      <c r="J13" s="1292" t="e">
        <f ca="1">ROUND(J14*J15,0)</f>
        <v>#N/A</v>
      </c>
      <c r="K13" s="1339" t="s">
        <v>1411</v>
      </c>
      <c r="L13" s="1854"/>
      <c r="M13" s="1855"/>
    </row>
    <row r="14" spans="1:37" ht="18" customHeight="1">
      <c r="A14" s="1203" t="s">
        <v>1031</v>
      </c>
      <c r="B14" s="346" t="s">
        <v>1413</v>
      </c>
      <c r="C14" s="362" t="e">
        <f ca="1">INDIRECT("'数据-取费表'!m"&amp;$G$1)+INDIRECT("'数据-取费表'!t"&amp;$G$1)</f>
        <v>#N/A</v>
      </c>
      <c r="D14" s="2951" t="s">
        <v>1414</v>
      </c>
      <c r="E14" s="2950"/>
      <c r="F14" s="363"/>
      <c r="G14" s="1853"/>
      <c r="H14" s="1203" t="s">
        <v>1032</v>
      </c>
      <c r="I14" s="346" t="s">
        <v>1415</v>
      </c>
      <c r="J14" s="23" t="e">
        <f ca="1">C29</f>
        <v>#N/A</v>
      </c>
      <c r="K14" s="2947"/>
      <c r="L14" s="981"/>
      <c r="M14" s="982"/>
    </row>
    <row r="15" spans="1:37" s="1860" customFormat="1" ht="18" customHeight="1" thickBot="1">
      <c r="A15" s="1203" t="s">
        <v>1033</v>
      </c>
      <c r="B15" s="346" t="s">
        <v>1416</v>
      </c>
      <c r="C15" s="23" t="e">
        <f ca="1">ROUND(C14*F15,0)</f>
        <v>#N/A</v>
      </c>
      <c r="D15" s="364" t="s">
        <v>1417</v>
      </c>
      <c r="E15" s="364" t="s">
        <v>1418</v>
      </c>
      <c r="F15" s="365">
        <f>'数据-取费表'!B33</f>
        <v>0.03</v>
      </c>
      <c r="G15" s="1856"/>
      <c r="H15" s="1341" t="s">
        <v>1036</v>
      </c>
      <c r="I15" s="1342" t="s">
        <v>1412</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t="e">
        <f ca="1">ROUND(INDIRECT("'数据-取费表'!m"&amp;$G$1)*F16,0)</f>
        <v>#N/A</v>
      </c>
      <c r="D16" s="346" t="s">
        <v>1417</v>
      </c>
      <c r="E16" s="346" t="s">
        <v>1418</v>
      </c>
      <c r="F16" s="366" t="e">
        <f ca="1">IF(INDIRECT("'数据-取费表'!c"&amp;$G$1)="住宅",'数据-取费表'!B34,0)</f>
        <v>#N/A</v>
      </c>
      <c r="G16" s="1853"/>
      <c r="H16" s="1331" t="s">
        <v>1027</v>
      </c>
      <c r="I16" s="1332" t="s">
        <v>1420</v>
      </c>
      <c r="J16" s="354" t="e">
        <f ca="1">ROUND(J17+J22+J23+J24,0)</f>
        <v>#N/A</v>
      </c>
      <c r="K16" s="1339" t="s">
        <v>1421</v>
      </c>
      <c r="L16" s="2953"/>
      <c r="M16" s="1296"/>
    </row>
    <row r="17" spans="1:37" s="1860" customFormat="1" ht="18" customHeight="1">
      <c r="A17" s="1203" t="s">
        <v>1386</v>
      </c>
      <c r="B17" s="346" t="s">
        <v>1422</v>
      </c>
      <c r="C17" s="23" t="e">
        <f ca="1">ROUND(F17*(F43+INDIRECT("'数据-取费表'!S"&amp;$G$1))/10000,0)</f>
        <v>#N/A</v>
      </c>
      <c r="D17" s="346" t="s">
        <v>1423</v>
      </c>
      <c r="E17" s="346" t="s">
        <v>1424</v>
      </c>
      <c r="F17" s="25">
        <f>'数据-取费表'!B35</f>
        <v>200</v>
      </c>
      <c r="G17" s="1856"/>
      <c r="H17" s="1203" t="s">
        <v>1032</v>
      </c>
      <c r="I17" s="346" t="s">
        <v>1425</v>
      </c>
      <c r="J17" s="23" t="e">
        <f ca="1">ROUND(IF(项目基本情况!B11="自然人",J5*M17,J18+J19+J20),1)</f>
        <v>#N/A</v>
      </c>
      <c r="K17" s="2951" t="s">
        <v>1426</v>
      </c>
      <c r="L17" s="2952"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t="e">
        <f ca="1">ROUND(C14*F18,0)</f>
        <v>#N/A</v>
      </c>
      <c r="D18" s="346" t="s">
        <v>1417</v>
      </c>
      <c r="E18" s="346" t="s">
        <v>1418</v>
      </c>
      <c r="F18" s="366">
        <f>'数据-取费表'!B36</f>
        <v>1.4999999999999999E-2</v>
      </c>
      <c r="G18" s="1856"/>
      <c r="H18" s="1203" t="s">
        <v>1031</v>
      </c>
      <c r="I18" s="346" t="s">
        <v>1429</v>
      </c>
      <c r="J18" s="23" t="e">
        <f ca="1">ROUND(J5*M18/(1+'数据-取费表'!C42),2)</f>
        <v>#N/A</v>
      </c>
      <c r="K18" s="2952"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t="e">
        <f ca="1">SUM(C14:C18)</f>
        <v>#N/A</v>
      </c>
      <c r="D19" s="139" t="s">
        <v>1432</v>
      </c>
      <c r="E19" s="2946"/>
      <c r="F19" s="25"/>
      <c r="G19" s="1853"/>
      <c r="H19" s="1203" t="s">
        <v>1033</v>
      </c>
      <c r="I19" s="346" t="s">
        <v>1433</v>
      </c>
      <c r="J19" s="23" t="e">
        <f ca="1">IF(K19="按租金收入计税",ROUND(J5*M19,2),ROUND(C29*M19*0.7,2))</f>
        <v>#N/A</v>
      </c>
      <c r="K19" s="1830" t="s">
        <v>1434</v>
      </c>
      <c r="L19" s="346" t="s">
        <v>1418</v>
      </c>
      <c r="M19" s="366">
        <f>IF(K19="按租金收入计税",'数据-取费表'!B51,'数据-取费表'!B50)</f>
        <v>1.2E-2</v>
      </c>
    </row>
    <row r="20" spans="1:37" s="1860" customFormat="1" ht="18" customHeight="1">
      <c r="A20" s="1203" t="s">
        <v>1036</v>
      </c>
      <c r="B20" s="346" t="s">
        <v>1435</v>
      </c>
      <c r="C20" s="23" t="e">
        <f ca="1">ROUND(C19*F20,0)</f>
        <v>#N/A</v>
      </c>
      <c r="D20" s="368" t="s">
        <v>1436</v>
      </c>
      <c r="E20" s="346" t="s">
        <v>1418</v>
      </c>
      <c r="F20" s="366">
        <f>'数据-取费表'!B37</f>
        <v>0.02</v>
      </c>
      <c r="G20" s="1856"/>
      <c r="H20" s="1203" t="s">
        <v>1385</v>
      </c>
      <c r="I20" s="163" t="s">
        <v>1437</v>
      </c>
      <c r="J20" s="24" t="e">
        <f ca="1">ROUND(M20*M21/10000,2)</f>
        <v>#N/A</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46"/>
      <c r="F22" s="25"/>
      <c r="G22" s="1853"/>
      <c r="H22" s="1203" t="s">
        <v>1036</v>
      </c>
      <c r="I22" s="346" t="s">
        <v>1445</v>
      </c>
      <c r="J22" s="23" t="e">
        <f ca="1">ROUND(J14*M22,1)</f>
        <v>#N/A</v>
      </c>
      <c r="K22" s="2952" t="s">
        <v>1446</v>
      </c>
      <c r="L22" s="346" t="s">
        <v>1418</v>
      </c>
      <c r="M22" s="373" t="e">
        <f ca="1">INDIRECT("'数据-取费表'!Ak"&amp;$G$1)</f>
        <v>#N/A</v>
      </c>
    </row>
    <row r="23" spans="1:37" s="1860" customFormat="1" ht="18" customHeight="1">
      <c r="A23" s="1203"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ROUND(J13*M23,1)</f>
        <v>#N/A</v>
      </c>
      <c r="K23" s="2952" t="s">
        <v>1450</v>
      </c>
      <c r="L23" s="346" t="s">
        <v>1418</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t="e">
        <f ca="1">ROUND(J5*M24,1)</f>
        <v>#N/A</v>
      </c>
      <c r="K24" s="1344" t="s">
        <v>1455</v>
      </c>
      <c r="L24" s="1342" t="s">
        <v>1418</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46"/>
      <c r="F25" s="25"/>
      <c r="G25" s="1853"/>
      <c r="H25" s="1331" t="s">
        <v>1028</v>
      </c>
      <c r="I25" s="1346" t="s">
        <v>1459</v>
      </c>
      <c r="J25" s="354" t="e">
        <f ca="1">J5-J16</f>
        <v>#N/A</v>
      </c>
      <c r="K25" s="1347" t="s">
        <v>1460</v>
      </c>
      <c r="L25" s="1348"/>
      <c r="M25" s="1349"/>
    </row>
    <row r="26" spans="1:37">
      <c r="A26" s="1203" t="s">
        <v>1031</v>
      </c>
      <c r="B26" s="346" t="s">
        <v>1461</v>
      </c>
      <c r="C26" s="23" t="e">
        <f ca="1">ROUND((C19+C20)*F26,0)</f>
        <v>#N/A</v>
      </c>
      <c r="D26" s="368" t="s">
        <v>1462</v>
      </c>
      <c r="E26" s="357" t="s">
        <v>1463</v>
      </c>
      <c r="F26" s="356" t="e">
        <f ca="1">INDIRECT("'数据-取费表'!q"&amp;$G$1)</f>
        <v>#N/A</v>
      </c>
      <c r="G26" s="1853"/>
      <c r="H26" s="343" t="s">
        <v>1029</v>
      </c>
      <c r="I26" s="344" t="s">
        <v>1464</v>
      </c>
      <c r="J26" s="345" t="e">
        <f ca="1">IF(J5&lt;&gt;0,ROUND(J25*(1-((1+M28)/(1+M26))^M27)/(M26-M28),0),0)</f>
        <v>#N/A</v>
      </c>
      <c r="K26" s="369" t="s">
        <v>1465</v>
      </c>
      <c r="L26" s="346" t="s">
        <v>1466</v>
      </c>
      <c r="M26" s="356" t="e">
        <f ca="1">INDIRECT("'数据-取费表'!I"&amp;$G$1)</f>
        <v>#N/A</v>
      </c>
    </row>
    <row r="27" spans="1:37" ht="18" customHeight="1">
      <c r="A27" s="1203" t="s">
        <v>1033</v>
      </c>
      <c r="B27" s="346" t="s">
        <v>1467</v>
      </c>
      <c r="C27" s="23" t="e">
        <f ca="1">ROUND(F21*F26,4)</f>
        <v>#N/A</v>
      </c>
      <c r="D27" s="368" t="s">
        <v>1468</v>
      </c>
      <c r="E27" s="364"/>
      <c r="F27" s="365"/>
      <c r="G27" s="1853"/>
      <c r="H27" s="348"/>
      <c r="I27" s="349"/>
      <c r="J27" s="350"/>
      <c r="K27" s="377" t="s">
        <v>1469</v>
      </c>
      <c r="L27" s="346" t="s">
        <v>1470</v>
      </c>
      <c r="M27" s="378" t="e">
        <f ca="1">INDIRECT("'数据-取费表'!ag"&amp;$G$1)</f>
        <v>#N/A</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t="e">
        <f ca="1">ROUND((C19+C20+C23+C26)/(1-F21-C24-C27-C28),0)</f>
        <v>#N/A</v>
      </c>
      <c r="D29" s="1344"/>
      <c r="E29" s="1342"/>
      <c r="F29" s="1345"/>
      <c r="G29" s="1856"/>
      <c r="H29" s="379" t="s">
        <v>1030</v>
      </c>
      <c r="I29" s="380" t="s">
        <v>1475</v>
      </c>
      <c r="J29" s="381" t="e">
        <f ca="1">ROUND(J26/(1+F40)^F41,0)</f>
        <v>#N/A</v>
      </c>
      <c r="K29" s="382" t="s">
        <v>1476</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#N/A</v>
      </c>
      <c r="D30" s="1339" t="s">
        <v>1421</v>
      </c>
      <c r="E30" s="2953"/>
      <c r="F30" s="1296"/>
      <c r="G30" s="1853"/>
      <c r="H30" s="744"/>
      <c r="I30" s="745"/>
      <c r="J30" s="746"/>
      <c r="K30" s="747"/>
      <c r="L30" s="748"/>
      <c r="M30" s="749"/>
    </row>
    <row r="31" spans="1:37" ht="18" customHeight="1">
      <c r="A31" s="1203" t="s">
        <v>1032</v>
      </c>
      <c r="B31" s="346" t="s">
        <v>1425</v>
      </c>
      <c r="C31" s="23" t="e">
        <f ca="1">ROUND(IF(项目基本情况!B11="自然人",C5*F31,C32+C33+C34),1)</f>
        <v>#N/A</v>
      </c>
      <c r="D31" s="2951" t="s">
        <v>1426</v>
      </c>
      <c r="E31" s="2952"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t="e">
        <f ca="1">IF(项目基本情况!B11="自然人","——",ROUND(C5*F32/(1+'数据-取费表'!C42),2))</f>
        <v>#N/A</v>
      </c>
      <c r="D32" s="2952" t="s">
        <v>1430</v>
      </c>
      <c r="E32" s="346" t="s">
        <v>1418</v>
      </c>
      <c r="F32" s="376">
        <f>'数据-取费表'!B41</f>
        <v>5.5000000000000007E-2</v>
      </c>
      <c r="G32" s="1853"/>
      <c r="H32" s="744"/>
      <c r="I32" s="745"/>
      <c r="J32" s="746"/>
      <c r="K32" s="747"/>
      <c r="L32" s="748"/>
      <c r="M32" s="749"/>
    </row>
    <row r="33" spans="1:18" ht="18" customHeight="1">
      <c r="A33" s="1203" t="s">
        <v>1033</v>
      </c>
      <c r="B33" s="346" t="s">
        <v>1433</v>
      </c>
      <c r="C33" s="23" t="e">
        <f ca="1">IF(项目基本情况!B11="自然人","——",IF(D33="按租金收入计税",ROUND(C5*F33,2),IF(D33="按房产原值计税",ROUND(C29*F33*0.7,2),INDIRECT("'数据-取费表'!Aj"&amp;$G$1))))</f>
        <v>#N/A</v>
      </c>
      <c r="D33" s="1830" t="s">
        <v>3315</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4" t="e">
        <f ca="1">IF(项目基本情况!B11="自然人","——",ROUND(F34*F35/10000,2))</f>
        <v>#N/A</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t="e">
        <f ca="1">INDIRECT("'数据-取费表'!r"&amp;$G$1)</f>
        <v>#N/A</v>
      </c>
      <c r="G35" s="1853"/>
      <c r="H35" s="744"/>
      <c r="I35" s="1862"/>
      <c r="J35" s="1863"/>
      <c r="K35" s="1864"/>
      <c r="L35" s="1861"/>
      <c r="M35" s="1861"/>
    </row>
    <row r="36" spans="1:18" ht="18" customHeight="1">
      <c r="A36" s="1354" t="s">
        <v>1036</v>
      </c>
      <c r="B36" s="346" t="s">
        <v>1445</v>
      </c>
      <c r="C36" s="23" t="e">
        <f ca="1">ROUND(C29*F36,1)</f>
        <v>#N/A</v>
      </c>
      <c r="D36" s="2952" t="s">
        <v>1478</v>
      </c>
      <c r="E36" s="346" t="s">
        <v>1418</v>
      </c>
      <c r="F36" s="373" t="e">
        <f ca="1">INDIRECT("'数据-取费表'!Ak"&amp;$G$1)</f>
        <v>#N/A</v>
      </c>
      <c r="G36" s="1853"/>
      <c r="H36" s="1861"/>
      <c r="I36" s="1862"/>
      <c r="J36" s="1863"/>
      <c r="K36" s="750"/>
      <c r="L36" s="1861"/>
      <c r="M36" s="1861"/>
    </row>
    <row r="37" spans="1:18" ht="18" customHeight="1">
      <c r="A37" s="1203" t="s">
        <v>1072</v>
      </c>
      <c r="B37" s="346" t="s">
        <v>1449</v>
      </c>
      <c r="C37" s="23" t="e">
        <f ca="1">ROUND(C13*F37,1)</f>
        <v>#N/A</v>
      </c>
      <c r="D37" s="2952" t="s">
        <v>1450</v>
      </c>
      <c r="E37" s="346" t="s">
        <v>1418</v>
      </c>
      <c r="F37" s="375" t="e">
        <f ca="1">INDIRECT("'数据-取费表'!Al"&amp;$G$1)</f>
        <v>#N/A</v>
      </c>
      <c r="G37" s="1853"/>
      <c r="H37" s="1861"/>
      <c r="I37" s="1862"/>
      <c r="J37" s="1863"/>
      <c r="K37" s="750"/>
      <c r="L37" s="1861"/>
      <c r="M37" s="1861"/>
    </row>
    <row r="38" spans="1:18" ht="18" customHeight="1" thickBot="1">
      <c r="A38" s="1341" t="s">
        <v>1388</v>
      </c>
      <c r="B38" s="1342" t="s">
        <v>1435</v>
      </c>
      <c r="C38" s="1343" t="e">
        <f ca="1">ROUND(C5*F38,1)</f>
        <v>#N/A</v>
      </c>
      <c r="D38" s="1344" t="s">
        <v>1455</v>
      </c>
      <c r="E38" s="1342" t="s">
        <v>1418</v>
      </c>
      <c r="F38" s="1338" t="e">
        <f ca="1">INDIRECT("'数据-取费表'!Am"&amp;$G$1)</f>
        <v>#N/A</v>
      </c>
      <c r="G38" s="1853"/>
      <c r="H38" s="1861"/>
      <c r="I38" s="1862"/>
      <c r="J38" s="1863"/>
      <c r="K38" s="1867"/>
      <c r="L38" s="1861"/>
      <c r="M38" s="1861"/>
    </row>
    <row r="39" spans="1:18" ht="24.6" customHeight="1" thickTop="1">
      <c r="A39" s="1331" t="s">
        <v>1028</v>
      </c>
      <c r="B39" s="1346" t="s">
        <v>1459</v>
      </c>
      <c r="C39" s="354" t="e">
        <f ca="1">C5-C30</f>
        <v>#N/A</v>
      </c>
      <c r="D39" s="1347" t="s">
        <v>1460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t="e">
        <f ca="1">INDIRECT("'数据-取费表'!I"&amp;$G$1)</f>
        <v>#N/A</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t="e">
        <f ca="1">INDIRECT("'数据-取费表'!v"&amp;$G$1)</f>
        <v>#N/A</v>
      </c>
      <c r="G42" s="1853"/>
      <c r="H42" s="731"/>
      <c r="I42" s="1862"/>
      <c r="J42" s="1863"/>
      <c r="K42" s="750"/>
      <c r="L42" s="731"/>
      <c r="M42" s="731"/>
    </row>
    <row r="43" spans="1:18" ht="18" customHeight="1" thickBot="1">
      <c r="A43" s="379" t="s">
        <v>1030</v>
      </c>
      <c r="B43" s="380" t="s">
        <v>1483</v>
      </c>
      <c r="C43" s="381" t="e">
        <f ca="1">ROUND(C40*10000/F43,0)</f>
        <v>#N/A</v>
      </c>
      <c r="D43" s="382" t="s">
        <v>1484</v>
      </c>
      <c r="E43" s="383" t="s">
        <v>1485</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2945" t="e">
        <f ca="1">C49+C53+C55</f>
        <v>#N/A</v>
      </c>
      <c r="D48" s="1364"/>
      <c r="E48" s="1365"/>
      <c r="F48" s="1183"/>
      <c r="G48" s="791"/>
      <c r="H48" s="792"/>
      <c r="I48" s="1889" t="s">
        <v>1526</v>
      </c>
      <c r="J48" s="1890" t="s">
        <v>3317</v>
      </c>
      <c r="K48" s="1891" t="s">
        <v>1527</v>
      </c>
      <c r="L48" s="1892" t="e">
        <f ca="1">INDIRECT("'数据-取费表'!f"&amp;$G$1)</f>
        <v>#N/A</v>
      </c>
      <c r="O48" s="1886" t="s">
        <v>1038</v>
      </c>
      <c r="P48" s="1887" t="s">
        <v>1528</v>
      </c>
      <c r="Q48" s="1888" t="e">
        <f ca="1">J60</f>
        <v>#N/A</v>
      </c>
      <c r="R48" s="1888" t="s">
        <v>1529</v>
      </c>
    </row>
    <row r="49" spans="1:18" s="1844" customFormat="1" ht="13.5" thickBot="1">
      <c r="A49" s="1196" t="s">
        <v>1133</v>
      </c>
      <c r="B49" s="1831" t="s">
        <v>1486</v>
      </c>
      <c r="C49" s="1366" t="e">
        <f ca="1">ROUND(F49*F51*F50*(1-F52)/10000,0)</f>
        <v>#N/A</v>
      </c>
      <c r="D49" s="1278" t="s">
        <v>3032</v>
      </c>
      <c r="E49" s="1832" t="s">
        <v>1487</v>
      </c>
      <c r="F49" s="1283"/>
      <c r="G49" s="1893"/>
      <c r="H49" s="792"/>
      <c r="I49" s="1889" t="s">
        <v>1530</v>
      </c>
      <c r="J49" s="1894">
        <v>2015</v>
      </c>
      <c r="K49" s="1891" t="s">
        <v>1531</v>
      </c>
      <c r="L49" s="1895"/>
      <c r="O49" s="1896" t="s">
        <v>1039</v>
      </c>
      <c r="P49" s="1887" t="s">
        <v>1532</v>
      </c>
      <c r="Q49" s="1888" t="e">
        <f ca="1">C29</f>
        <v>#N/A</v>
      </c>
      <c r="R49" s="1888" t="s">
        <v>1525</v>
      </c>
    </row>
    <row r="50" spans="1:18" s="1844" customFormat="1" ht="13.5" thickBot="1">
      <c r="A50" s="1197"/>
      <c r="B50" s="1200"/>
      <c r="C50" s="1370"/>
      <c r="D50" s="1174"/>
      <c r="E50" s="1279" t="s">
        <v>1402</v>
      </c>
      <c r="F50" s="1280" t="e">
        <f ca="1">F7</f>
        <v>#N/A</v>
      </c>
      <c r="H50" s="792"/>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8"/>
      <c r="B51" s="1200"/>
      <c r="C51" s="1201"/>
      <c r="D51" s="1174"/>
      <c r="E51" s="1202" t="s">
        <v>1403</v>
      </c>
      <c r="F51" s="347" t="e">
        <f ca="1">F8</f>
        <v>#N/A</v>
      </c>
      <c r="I51" s="1900" t="s">
        <v>1536</v>
      </c>
      <c r="J51" s="1901">
        <f>IF(J49="",J50,J49+J50-YEAR('数据-取费表'!B2))</f>
        <v>56</v>
      </c>
      <c r="K51" s="1902" t="s">
        <v>1537</v>
      </c>
      <c r="L51" s="1903" t="e">
        <f ca="1">ROUND(-PV(INDIRECT("'数据-取费表'!h"&amp;$G$1),L48,(C39-C13*C76),0),0)</f>
        <v>#N/A</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t="e">
        <f ca="1">J53</f>
        <v>#N/A</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t="e">
        <f ca="1">IF(M47="住宅",IF(D1="——",MAX(J51,L48),IF(D1="在建（套用方法）",MAX(J51,L48-'数据-取费表'!B24),MAX(J51,L48-'数据-取费表'!B20))),IF(D1="——",MIN(J51,L48),IF(D1="在建（套用方法）",MIN(J51,L48-'数据-取费表'!B24),IF(D1="土地（套用方法）",MIN(J51,L48-'数据-取费表'!B20)))))</f>
        <v>#N/A</v>
      </c>
      <c r="K53" s="3321" t="s">
        <v>1544</v>
      </c>
      <c r="L53" s="3322"/>
      <c r="O53" s="1886" t="s">
        <v>1043</v>
      </c>
      <c r="P53" s="1887" t="s">
        <v>1545</v>
      </c>
      <c r="Q53" s="1888" t="e">
        <f ca="1">Q47+Q48</f>
        <v>#N/A</v>
      </c>
      <c r="R53" s="1888" t="s">
        <v>1044</v>
      </c>
    </row>
    <row r="54" spans="1:18" s="1844" customFormat="1" ht="13.5" thickBot="1">
      <c r="A54" s="1408"/>
      <c r="B54" s="1827" t="s">
        <v>1384</v>
      </c>
      <c r="C54" s="1180"/>
      <c r="D54" s="1826"/>
      <c r="E54" s="2949"/>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5" t="s">
        <v>1072</v>
      </c>
      <c r="B55" s="1829" t="s">
        <v>1409</v>
      </c>
      <c r="C55" s="1336"/>
      <c r="D55" s="1826"/>
      <c r="E55" s="2949"/>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8">
        <v>2</v>
      </c>
      <c r="B56" s="1179" t="s">
        <v>1410</v>
      </c>
      <c r="C56" s="275" t="e">
        <f ca="1">C13</f>
        <v>#N/A</v>
      </c>
      <c r="D56" s="1916"/>
      <c r="E56" s="1917"/>
      <c r="F56" s="1909"/>
      <c r="I56" s="1918" t="s">
        <v>1550</v>
      </c>
      <c r="J56" s="1919" t="s">
        <v>3318</v>
      </c>
      <c r="K56" s="1889" t="s">
        <v>1551</v>
      </c>
      <c r="L56" s="1892" t="e">
        <f ca="1">IF(L48&lt;J51,"——",L48-J53)</f>
        <v>#N/A</v>
      </c>
      <c r="O56" s="1886" t="s">
        <v>1037</v>
      </c>
      <c r="P56" s="1887" t="s">
        <v>1524</v>
      </c>
      <c r="Q56" s="1888" t="e">
        <f ca="1">C40+J29</f>
        <v>#N/A</v>
      </c>
      <c r="R56" s="1888" t="s">
        <v>1525</v>
      </c>
    </row>
    <row r="57" spans="1:18" s="1844" customFormat="1" ht="24.75" thickBot="1">
      <c r="A57" s="1920"/>
      <c r="B57" s="1171" t="s">
        <v>1474</v>
      </c>
      <c r="C57" s="281"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59" t="s">
        <v>1027</v>
      </c>
      <c r="B58" s="1179" t="s">
        <v>1420</v>
      </c>
      <c r="C58" s="360" t="e">
        <f ca="1">ROUND(C59+C64+C65+C66,0)</f>
        <v>#N/A</v>
      </c>
      <c r="D58" s="1181" t="s">
        <v>1421</v>
      </c>
      <c r="E58" s="1182"/>
      <c r="F58" s="1183"/>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3" t="s">
        <v>1032</v>
      </c>
      <c r="B59" s="1171" t="s">
        <v>1425</v>
      </c>
      <c r="C59" s="23" t="e">
        <f ca="1">ROUND(IF(项目基本情况!B11="自然人",C48*F59,C60+C61+C62),1)</f>
        <v>#N/A</v>
      </c>
      <c r="D59" s="1184" t="s">
        <v>1426</v>
      </c>
      <c r="E59" s="1185" t="s">
        <v>1427</v>
      </c>
      <c r="F59" s="367"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3" t="s">
        <v>1031</v>
      </c>
      <c r="B60" s="1171" t="s">
        <v>1429</v>
      </c>
      <c r="C60" s="23" t="e">
        <f ca="1">IF(项目基本情况!B11="自然人","——",ROUND(C48*F60/(1+'数据-取费表'!C42),2))</f>
        <v>#N/A</v>
      </c>
      <c r="D60" s="1185" t="s">
        <v>1430</v>
      </c>
      <c r="E60" s="1171" t="s">
        <v>1418</v>
      </c>
      <c r="F60" s="376">
        <f t="shared" ref="F60:F66" si="0">F32</f>
        <v>5.5000000000000007E-2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3" t="s">
        <v>1488</v>
      </c>
      <c r="B61" s="1171" t="s">
        <v>1433</v>
      </c>
      <c r="C61" s="23" t="e">
        <f ca="1">IF(项目基本情况!B11="自然人","——",IF(D61="按租金收入计税",ROUND(C48*F61,2),IF(D61="按房产原值计税",ROUND(C57*F61*0.7,2),INDIRECT("'数据-取费表'!Aj"&amp;$G$1))))</f>
        <v>#N/A</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3" t="s">
        <v>1491</v>
      </c>
      <c r="B62" s="1170" t="s">
        <v>1437</v>
      </c>
      <c r="C62" s="24" t="e">
        <f ca="1">IF(项目基本情况!B11="自然人","——",ROUND(F62*F63/10000,2))</f>
        <v>#N/A</v>
      </c>
      <c r="D62" s="1186" t="s">
        <v>1438</v>
      </c>
      <c r="E62" s="1171" t="s">
        <v>1439</v>
      </c>
      <c r="F62" s="370">
        <f t="shared" si="0"/>
        <v>1.5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1"/>
      <c r="B63" s="1177"/>
      <c r="C63" s="28"/>
      <c r="D63" s="1187"/>
      <c r="E63" s="1171" t="s">
        <v>1443</v>
      </c>
      <c r="F63" s="347" t="e">
        <f t="shared" ca="1" si="0"/>
        <v>#N/A</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t="e">
        <f ca="1">ROUND(C57*F64,1)</f>
        <v>#N/A</v>
      </c>
      <c r="D64" s="1185" t="s">
        <v>1478</v>
      </c>
      <c r="E64" s="1171" t="s">
        <v>1418</v>
      </c>
      <c r="F64" s="373"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ROUND(C56*F65,1)</f>
        <v>#N/A</v>
      </c>
      <c r="D65" s="1185" t="s">
        <v>1450</v>
      </c>
      <c r="E65" s="1171" t="s">
        <v>1418</v>
      </c>
      <c r="F65" s="375"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3" t="s">
        <v>1500</v>
      </c>
      <c r="B66" s="1171" t="s">
        <v>1435</v>
      </c>
      <c r="C66" s="23" t="e">
        <f ca="1">ROUND(C48*F66,1)</f>
        <v>#N/A</v>
      </c>
      <c r="D66" s="1185" t="s">
        <v>1455</v>
      </c>
      <c r="E66" s="1171" t="s">
        <v>1418</v>
      </c>
      <c r="F66" s="356" t="e">
        <f t="shared" ca="1" si="0"/>
        <v>#N/A</v>
      </c>
      <c r="O66" s="1886" t="s">
        <v>1038</v>
      </c>
      <c r="P66" s="1887" t="s">
        <v>1554</v>
      </c>
      <c r="Q66" s="1888" t="e">
        <f ca="1">L60</f>
        <v>#N/A</v>
      </c>
      <c r="R66" s="1888" t="s">
        <v>1577</v>
      </c>
    </row>
    <row r="67" spans="1:18" s="1844" customFormat="1" ht="16.5" thickBot="1">
      <c r="A67" s="1178" t="s">
        <v>1028</v>
      </c>
      <c r="B67" s="1188" t="s">
        <v>1459</v>
      </c>
      <c r="C67" s="360" t="e">
        <f ca="1">C48-C58</f>
        <v>#N/A</v>
      </c>
      <c r="D67" s="1184" t="s">
        <v>1460</v>
      </c>
      <c r="E67" s="1189"/>
      <c r="F67" s="1190"/>
      <c r="O67" s="1896" t="s">
        <v>1039</v>
      </c>
      <c r="P67" s="1887" t="s">
        <v>1558</v>
      </c>
      <c r="Q67" s="1935" t="e">
        <f ca="1">L51</f>
        <v>#N/A</v>
      </c>
      <c r="R67" s="1888" t="s">
        <v>1578</v>
      </c>
    </row>
    <row r="68" spans="1:18" s="1844" customFormat="1" ht="16.5" thickBot="1">
      <c r="A68" s="1168" t="s">
        <v>1029</v>
      </c>
      <c r="B68" s="1169" t="s">
        <v>1481</v>
      </c>
      <c r="C68" s="345" t="e">
        <f ca="1">ROUND(C67*(1-((1+F70)/(1+F68))^F69)/(F68-F70),0)</f>
        <v>#N/A</v>
      </c>
      <c r="D68" s="1186" t="s">
        <v>1465</v>
      </c>
      <c r="E68" s="1171" t="s">
        <v>1466</v>
      </c>
      <c r="F68" s="356" t="e">
        <f ca="1">F40</f>
        <v>#N/A</v>
      </c>
      <c r="O68" s="1896" t="s">
        <v>1040</v>
      </c>
      <c r="P68" s="1936" t="s">
        <v>1579</v>
      </c>
      <c r="Q68" s="1888" t="e">
        <f ca="1">ROUND(Q69-Q70*Q71,0)</f>
        <v>#N/A</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#N/A</v>
      </c>
      <c r="R69" s="1888" t="s">
        <v>1525</v>
      </c>
    </row>
    <row r="70" spans="1:18" s="1844" customFormat="1" ht="13.5" thickBot="1">
      <c r="A70" s="1175"/>
      <c r="B70" s="1176"/>
      <c r="C70" s="354"/>
      <c r="D70" s="1187"/>
      <c r="E70" s="1171" t="s">
        <v>1473</v>
      </c>
      <c r="F70" s="1277"/>
      <c r="O70" s="1896" t="s">
        <v>1046</v>
      </c>
      <c r="P70" s="1936" t="s">
        <v>1581</v>
      </c>
      <c r="Q70" s="1888" t="e">
        <f ca="1">C13</f>
        <v>#N/A</v>
      </c>
      <c r="R70" s="1888" t="s">
        <v>1525</v>
      </c>
    </row>
    <row r="71" spans="1:18" s="1844" customFormat="1" ht="13.5" thickBot="1">
      <c r="A71" s="1192" t="s">
        <v>1030</v>
      </c>
      <c r="B71" s="1193" t="s">
        <v>1483</v>
      </c>
      <c r="C71" s="381" t="e">
        <f ca="1">ROUND(C68*10000/F71,0)</f>
        <v>#N/A</v>
      </c>
      <c r="D71" s="1194" t="s">
        <v>1484</v>
      </c>
      <c r="E71" s="1195" t="s">
        <v>1485</v>
      </c>
      <c r="F71" s="384" t="e">
        <f ca="1">F43</f>
        <v>#N/A</v>
      </c>
      <c r="O71" s="1896" t="s">
        <v>1047</v>
      </c>
      <c r="P71" s="1936" t="s">
        <v>1582</v>
      </c>
      <c r="Q71" s="1899" t="e">
        <f ca="1">C76</f>
        <v>#N/A</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#N/A</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5" t="s">
        <v>1502</v>
      </c>
      <c r="C75" s="386" t="e">
        <f ca="1">ROUND(C13*C76,0)</f>
        <v>#N/A</v>
      </c>
      <c r="D75" s="1844"/>
      <c r="E75" s="1844"/>
      <c r="F75" s="1844"/>
      <c r="K75" s="1870"/>
      <c r="L75" s="1844"/>
      <c r="O75" s="1886" t="s">
        <v>1043</v>
      </c>
      <c r="P75" s="1887" t="s">
        <v>1545</v>
      </c>
      <c r="Q75" s="1888" t="e">
        <f ca="1">Q65+Q66</f>
        <v>#N/A</v>
      </c>
      <c r="R75" s="1888" t="s">
        <v>1044</v>
      </c>
    </row>
    <row r="76" spans="1:18">
      <c r="B76" s="387" t="s">
        <v>1503</v>
      </c>
      <c r="C76" s="388" t="e">
        <f ca="1">INDIRECT("'数据-取费表'!j"&amp;$G$1)</f>
        <v>#N/A</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 sqref="H2"/>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2527</v>
      </c>
      <c r="B1" s="2567"/>
      <c r="C1" s="2567"/>
      <c r="D1" s="2567"/>
      <c r="E1" s="2568"/>
    </row>
    <row r="2" spans="1:6" ht="15.75">
      <c r="A2" s="2569" t="s">
        <v>2328</v>
      </c>
      <c r="B2" s="2570">
        <f ca="1">SUMIF(B6:B13,"&lt;&gt;#ref!",B6:B13)</f>
        <v>209086</v>
      </c>
      <c r="C2" s="2571" t="s">
        <v>2520</v>
      </c>
      <c r="D2" s="2572" t="s">
        <v>2521</v>
      </c>
      <c r="E2" s="2573">
        <f>SUM(E6:E13)</f>
        <v>154126.91999999998</v>
      </c>
    </row>
    <row r="3" spans="1:6" ht="15.75">
      <c r="A3" s="2569" t="s">
        <v>1391</v>
      </c>
      <c r="B3" s="2570">
        <f ca="1">ROUND(B2*10000/E2,0)</f>
        <v>13566</v>
      </c>
      <c r="C3" s="2571" t="s">
        <v>2528</v>
      </c>
      <c r="D3" s="2574"/>
      <c r="E3" s="2575"/>
    </row>
    <row r="4" spans="1:6" ht="15.75">
      <c r="A4" s="2576"/>
      <c r="B4" s="2574"/>
      <c r="C4" s="2574"/>
      <c r="D4" s="2574"/>
      <c r="E4" s="2575"/>
    </row>
    <row r="5" spans="1:6" ht="15">
      <c r="A5" s="2577" t="s">
        <v>2522</v>
      </c>
      <c r="B5" s="3326" t="s">
        <v>2523</v>
      </c>
      <c r="C5" s="3326"/>
      <c r="D5" s="2578"/>
      <c r="E5" s="2579" t="s">
        <v>2524</v>
      </c>
      <c r="F5" s="2580" t="s">
        <v>2525</v>
      </c>
    </row>
    <row r="6" spans="1:6">
      <c r="A6" s="2581" t="str">
        <f>'数据-取费表'!AN6</f>
        <v>收益法</v>
      </c>
      <c r="B6" s="2580">
        <f ca="1">IF(F6="是",'数据-取费表'!AO6,0)</f>
        <v>62633</v>
      </c>
      <c r="C6" s="2571" t="s">
        <v>2520</v>
      </c>
      <c r="D6" s="2574"/>
      <c r="E6" s="2582">
        <f>IF(OR(A6=0,F6="否"),0,'数据-取费表'!K6+'数据-取费表'!S6)</f>
        <v>55332.869999999995</v>
      </c>
      <c r="F6" s="2583" t="s">
        <v>2526</v>
      </c>
    </row>
    <row r="7" spans="1:6">
      <c r="A7" s="2581" t="str">
        <f>'数据-取费表'!AN7</f>
        <v>收益法-车库</v>
      </c>
      <c r="B7" s="2580">
        <f>IF(F7="是",'数据-取费表'!AO7,0)</f>
        <v>0</v>
      </c>
      <c r="C7" s="2571" t="s">
        <v>2520</v>
      </c>
      <c r="D7" s="2574"/>
      <c r="E7" s="2582">
        <f>IF(OR(A7=0,F7="否"),0,'数据-取费表'!K7+'数据-取费表'!S7)</f>
        <v>0</v>
      </c>
      <c r="F7" s="2583" t="s">
        <v>3318</v>
      </c>
    </row>
    <row r="8" spans="1:6">
      <c r="A8" s="2581" t="str">
        <f>'数据-取费表'!AN8</f>
        <v>收益法-住宅</v>
      </c>
      <c r="B8" s="2580">
        <f ca="1">IF(F8="是",'数据-取费表'!AO8,0)</f>
        <v>146453</v>
      </c>
      <c r="C8" s="2571" t="s">
        <v>2520</v>
      </c>
      <c r="D8" s="2574"/>
      <c r="E8" s="2582">
        <f>IF(OR(A8=0,F8="否"),0,'数据-取费表'!K8+'数据-取费表'!S8)</f>
        <v>98794.05</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K41" sqref="K41"/>
    </sheetView>
  </sheetViews>
  <sheetFormatPr defaultRowHeight="13.5"/>
  <cols>
    <col min="1" max="1" width="10.5" customWidth="1"/>
    <col min="2" max="2" width="12.875" customWidth="1"/>
    <col min="3" max="3" width="8.75" customWidth="1"/>
    <col min="12" max="12" width="9.5" bestFit="1" customWidth="1"/>
  </cols>
  <sheetData>
    <row r="1" spans="1:9" ht="14.25">
      <c r="A1" s="3327" t="s">
        <v>1073</v>
      </c>
      <c r="B1" s="3328"/>
      <c r="C1" s="3329"/>
      <c r="D1" s="3330">
        <f>SUM(I10,I15,I20,I21,I23)</f>
        <v>0</v>
      </c>
      <c r="E1" s="3330"/>
      <c r="F1" s="3330"/>
      <c r="G1" s="3330"/>
      <c r="H1" s="3330"/>
      <c r="I1" s="3331"/>
    </row>
    <row r="2" spans="1:9">
      <c r="A2" s="3332" t="s">
        <v>1074</v>
      </c>
      <c r="B2" s="3333" t="s">
        <v>1075</v>
      </c>
      <c r="C2" s="3333"/>
      <c r="D2" s="1303" t="s">
        <v>1076</v>
      </c>
      <c r="E2" s="1303" t="s">
        <v>1077</v>
      </c>
      <c r="F2" s="1303" t="s">
        <v>1078</v>
      </c>
      <c r="G2" s="1303" t="s">
        <v>1079</v>
      </c>
      <c r="H2" s="1303" t="s">
        <v>1080</v>
      </c>
      <c r="I2" s="1304" t="s">
        <v>1081</v>
      </c>
    </row>
    <row r="3" spans="1:9">
      <c r="A3" s="3332"/>
      <c r="B3" s="3333" t="s">
        <v>1082</v>
      </c>
      <c r="C3" s="3333"/>
      <c r="D3" s="1305"/>
      <c r="E3" s="1303"/>
      <c r="F3" s="1306"/>
      <c r="G3" s="1306"/>
      <c r="H3" s="1307"/>
      <c r="I3" s="1308">
        <f>ROUND(D3*E3*F3*G3*H3/10000,0)</f>
        <v>0</v>
      </c>
    </row>
    <row r="4" spans="1:9">
      <c r="A4" s="3332"/>
      <c r="B4" s="3333" t="s">
        <v>1083</v>
      </c>
      <c r="C4" s="3333"/>
      <c r="D4" s="1305"/>
      <c r="E4" s="1303"/>
      <c r="F4" s="1306"/>
      <c r="G4" s="1306"/>
      <c r="H4" s="1307"/>
      <c r="I4" s="1308">
        <f t="shared" ref="I4:I9" si="0">ROUND(D4*E4*F4*G4*H4/10000,0)</f>
        <v>0</v>
      </c>
    </row>
    <row r="5" spans="1:9">
      <c r="A5" s="3332"/>
      <c r="B5" s="3333" t="s">
        <v>1084</v>
      </c>
      <c r="C5" s="3333"/>
      <c r="D5" s="1305"/>
      <c r="E5" s="1303"/>
      <c r="F5" s="1306"/>
      <c r="G5" s="1306"/>
      <c r="H5" s="1307"/>
      <c r="I5" s="1308">
        <f t="shared" si="0"/>
        <v>0</v>
      </c>
    </row>
    <row r="6" spans="1:9">
      <c r="A6" s="3332"/>
      <c r="B6" s="3333" t="s">
        <v>1085</v>
      </c>
      <c r="C6" s="3333"/>
      <c r="D6" s="1305"/>
      <c r="E6" s="1303"/>
      <c r="F6" s="1306"/>
      <c r="G6" s="1306"/>
      <c r="H6" s="1307"/>
      <c r="I6" s="1308">
        <f t="shared" si="0"/>
        <v>0</v>
      </c>
    </row>
    <row r="7" spans="1:9">
      <c r="A7" s="3332"/>
      <c r="B7" s="3333" t="s">
        <v>1086</v>
      </c>
      <c r="C7" s="3333"/>
      <c r="D7" s="1305"/>
      <c r="E7" s="1303"/>
      <c r="F7" s="1306"/>
      <c r="G7" s="1306"/>
      <c r="H7" s="1307"/>
      <c r="I7" s="1308">
        <f t="shared" si="0"/>
        <v>0</v>
      </c>
    </row>
    <row r="8" spans="1:9">
      <c r="A8" s="3332"/>
      <c r="B8" s="3333" t="s">
        <v>1087</v>
      </c>
      <c r="C8" s="3333"/>
      <c r="D8" s="1305"/>
      <c r="E8" s="1303"/>
      <c r="F8" s="1306"/>
      <c r="G8" s="1306"/>
      <c r="H8" s="1307"/>
      <c r="I8" s="1308">
        <f t="shared" si="0"/>
        <v>0</v>
      </c>
    </row>
    <row r="9" spans="1:9">
      <c r="A9" s="3332"/>
      <c r="B9" s="3333" t="s">
        <v>1088</v>
      </c>
      <c r="C9" s="3333"/>
      <c r="D9" s="1305"/>
      <c r="E9" s="1303"/>
      <c r="F9" s="1306"/>
      <c r="G9" s="1306"/>
      <c r="H9" s="1307"/>
      <c r="I9" s="1308">
        <f t="shared" si="0"/>
        <v>0</v>
      </c>
    </row>
    <row r="10" spans="1:9">
      <c r="A10" s="3332"/>
      <c r="B10" s="3334" t="s">
        <v>1089</v>
      </c>
      <c r="C10" s="3334"/>
      <c r="D10" s="1309"/>
      <c r="E10" s="1309" t="e">
        <f>ROUND(D1*10000/D10/H9,0)</f>
        <v>#DIV/0!</v>
      </c>
      <c r="F10" s="1310"/>
      <c r="G10" s="1310"/>
      <c r="H10" s="1311"/>
      <c r="I10" s="1312">
        <f>SUM(I3:I9)</f>
        <v>0</v>
      </c>
    </row>
    <row r="11" spans="1:9" ht="14.25">
      <c r="A11" s="3332" t="s">
        <v>1090</v>
      </c>
      <c r="B11" s="3333" t="s">
        <v>1091</v>
      </c>
      <c r="C11" s="3333"/>
      <c r="D11" s="1305" t="s">
        <v>1092</v>
      </c>
      <c r="E11" s="1305" t="s">
        <v>1093</v>
      </c>
      <c r="F11" s="1306" t="s">
        <v>1094</v>
      </c>
      <c r="G11" s="1306" t="s">
        <v>1080</v>
      </c>
      <c r="H11" s="1313" t="s">
        <v>1095</v>
      </c>
      <c r="I11" s="1304" t="s">
        <v>1081</v>
      </c>
    </row>
    <row r="12" spans="1:9">
      <c r="A12" s="3332"/>
      <c r="B12" s="3333" t="s">
        <v>1096</v>
      </c>
      <c r="C12" s="3333"/>
      <c r="D12" s="1305"/>
      <c r="E12" s="1305"/>
      <c r="F12" s="1306"/>
      <c r="G12" s="1307"/>
      <c r="H12" s="1314"/>
      <c r="I12" s="1304">
        <f>ROUND(D12*E12*F12*G12/10000,0)</f>
        <v>0</v>
      </c>
    </row>
    <row r="13" spans="1:9">
      <c r="A13" s="3332"/>
      <c r="B13" s="3333" t="s">
        <v>1097</v>
      </c>
      <c r="C13" s="3333"/>
      <c r="D13" s="1305"/>
      <c r="E13" s="1305"/>
      <c r="F13" s="1306"/>
      <c r="G13" s="1307"/>
      <c r="H13" s="1314"/>
      <c r="I13" s="1304">
        <f>ROUND(D13*E13*F13*G13/10000,0)</f>
        <v>0</v>
      </c>
    </row>
    <row r="14" spans="1:9">
      <c r="A14" s="3332"/>
      <c r="B14" s="3333" t="s">
        <v>1098</v>
      </c>
      <c r="C14" s="3333"/>
      <c r="D14" s="1305"/>
      <c r="E14" s="1305"/>
      <c r="F14" s="1306"/>
      <c r="G14" s="1307"/>
      <c r="H14" s="1314"/>
      <c r="I14" s="1304">
        <f>ROUND(D14*E14*F14*G14/10000,0)</f>
        <v>0</v>
      </c>
    </row>
    <row r="15" spans="1:9">
      <c r="A15" s="3332"/>
      <c r="B15" s="3334" t="s">
        <v>1089</v>
      </c>
      <c r="C15" s="3334"/>
      <c r="D15" s="1309"/>
      <c r="E15" s="1309">
        <f>SUM(E12:E14)</f>
        <v>0</v>
      </c>
      <c r="F15" s="1310"/>
      <c r="G15" s="1307"/>
      <c r="H15" s="1314"/>
      <c r="I15" s="1315">
        <f>SUM(I12:I14)</f>
        <v>0</v>
      </c>
    </row>
    <row r="16" spans="1:9" ht="24">
      <c r="A16" s="3332" t="s">
        <v>1099</v>
      </c>
      <c r="B16" s="3333" t="s">
        <v>1100</v>
      </c>
      <c r="C16" s="3333"/>
      <c r="D16" s="1305" t="s">
        <v>1076</v>
      </c>
      <c r="E16" s="1316" t="s">
        <v>1101</v>
      </c>
      <c r="F16" s="1306" t="s">
        <v>1102</v>
      </c>
      <c r="G16" s="1307" t="s">
        <v>1080</v>
      </c>
      <c r="H16" s="1313" t="s">
        <v>1095</v>
      </c>
      <c r="I16" s="1304" t="s">
        <v>1081</v>
      </c>
    </row>
    <row r="17" spans="1:9" ht="14.25">
      <c r="A17" s="3332"/>
      <c r="B17" s="3333" t="s">
        <v>1103</v>
      </c>
      <c r="C17" s="3333"/>
      <c r="D17" s="1305"/>
      <c r="E17" s="1305"/>
      <c r="F17" s="1306"/>
      <c r="G17" s="1307"/>
      <c r="H17" s="1317"/>
      <c r="I17" s="1318">
        <f>ROUND(D17*E17*F17*G17/10000,0)</f>
        <v>0</v>
      </c>
    </row>
    <row r="18" spans="1:9" ht="14.25">
      <c r="A18" s="3332"/>
      <c r="B18" s="3333" t="s">
        <v>1104</v>
      </c>
      <c r="C18" s="3333"/>
      <c r="D18" s="1305"/>
      <c r="E18" s="1305"/>
      <c r="F18" s="1306"/>
      <c r="G18" s="1307"/>
      <c r="H18" s="1317"/>
      <c r="I18" s="1318">
        <f>ROUND(D18*E18*F18*G18/10000,0)</f>
        <v>0</v>
      </c>
    </row>
    <row r="19" spans="1:9" ht="14.25">
      <c r="A19" s="3332"/>
      <c r="B19" s="3333" t="s">
        <v>1105</v>
      </c>
      <c r="C19" s="3333"/>
      <c r="D19" s="1305"/>
      <c r="E19" s="1305"/>
      <c r="F19" s="1306"/>
      <c r="G19" s="1307"/>
      <c r="H19" s="1317"/>
      <c r="I19" s="1318">
        <f>ROUND(D19*E19*F19*G19/10000,0)</f>
        <v>0</v>
      </c>
    </row>
    <row r="20" spans="1:9">
      <c r="A20" s="3332"/>
      <c r="B20" s="3334" t="s">
        <v>1089</v>
      </c>
      <c r="C20" s="3334"/>
      <c r="D20" s="1309">
        <f>SUM(D17:D19)</f>
        <v>0</v>
      </c>
      <c r="E20" s="1309"/>
      <c r="F20" s="1310"/>
      <c r="G20" s="1307"/>
      <c r="H20" s="1314"/>
      <c r="I20" s="1315">
        <f>SUM(I17:I19)</f>
        <v>0</v>
      </c>
    </row>
    <row r="21" spans="1:9">
      <c r="A21" s="3332" t="s">
        <v>1106</v>
      </c>
      <c r="B21" s="3336"/>
      <c r="C21" s="3336"/>
      <c r="D21" s="3336"/>
      <c r="E21" s="3336"/>
      <c r="F21" s="3336"/>
      <c r="G21" s="3336"/>
      <c r="H21" s="1767">
        <v>0.1</v>
      </c>
      <c r="I21" s="1312">
        <f>ROUND(I10*H21,0)</f>
        <v>0</v>
      </c>
    </row>
    <row r="22" spans="1:9" ht="14.25">
      <c r="A22" s="3337" t="s">
        <v>1107</v>
      </c>
      <c r="B22" s="3338"/>
      <c r="C22" s="3339"/>
      <c r="D22" s="1319" t="s">
        <v>1108</v>
      </c>
      <c r="E22" s="1319" t="s">
        <v>1109</v>
      </c>
      <c r="F22" s="1320" t="s">
        <v>1110</v>
      </c>
      <c r="G22" s="1320" t="s">
        <v>1111</v>
      </c>
      <c r="H22" s="1313" t="s">
        <v>1112</v>
      </c>
      <c r="I22" s="1304" t="s">
        <v>1113</v>
      </c>
    </row>
    <row r="23" spans="1:9" ht="14.25" thickBot="1">
      <c r="A23" s="3340"/>
      <c r="B23" s="3341"/>
      <c r="C23" s="3342"/>
      <c r="D23" s="1321"/>
      <c r="E23" s="1321"/>
      <c r="F23" s="1321"/>
      <c r="G23" s="1322"/>
      <c r="H23" s="1323"/>
      <c r="I23" s="1324">
        <f>ROUND(E23*D23*F23*(1-G23)/10000,0)</f>
        <v>0</v>
      </c>
    </row>
    <row r="26" spans="1:9">
      <c r="A26" s="1325" t="s">
        <v>1114</v>
      </c>
      <c r="B26" s="1325"/>
      <c r="C26" s="1325"/>
      <c r="D26" s="1325"/>
      <c r="E26" s="3343">
        <f>C27-C30-C31-C32</f>
        <v>11143.800000000001</v>
      </c>
      <c r="F26" s="3343"/>
      <c r="G26" s="3343"/>
      <c r="H26" s="1739" t="s">
        <v>1336</v>
      </c>
    </row>
    <row r="27" spans="1:9">
      <c r="A27" s="1326">
        <v>1</v>
      </c>
      <c r="B27" s="1327" t="s">
        <v>1115</v>
      </c>
      <c r="C27" s="1327">
        <v>18573</v>
      </c>
      <c r="D27" s="1327"/>
      <c r="E27" s="3344"/>
      <c r="F27" s="3344"/>
      <c r="G27" s="3344"/>
    </row>
    <row r="28" spans="1:9">
      <c r="A28" s="1328" t="s">
        <v>1116</v>
      </c>
      <c r="B28" s="1327" t="s">
        <v>1117</v>
      </c>
      <c r="C28" s="1327"/>
      <c r="D28" s="1327"/>
      <c r="E28" s="3344"/>
      <c r="F28" s="3344"/>
      <c r="G28" s="3344"/>
    </row>
    <row r="29" spans="1:9">
      <c r="A29" s="1328" t="s">
        <v>1118</v>
      </c>
      <c r="B29" s="1327" t="s">
        <v>1119</v>
      </c>
      <c r="C29" s="1327"/>
      <c r="D29" s="1327"/>
      <c r="E29" s="1327" t="s">
        <v>1120</v>
      </c>
      <c r="F29" s="1327"/>
      <c r="G29" s="1327"/>
    </row>
    <row r="30" spans="1:9">
      <c r="A30" s="1326">
        <v>2</v>
      </c>
      <c r="B30" s="1327" t="s">
        <v>1121</v>
      </c>
      <c r="C30" s="1327">
        <f>C27*D30</f>
        <v>3714.6000000000004</v>
      </c>
      <c r="D30" s="1329">
        <v>0.2</v>
      </c>
      <c r="E30" s="1327" t="s">
        <v>1122</v>
      </c>
      <c r="F30" s="1327"/>
      <c r="G30" s="1327"/>
    </row>
    <row r="31" spans="1:9">
      <c r="A31" s="1326">
        <v>3</v>
      </c>
      <c r="B31" s="1327" t="s">
        <v>1123</v>
      </c>
      <c r="C31" s="1327">
        <f>C27*D31</f>
        <v>2785.95</v>
      </c>
      <c r="D31" s="1329">
        <v>0.15</v>
      </c>
      <c r="E31" s="1327" t="s">
        <v>1124</v>
      </c>
      <c r="F31" s="1327"/>
      <c r="G31" s="1327"/>
    </row>
    <row r="32" spans="1:9">
      <c r="A32" s="1326">
        <v>4</v>
      </c>
      <c r="B32" s="1327" t="s">
        <v>1125</v>
      </c>
      <c r="C32" s="1327">
        <f>C27*D32</f>
        <v>928.65000000000009</v>
      </c>
      <c r="D32" s="1329">
        <v>0.05</v>
      </c>
      <c r="E32" s="3335"/>
      <c r="F32" s="3335"/>
      <c r="G32" s="3335"/>
    </row>
    <row r="33" spans="1:7" hidden="1">
      <c r="A33" s="3345" t="s">
        <v>1126</v>
      </c>
      <c r="B33" s="3346"/>
      <c r="C33" s="3346"/>
      <c r="D33" s="3347"/>
      <c r="E33" s="3343"/>
      <c r="F33" s="3343"/>
      <c r="G33" s="3343"/>
    </row>
    <row r="34" spans="1:7" hidden="1">
      <c r="A34" s="1330">
        <v>1</v>
      </c>
      <c r="B34" s="1327" t="s">
        <v>1127</v>
      </c>
      <c r="C34" s="1327"/>
      <c r="D34" s="1327"/>
      <c r="E34" s="3344"/>
      <c r="F34" s="3344"/>
      <c r="G34" s="3344"/>
    </row>
    <row r="35" spans="1:7" hidden="1">
      <c r="A35" s="1330">
        <v>2</v>
      </c>
      <c r="B35" s="1327" t="s">
        <v>1128</v>
      </c>
      <c r="C35" s="1327"/>
      <c r="D35" s="1327"/>
      <c r="E35" s="3344"/>
      <c r="F35" s="3344"/>
      <c r="G35" s="3344"/>
    </row>
    <row r="36" spans="1:7" hidden="1">
      <c r="A36" s="1330">
        <v>3</v>
      </c>
      <c r="B36" s="1327" t="s">
        <v>1129</v>
      </c>
      <c r="C36" s="1327"/>
      <c r="D36" s="1327"/>
      <c r="E36" s="3344"/>
      <c r="F36" s="3344"/>
      <c r="G36" s="3344"/>
    </row>
    <row r="37" spans="1:7" hidden="1">
      <c r="A37" s="1330">
        <v>4</v>
      </c>
      <c r="B37" s="1327" t="s">
        <v>1130</v>
      </c>
      <c r="C37" s="1327"/>
      <c r="D37" s="1327"/>
      <c r="E37" s="3344"/>
      <c r="F37" s="3344"/>
      <c r="G37" s="3344"/>
    </row>
    <row r="38" spans="1:7" hidden="1">
      <c r="A38" s="3345" t="s">
        <v>1131</v>
      </c>
      <c r="B38" s="3346"/>
      <c r="C38" s="3346"/>
      <c r="D38" s="3347"/>
      <c r="E38" s="3343"/>
      <c r="F38" s="3343"/>
      <c r="G38" s="3343"/>
    </row>
    <row r="39" spans="1:7">
      <c r="F39">
        <f ca="1">收益法!C6+'收益法-住宅'!C6</f>
        <v>15713</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7" t="s">
        <v>2530</v>
      </c>
      <c r="C1" s="1636" t="s">
        <v>2531</v>
      </c>
      <c r="D1" s="1623"/>
      <c r="E1" s="2588"/>
      <c r="F1" s="2589" t="s">
        <v>2532</v>
      </c>
      <c r="G1" s="1633" t="s">
        <v>2533</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91"/>
      <c r="D2" s="1367" t="e">
        <f ca="1">SUMIF(INDIRECT("'"&amp;F2&amp;"'"&amp;"!A:A"),"承租人权益价值",INDIRECT("'"&amp;F2&amp;"'"&amp;"!c:c"))</f>
        <v>#REF!</v>
      </c>
      <c r="E2" s="2592" t="s">
        <v>2534</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1391</v>
      </c>
      <c r="B3" s="398" t="e">
        <f ca="1">IF(C2="——",C49,ROUND(B2*10000/D3,0))</f>
        <v>#DIV/0!</v>
      </c>
      <c r="C3" s="399" t="s">
        <v>2535</v>
      </c>
      <c r="D3" s="398">
        <f>IF(D1="",'数据-汇总表'!E3,SUMIF('数据-汇总表'!$C19:$C33,D1,'数据-汇总表'!$E19:$E33))</f>
        <v>158096.87</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2536</v>
      </c>
      <c r="B4" s="401"/>
      <c r="C4" s="3296" t="s">
        <v>2537</v>
      </c>
      <c r="D4" s="3297"/>
      <c r="E4" s="3298" t="s">
        <v>2538</v>
      </c>
      <c r="F4" s="3299"/>
      <c r="G4" s="3296" t="s">
        <v>2539</v>
      </c>
      <c r="H4" s="3297"/>
      <c r="I4" s="3296" t="s">
        <v>2540</v>
      </c>
      <c r="J4" s="3297"/>
      <c r="K4" s="2601" t="s">
        <v>2541</v>
      </c>
      <c r="L4" s="1132"/>
      <c r="M4" s="1133"/>
      <c r="N4" s="1133"/>
      <c r="O4" s="1133"/>
      <c r="P4" s="3300" t="s">
        <v>2542</v>
      </c>
      <c r="Q4" s="3301"/>
      <c r="R4" s="3283" t="s">
        <v>2538</v>
      </c>
      <c r="S4" s="3284"/>
      <c r="T4" s="3283" t="s">
        <v>2539</v>
      </c>
      <c r="U4" s="3284"/>
      <c r="V4" s="3308" t="s">
        <v>2540</v>
      </c>
      <c r="W4" s="3308"/>
      <c r="X4" s="1815"/>
      <c r="Y4" s="3283" t="s">
        <v>2542</v>
      </c>
      <c r="Z4" s="3284"/>
      <c r="AA4" s="3278" t="s">
        <v>2538</v>
      </c>
      <c r="AB4" s="3278" t="s">
        <v>2539</v>
      </c>
      <c r="AC4" s="3278" t="s">
        <v>2540</v>
      </c>
    </row>
    <row r="5" spans="1:29" ht="15">
      <c r="A5" s="403"/>
      <c r="B5" s="404"/>
      <c r="C5" s="3289" t="s">
        <v>2543</v>
      </c>
      <c r="D5" s="3290"/>
      <c r="E5" s="3287" t="s">
        <v>2544</v>
      </c>
      <c r="F5" s="3288"/>
      <c r="G5" s="3289" t="s">
        <v>2545</v>
      </c>
      <c r="H5" s="3290"/>
      <c r="I5" s="3289" t="s">
        <v>2546</v>
      </c>
      <c r="J5" s="3290"/>
      <c r="K5" s="2602"/>
      <c r="L5" s="1132"/>
      <c r="M5" s="1133"/>
      <c r="N5" s="1133"/>
      <c r="O5" s="1133"/>
      <c r="P5" s="3302"/>
      <c r="Q5" s="3303"/>
      <c r="R5" s="3285"/>
      <c r="S5" s="3286"/>
      <c r="T5" s="3285"/>
      <c r="U5" s="3286"/>
      <c r="V5" s="3308"/>
      <c r="W5" s="3308"/>
      <c r="X5" s="1815"/>
      <c r="Y5" s="3285"/>
      <c r="Z5" s="3286"/>
      <c r="AA5" s="3279"/>
      <c r="AB5" s="3279"/>
      <c r="AC5" s="3279"/>
    </row>
    <row r="6" spans="1:29" ht="15.75" thickBot="1">
      <c r="A6" s="405"/>
      <c r="B6" s="406"/>
      <c r="C6" s="3291" t="s">
        <v>2547</v>
      </c>
      <c r="D6" s="3292"/>
      <c r="E6" s="3293" t="s">
        <v>2547</v>
      </c>
      <c r="F6" s="3294"/>
      <c r="G6" s="3291" t="s">
        <v>2547</v>
      </c>
      <c r="H6" s="3292"/>
      <c r="I6" s="3291" t="s">
        <v>2547</v>
      </c>
      <c r="J6" s="3292"/>
      <c r="K6" s="2602" t="s">
        <v>2548</v>
      </c>
      <c r="L6" s="1132"/>
      <c r="M6" s="1133"/>
      <c r="N6" s="1133"/>
      <c r="O6" s="1133"/>
      <c r="P6" s="3304"/>
      <c r="Q6" s="3305"/>
      <c r="R6" s="3285"/>
      <c r="S6" s="3286"/>
      <c r="T6" s="3306"/>
      <c r="U6" s="3307"/>
      <c r="V6" s="3308"/>
      <c r="W6" s="3308"/>
      <c r="X6" s="1815"/>
      <c r="Y6" s="3306"/>
      <c r="Z6" s="3307"/>
      <c r="AA6" s="3280"/>
      <c r="AB6" s="3280"/>
      <c r="AC6" s="3280"/>
    </row>
    <row r="7" spans="1:29" s="116" customFormat="1" ht="15.75" thickBot="1">
      <c r="A7" s="407" t="s">
        <v>2549</v>
      </c>
      <c r="B7" s="408"/>
      <c r="C7" s="409">
        <f>'数据-取费表'!B2</f>
        <v>43481</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281" t="s">
        <v>2550</v>
      </c>
      <c r="Q7" s="3309"/>
      <c r="R7" s="769" t="s">
        <v>23</v>
      </c>
      <c r="S7" s="770">
        <f t="shared" ref="S7:S15" si="0">F7</f>
        <v>0</v>
      </c>
      <c r="T7" s="769" t="s">
        <v>23</v>
      </c>
      <c r="U7" s="770">
        <f t="shared" ref="U7:U15" si="1">H7</f>
        <v>0</v>
      </c>
      <c r="V7" s="769" t="s">
        <v>23</v>
      </c>
      <c r="W7" s="770">
        <f t="shared" ref="W7:W15" si="2">J7</f>
        <v>0</v>
      </c>
      <c r="X7" s="771"/>
      <c r="Y7" s="3281" t="s">
        <v>2550</v>
      </c>
      <c r="Z7" s="3282"/>
      <c r="AA7" s="772" t="e">
        <f>D7/F7</f>
        <v>#DIV/0!</v>
      </c>
      <c r="AB7" s="772" t="e">
        <f>D7/H7</f>
        <v>#DIV/0!</v>
      </c>
      <c r="AC7" s="772" t="e">
        <f>D7/J7</f>
        <v>#DIV/0!</v>
      </c>
    </row>
    <row r="8" spans="1:29" s="116" customFormat="1" ht="15.75" thickBot="1">
      <c r="A8" s="407" t="s">
        <v>2551</v>
      </c>
      <c r="B8" s="408"/>
      <c r="C8" s="413" t="s">
        <v>2552</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281" t="s">
        <v>2553</v>
      </c>
      <c r="Q8" s="3282"/>
      <c r="R8" s="769" t="s">
        <v>23</v>
      </c>
      <c r="S8" s="770">
        <f t="shared" si="0"/>
        <v>0</v>
      </c>
      <c r="T8" s="769" t="s">
        <v>23</v>
      </c>
      <c r="U8" s="770">
        <f t="shared" si="1"/>
        <v>0</v>
      </c>
      <c r="V8" s="769" t="s">
        <v>23</v>
      </c>
      <c r="W8" s="770">
        <f t="shared" si="2"/>
        <v>0</v>
      </c>
      <c r="X8" s="771"/>
      <c r="Y8" s="3281" t="s">
        <v>2553</v>
      </c>
      <c r="Z8" s="3282"/>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19" t="s">
        <v>2556</v>
      </c>
      <c r="Q9" s="1797" t="str">
        <f t="shared" ref="Q9:Q15" si="6">B9</f>
        <v>用途</v>
      </c>
      <c r="R9" s="769" t="s">
        <v>17</v>
      </c>
      <c r="S9" s="770">
        <f t="shared" si="0"/>
        <v>100</v>
      </c>
      <c r="T9" s="769" t="s">
        <v>17</v>
      </c>
      <c r="U9" s="770">
        <f t="shared" si="1"/>
        <v>100</v>
      </c>
      <c r="V9" s="769" t="s">
        <v>17</v>
      </c>
      <c r="W9" s="770">
        <f t="shared" si="2"/>
        <v>100</v>
      </c>
      <c r="X9" s="771"/>
      <c r="Y9" s="3115"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15"/>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9"/>
      <c r="Q11" s="1797" t="str">
        <f t="shared" si="6"/>
        <v>容积率</v>
      </c>
      <c r="R11" s="769" t="s">
        <v>21</v>
      </c>
      <c r="S11" s="770" t="e">
        <f t="shared" si="0"/>
        <v>#N/A</v>
      </c>
      <c r="T11" s="769" t="s">
        <v>21</v>
      </c>
      <c r="U11" s="770" t="e">
        <f t="shared" si="1"/>
        <v>#N/A</v>
      </c>
      <c r="V11" s="769" t="s">
        <v>21</v>
      </c>
      <c r="W11" s="770" t="e">
        <f t="shared" si="2"/>
        <v>#N/A</v>
      </c>
      <c r="X11" s="771"/>
      <c r="Y11" s="3115"/>
      <c r="Z11" s="54" t="str">
        <f t="shared" si="7"/>
        <v>容积率</v>
      </c>
      <c r="AA11" s="772" t="e">
        <f t="shared" si="3"/>
        <v>#N/A</v>
      </c>
      <c r="AB11" s="772" t="e">
        <f t="shared" si="4"/>
        <v>#N/A</v>
      </c>
      <c r="AC11" s="772" t="e">
        <f t="shared" si="5"/>
        <v>#N/A</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19"/>
      <c r="Q12" s="1797">
        <f t="shared" si="6"/>
        <v>111</v>
      </c>
      <c r="R12" s="769" t="s">
        <v>21</v>
      </c>
      <c r="S12" s="770">
        <f t="shared" si="0"/>
        <v>100</v>
      </c>
      <c r="T12" s="769" t="s">
        <v>21</v>
      </c>
      <c r="U12" s="770">
        <f t="shared" si="1"/>
        <v>100</v>
      </c>
      <c r="V12" s="769" t="s">
        <v>21</v>
      </c>
      <c r="W12" s="770">
        <f t="shared" si="2"/>
        <v>100</v>
      </c>
      <c r="X12" s="771"/>
      <c r="Y12" s="3115"/>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19"/>
      <c r="Q13" s="1797">
        <f t="shared" si="6"/>
        <v>111</v>
      </c>
      <c r="R13" s="769" t="s">
        <v>21</v>
      </c>
      <c r="S13" s="770">
        <f t="shared" si="0"/>
        <v>100</v>
      </c>
      <c r="T13" s="769" t="s">
        <v>21</v>
      </c>
      <c r="U13" s="770">
        <f t="shared" si="1"/>
        <v>100</v>
      </c>
      <c r="V13" s="769" t="s">
        <v>21</v>
      </c>
      <c r="W13" s="770">
        <f t="shared" si="2"/>
        <v>100</v>
      </c>
      <c r="X13" s="771"/>
      <c r="Y13" s="3115"/>
      <c r="Z13" s="54">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19"/>
      <c r="Q14" s="1797">
        <f t="shared" si="6"/>
        <v>111</v>
      </c>
      <c r="R14" s="769" t="s">
        <v>21</v>
      </c>
      <c r="S14" s="770">
        <f t="shared" si="0"/>
        <v>100</v>
      </c>
      <c r="T14" s="769" t="s">
        <v>21</v>
      </c>
      <c r="U14" s="770">
        <f t="shared" si="1"/>
        <v>100</v>
      </c>
      <c r="V14" s="769" t="s">
        <v>21</v>
      </c>
      <c r="W14" s="770">
        <f t="shared" si="2"/>
        <v>100</v>
      </c>
      <c r="X14" s="771"/>
      <c r="Y14" s="3115"/>
      <c r="Z14" s="54">
        <f t="shared" si="7"/>
        <v>111</v>
      </c>
      <c r="AA14" s="772">
        <f t="shared" si="3"/>
        <v>1</v>
      </c>
      <c r="AB14" s="772">
        <f t="shared" si="4"/>
        <v>1</v>
      </c>
      <c r="AC14" s="772">
        <f t="shared" si="5"/>
        <v>1</v>
      </c>
    </row>
    <row r="15" spans="1:29" ht="99.75">
      <c r="A15" s="439" t="s">
        <v>2560</v>
      </c>
      <c r="B15" s="68" t="s">
        <v>2085</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54" t="s">
        <v>2561</v>
      </c>
      <c r="Q15" s="1812" t="str">
        <f t="shared" si="6"/>
        <v>居住社区成熟度</v>
      </c>
      <c r="R15" s="773" t="s">
        <v>21</v>
      </c>
      <c r="S15" s="774">
        <f t="shared" si="0"/>
        <v>100</v>
      </c>
      <c r="T15" s="773" t="s">
        <v>21</v>
      </c>
      <c r="U15" s="774">
        <f t="shared" si="1"/>
        <v>100</v>
      </c>
      <c r="V15" s="773" t="s">
        <v>21</v>
      </c>
      <c r="W15" s="774">
        <f t="shared" si="2"/>
        <v>100</v>
      </c>
      <c r="X15" s="1815"/>
      <c r="Y15" s="3310" t="s">
        <v>2561</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55"/>
      <c r="Q16" s="1812"/>
      <c r="R16" s="773"/>
      <c r="S16" s="774"/>
      <c r="T16" s="773"/>
      <c r="U16" s="774"/>
      <c r="V16" s="773"/>
      <c r="W16" s="774"/>
      <c r="X16" s="1815"/>
      <c r="Y16" s="3311"/>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55"/>
      <c r="Q17" s="1812" t="str">
        <f>B17</f>
        <v>交通便捷度</v>
      </c>
      <c r="R17" s="773" t="s">
        <v>21</v>
      </c>
      <c r="S17" s="774">
        <f>F17</f>
        <v>100</v>
      </c>
      <c r="T17" s="773" t="s">
        <v>21</v>
      </c>
      <c r="U17" s="774">
        <f>H17</f>
        <v>100</v>
      </c>
      <c r="V17" s="773" t="s">
        <v>21</v>
      </c>
      <c r="W17" s="774">
        <f>J17</f>
        <v>100</v>
      </c>
      <c r="X17" s="1815"/>
      <c r="Y17" s="3311"/>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55"/>
      <c r="Q18" s="1812"/>
      <c r="R18" s="773"/>
      <c r="S18" s="774"/>
      <c r="T18" s="773"/>
      <c r="U18" s="774"/>
      <c r="V18" s="773"/>
      <c r="W18" s="774"/>
      <c r="X18" s="1815"/>
      <c r="Y18" s="3311"/>
      <c r="Z18" s="1816"/>
      <c r="AA18" s="1813">
        <v>1</v>
      </c>
      <c r="AB18" s="1813">
        <v>1</v>
      </c>
      <c r="AC18" s="1813">
        <v>1</v>
      </c>
    </row>
    <row r="19" spans="1:29" ht="42.75">
      <c r="A19" s="427"/>
      <c r="B19" s="450" t="s">
        <v>2095</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55"/>
      <c r="Q19" s="1812" t="str">
        <f>B19</f>
        <v>公共配套设施</v>
      </c>
      <c r="R19" s="773" t="s">
        <v>21</v>
      </c>
      <c r="S19" s="774">
        <f>F19</f>
        <v>100</v>
      </c>
      <c r="T19" s="773" t="s">
        <v>21</v>
      </c>
      <c r="U19" s="774">
        <f>H19</f>
        <v>100</v>
      </c>
      <c r="V19" s="773" t="s">
        <v>21</v>
      </c>
      <c r="W19" s="774">
        <f>J19</f>
        <v>100</v>
      </c>
      <c r="X19" s="1815"/>
      <c r="Y19" s="3311"/>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55"/>
      <c r="Q20" s="1812"/>
      <c r="R20" s="773"/>
      <c r="S20" s="774"/>
      <c r="T20" s="773"/>
      <c r="U20" s="774"/>
      <c r="V20" s="773"/>
      <c r="W20" s="774"/>
      <c r="X20" s="1815"/>
      <c r="Y20" s="3311"/>
      <c r="Z20" s="1816"/>
      <c r="AA20" s="1813">
        <v>1</v>
      </c>
      <c r="AB20" s="1813">
        <v>1</v>
      </c>
      <c r="AC20" s="1813">
        <v>1</v>
      </c>
    </row>
    <row r="21" spans="1:29" ht="28.5">
      <c r="A21" s="427"/>
      <c r="B21" s="1386" t="s">
        <v>2098</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55"/>
      <c r="Q21" s="1812" t="str">
        <f>B21</f>
        <v>基础设施水平</v>
      </c>
      <c r="R21" s="773" t="s">
        <v>17</v>
      </c>
      <c r="S21" s="774">
        <f>F21</f>
        <v>100</v>
      </c>
      <c r="T21" s="773" t="s">
        <v>17</v>
      </c>
      <c r="U21" s="774">
        <f>H21</f>
        <v>100</v>
      </c>
      <c r="V21" s="773" t="s">
        <v>17</v>
      </c>
      <c r="W21" s="774">
        <f>J21</f>
        <v>100</v>
      </c>
      <c r="X21" s="1815"/>
      <c r="Y21" s="331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55"/>
      <c r="Q22" s="1812"/>
      <c r="R22" s="773"/>
      <c r="S22" s="774"/>
      <c r="T22" s="773"/>
      <c r="U22" s="774"/>
      <c r="V22" s="773"/>
      <c r="W22" s="774"/>
      <c r="X22" s="1815"/>
      <c r="Y22" s="3311"/>
      <c r="Z22" s="1816"/>
      <c r="AA22" s="1813">
        <v>1</v>
      </c>
      <c r="AB22" s="1813">
        <v>1</v>
      </c>
      <c r="AC22" s="1813">
        <v>1</v>
      </c>
    </row>
    <row r="23" spans="1:29" ht="57">
      <c r="A23" s="427"/>
      <c r="B23" s="450" t="s">
        <v>2102</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55"/>
      <c r="Q23" s="1812" t="str">
        <f>B23</f>
        <v>自然及人文环境</v>
      </c>
      <c r="R23" s="773" t="s">
        <v>21</v>
      </c>
      <c r="S23" s="774">
        <f>F23</f>
        <v>100</v>
      </c>
      <c r="T23" s="773" t="s">
        <v>21</v>
      </c>
      <c r="U23" s="774">
        <f>H23</f>
        <v>100</v>
      </c>
      <c r="V23" s="773" t="s">
        <v>21</v>
      </c>
      <c r="W23" s="774">
        <f>J23</f>
        <v>100</v>
      </c>
      <c r="X23" s="1815"/>
      <c r="Y23" s="3311"/>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55"/>
      <c r="Q24" s="1812"/>
      <c r="R24" s="773"/>
      <c r="S24" s="774"/>
      <c r="T24" s="773"/>
      <c r="U24" s="774"/>
      <c r="V24" s="773"/>
      <c r="W24" s="774"/>
      <c r="X24" s="1815"/>
      <c r="Y24" s="3311"/>
      <c r="Z24" s="1816"/>
      <c r="AA24" s="1813">
        <v>1</v>
      </c>
      <c r="AB24" s="1813">
        <v>1</v>
      </c>
      <c r="AC24" s="1813">
        <v>1</v>
      </c>
    </row>
    <row r="25" spans="1:29" ht="15">
      <c r="A25" s="427"/>
      <c r="B25" s="421" t="s">
        <v>2562</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5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11"/>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55"/>
      <c r="Q26" s="1812" t="str">
        <f t="shared" si="11"/>
        <v>朝向</v>
      </c>
      <c r="R26" s="773" t="s">
        <v>21</v>
      </c>
      <c r="S26" s="774">
        <f t="shared" si="12"/>
        <v>100</v>
      </c>
      <c r="T26" s="773" t="s">
        <v>21</v>
      </c>
      <c r="U26" s="774">
        <f t="shared" si="13"/>
        <v>100</v>
      </c>
      <c r="V26" s="773" t="s">
        <v>21</v>
      </c>
      <c r="W26" s="774">
        <f t="shared" si="14"/>
        <v>100</v>
      </c>
      <c r="X26" s="1815"/>
      <c r="Y26" s="3311"/>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55"/>
      <c r="Q27" s="1797">
        <f t="shared" si="11"/>
        <v>111</v>
      </c>
      <c r="R27" s="769" t="s">
        <v>21</v>
      </c>
      <c r="S27" s="770">
        <f t="shared" si="12"/>
        <v>100</v>
      </c>
      <c r="T27" s="769" t="s">
        <v>21</v>
      </c>
      <c r="U27" s="770">
        <f t="shared" si="13"/>
        <v>100</v>
      </c>
      <c r="V27" s="769" t="s">
        <v>21</v>
      </c>
      <c r="W27" s="770">
        <f t="shared" si="14"/>
        <v>100</v>
      </c>
      <c r="X27" s="771"/>
      <c r="Y27" s="3311"/>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55"/>
      <c r="Q28" s="1812">
        <f t="shared" si="11"/>
        <v>111</v>
      </c>
      <c r="R28" s="773" t="s">
        <v>21</v>
      </c>
      <c r="S28" s="774">
        <f t="shared" si="12"/>
        <v>100</v>
      </c>
      <c r="T28" s="773" t="s">
        <v>21</v>
      </c>
      <c r="U28" s="774">
        <f t="shared" si="13"/>
        <v>100</v>
      </c>
      <c r="V28" s="773" t="s">
        <v>21</v>
      </c>
      <c r="W28" s="774">
        <f t="shared" si="14"/>
        <v>100</v>
      </c>
      <c r="X28" s="1815"/>
      <c r="Y28" s="331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55"/>
      <c r="Q29" s="1812">
        <f t="shared" si="11"/>
        <v>111</v>
      </c>
      <c r="R29" s="773" t="s">
        <v>21</v>
      </c>
      <c r="S29" s="774">
        <f t="shared" si="12"/>
        <v>100</v>
      </c>
      <c r="T29" s="773" t="s">
        <v>21</v>
      </c>
      <c r="U29" s="774">
        <f t="shared" si="13"/>
        <v>100</v>
      </c>
      <c r="V29" s="773" t="s">
        <v>21</v>
      </c>
      <c r="W29" s="774">
        <f t="shared" si="14"/>
        <v>100</v>
      </c>
      <c r="X29" s="1815"/>
      <c r="Y29" s="331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55"/>
      <c r="Q30" s="1812">
        <f t="shared" si="11"/>
        <v>111</v>
      </c>
      <c r="R30" s="773" t="s">
        <v>21</v>
      </c>
      <c r="S30" s="774">
        <f t="shared" si="12"/>
        <v>100</v>
      </c>
      <c r="T30" s="773" t="s">
        <v>21</v>
      </c>
      <c r="U30" s="774">
        <f t="shared" si="13"/>
        <v>100</v>
      </c>
      <c r="V30" s="773" t="s">
        <v>21</v>
      </c>
      <c r="W30" s="774">
        <f t="shared" si="14"/>
        <v>100</v>
      </c>
      <c r="X30" s="1815"/>
      <c r="Y30" s="331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55"/>
      <c r="Q31" s="1812">
        <f t="shared" si="11"/>
        <v>111</v>
      </c>
      <c r="R31" s="773" t="s">
        <v>21</v>
      </c>
      <c r="S31" s="774">
        <f t="shared" si="12"/>
        <v>100</v>
      </c>
      <c r="T31" s="773" t="s">
        <v>21</v>
      </c>
      <c r="U31" s="774">
        <f t="shared" si="13"/>
        <v>100</v>
      </c>
      <c r="V31" s="773" t="s">
        <v>21</v>
      </c>
      <c r="W31" s="774">
        <f t="shared" si="14"/>
        <v>100</v>
      </c>
      <c r="X31" s="1815"/>
      <c r="Y31" s="3311"/>
      <c r="Z31" s="1816">
        <f t="shared" si="18"/>
        <v>111</v>
      </c>
      <c r="AA31" s="1813">
        <f t="shared" si="15"/>
        <v>1</v>
      </c>
      <c r="AB31" s="1813">
        <f t="shared" si="16"/>
        <v>1</v>
      </c>
      <c r="AC31" s="1813">
        <f t="shared" si="17"/>
        <v>1</v>
      </c>
    </row>
    <row r="32" spans="1:29" ht="15">
      <c r="A32" s="439" t="s">
        <v>2564</v>
      </c>
      <c r="B32" s="70" t="s">
        <v>2565</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50" t="s">
        <v>2566</v>
      </c>
      <c r="Q32" s="1812" t="str">
        <f t="shared" si="11"/>
        <v>建筑类型</v>
      </c>
      <c r="R32" s="773" t="s">
        <v>21</v>
      </c>
      <c r="S32" s="774">
        <f t="shared" si="12"/>
        <v>100</v>
      </c>
      <c r="T32" s="773" t="s">
        <v>21</v>
      </c>
      <c r="U32" s="774">
        <f t="shared" si="13"/>
        <v>100</v>
      </c>
      <c r="V32" s="773" t="s">
        <v>21</v>
      </c>
      <c r="W32" s="774">
        <f t="shared" si="14"/>
        <v>100</v>
      </c>
      <c r="X32" s="1815"/>
      <c r="Y32" s="3313"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51"/>
      <c r="Q33" s="775" t="str">
        <f t="shared" si="11"/>
        <v>项目建筑规模</v>
      </c>
      <c r="R33" s="776" t="s">
        <v>21</v>
      </c>
      <c r="S33" s="777" t="e">
        <f t="shared" si="12"/>
        <v>#N/A</v>
      </c>
      <c r="T33" s="776" t="s">
        <v>21</v>
      </c>
      <c r="U33" s="777" t="e">
        <f t="shared" si="13"/>
        <v>#N/A</v>
      </c>
      <c r="V33" s="776" t="s">
        <v>21</v>
      </c>
      <c r="W33" s="777" t="e">
        <f t="shared" si="14"/>
        <v>#N/A</v>
      </c>
      <c r="X33" s="778"/>
      <c r="Y33" s="3313"/>
      <c r="Z33" s="779" t="str">
        <f t="shared" si="18"/>
        <v>项目建筑规模</v>
      </c>
      <c r="AA33" s="1813" t="e">
        <f t="shared" si="15"/>
        <v>#N/A</v>
      </c>
      <c r="AB33" s="1813" t="e">
        <f t="shared" si="16"/>
        <v>#N/A</v>
      </c>
      <c r="AC33" s="1813" t="e">
        <f t="shared" si="17"/>
        <v>#N/A</v>
      </c>
    </row>
    <row r="34" spans="1:29" ht="15">
      <c r="A34" s="471"/>
      <c r="B34" s="421" t="s">
        <v>2568</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51"/>
      <c r="Q34" s="1812" t="str">
        <f t="shared" si="11"/>
        <v>建筑结构</v>
      </c>
      <c r="R34" s="773" t="s">
        <v>21</v>
      </c>
      <c r="S34" s="774">
        <f t="shared" si="12"/>
        <v>100</v>
      </c>
      <c r="T34" s="773" t="s">
        <v>21</v>
      </c>
      <c r="U34" s="774">
        <f t="shared" si="13"/>
        <v>100</v>
      </c>
      <c r="V34" s="773" t="s">
        <v>21</v>
      </c>
      <c r="W34" s="774">
        <f t="shared" si="14"/>
        <v>100</v>
      </c>
      <c r="X34" s="1815"/>
      <c r="Y34" s="3313"/>
      <c r="Z34" s="1816" t="str">
        <f t="shared" si="18"/>
        <v>建筑结构</v>
      </c>
      <c r="AA34" s="1813">
        <f t="shared" si="15"/>
        <v>1</v>
      </c>
      <c r="AB34" s="1813">
        <f t="shared" si="16"/>
        <v>1</v>
      </c>
      <c r="AC34" s="1813">
        <f t="shared" si="17"/>
        <v>1</v>
      </c>
    </row>
    <row r="35" spans="1:29" ht="15">
      <c r="A35" s="471"/>
      <c r="B35" s="421" t="s">
        <v>2569</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51"/>
      <c r="Q35" s="1812" t="str">
        <f t="shared" si="11"/>
        <v>建筑品质</v>
      </c>
      <c r="R35" s="773" t="s">
        <v>21</v>
      </c>
      <c r="S35" s="774">
        <f t="shared" si="12"/>
        <v>100</v>
      </c>
      <c r="T35" s="773" t="s">
        <v>21</v>
      </c>
      <c r="U35" s="774">
        <f t="shared" si="13"/>
        <v>100</v>
      </c>
      <c r="V35" s="773" t="s">
        <v>21</v>
      </c>
      <c r="W35" s="774">
        <f t="shared" si="14"/>
        <v>100</v>
      </c>
      <c r="X35" s="1815"/>
      <c r="Y35" s="3313"/>
      <c r="Z35" s="1816" t="str">
        <f t="shared" si="18"/>
        <v>建筑品质</v>
      </c>
      <c r="AA35" s="1813">
        <f t="shared" si="15"/>
        <v>1</v>
      </c>
      <c r="AB35" s="1813">
        <f t="shared" si="16"/>
        <v>1</v>
      </c>
      <c r="AC35" s="1813">
        <f t="shared" si="17"/>
        <v>1</v>
      </c>
    </row>
    <row r="36" spans="1:29" ht="15">
      <c r="A36" s="471"/>
      <c r="B36" s="421" t="s">
        <v>2570</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51"/>
      <c r="Q36" s="1812" t="str">
        <f t="shared" si="11"/>
        <v>公共部分装修</v>
      </c>
      <c r="R36" s="773" t="s">
        <v>21</v>
      </c>
      <c r="S36" s="774">
        <f t="shared" si="12"/>
        <v>100</v>
      </c>
      <c r="T36" s="773" t="s">
        <v>21</v>
      </c>
      <c r="U36" s="774">
        <f t="shared" si="13"/>
        <v>100</v>
      </c>
      <c r="V36" s="773" t="s">
        <v>21</v>
      </c>
      <c r="W36" s="774">
        <f t="shared" si="14"/>
        <v>100</v>
      </c>
      <c r="X36" s="1815"/>
      <c r="Y36" s="3313"/>
      <c r="Z36" s="1816" t="str">
        <f t="shared" si="18"/>
        <v>公共部分装修</v>
      </c>
      <c r="AA36" s="1813">
        <f t="shared" si="15"/>
        <v>1</v>
      </c>
      <c r="AB36" s="1813">
        <f t="shared" si="16"/>
        <v>1</v>
      </c>
      <c r="AC36" s="1813">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51"/>
      <c r="Q37" s="1797" t="str">
        <f t="shared" si="11"/>
        <v>成新度</v>
      </c>
      <c r="R37" s="769" t="s">
        <v>21</v>
      </c>
      <c r="S37" s="770" t="e">
        <f t="shared" si="12"/>
        <v>#N/A</v>
      </c>
      <c r="T37" s="769" t="s">
        <v>21</v>
      </c>
      <c r="U37" s="770" t="e">
        <f t="shared" si="13"/>
        <v>#N/A</v>
      </c>
      <c r="V37" s="769" t="s">
        <v>21</v>
      </c>
      <c r="W37" s="770" t="e">
        <f t="shared" si="14"/>
        <v>#N/A</v>
      </c>
      <c r="X37" s="771"/>
      <c r="Y37" s="3313"/>
      <c r="Z37" s="54" t="str">
        <f t="shared" si="18"/>
        <v>成新度</v>
      </c>
      <c r="AA37" s="772" t="e">
        <f t="shared" si="15"/>
        <v>#N/A</v>
      </c>
      <c r="AB37" s="772" t="e">
        <f t="shared" si="16"/>
        <v>#N/A</v>
      </c>
      <c r="AC37" s="772" t="e">
        <f t="shared" si="17"/>
        <v>#N/A</v>
      </c>
    </row>
    <row r="38" spans="1:29" ht="15">
      <c r="A38" s="471"/>
      <c r="B38" s="421" t="s">
        <v>2572</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51" t="s">
        <v>2566</v>
      </c>
      <c r="Q38" s="1812" t="str">
        <f t="shared" si="11"/>
        <v>物业管理</v>
      </c>
      <c r="R38" s="773" t="s">
        <v>21</v>
      </c>
      <c r="S38" s="774">
        <f t="shared" si="12"/>
        <v>100</v>
      </c>
      <c r="T38" s="773" t="s">
        <v>21</v>
      </c>
      <c r="U38" s="774">
        <f t="shared" si="13"/>
        <v>100</v>
      </c>
      <c r="V38" s="773" t="s">
        <v>21</v>
      </c>
      <c r="W38" s="774">
        <f t="shared" si="14"/>
        <v>100</v>
      </c>
      <c r="X38" s="1815"/>
      <c r="Y38" s="3313" t="s">
        <v>2566</v>
      </c>
      <c r="Z38" s="1816" t="str">
        <f t="shared" si="18"/>
        <v>物业管理</v>
      </c>
      <c r="AA38" s="1813">
        <f t="shared" si="15"/>
        <v>1</v>
      </c>
      <c r="AB38" s="1813">
        <f t="shared" si="16"/>
        <v>1</v>
      </c>
      <c r="AC38" s="1813">
        <f t="shared" si="17"/>
        <v>1</v>
      </c>
    </row>
    <row r="39" spans="1:29" ht="15">
      <c r="A39" s="471"/>
      <c r="B39" s="421" t="s">
        <v>2573</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51"/>
      <c r="Q39" s="1812" t="str">
        <f t="shared" si="11"/>
        <v>市政基础设施</v>
      </c>
      <c r="R39" s="773" t="s">
        <v>21</v>
      </c>
      <c r="S39" s="774">
        <f t="shared" si="12"/>
        <v>100</v>
      </c>
      <c r="T39" s="773" t="s">
        <v>21</v>
      </c>
      <c r="U39" s="774">
        <f t="shared" si="13"/>
        <v>100</v>
      </c>
      <c r="V39" s="773" t="s">
        <v>21</v>
      </c>
      <c r="W39" s="774">
        <f t="shared" si="14"/>
        <v>100</v>
      </c>
      <c r="X39" s="1815"/>
      <c r="Y39" s="3313"/>
      <c r="Z39" s="1816" t="str">
        <f t="shared" si="18"/>
        <v>市政基础设施</v>
      </c>
      <c r="AA39" s="1813">
        <f t="shared" si="15"/>
        <v>1</v>
      </c>
      <c r="AB39" s="1813">
        <f t="shared" si="16"/>
        <v>1</v>
      </c>
      <c r="AC39" s="1813">
        <f t="shared" si="17"/>
        <v>1</v>
      </c>
    </row>
    <row r="40" spans="1:29" ht="15">
      <c r="A40" s="471"/>
      <c r="B40" s="421" t="s">
        <v>2574</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51"/>
      <c r="Q40" s="1812" t="str">
        <f t="shared" si="11"/>
        <v>房型</v>
      </c>
      <c r="R40" s="773" t="s">
        <v>21</v>
      </c>
      <c r="S40" s="774">
        <f t="shared" si="12"/>
        <v>100</v>
      </c>
      <c r="T40" s="773" t="s">
        <v>21</v>
      </c>
      <c r="U40" s="774">
        <f t="shared" si="13"/>
        <v>100</v>
      </c>
      <c r="V40" s="773" t="s">
        <v>21</v>
      </c>
      <c r="W40" s="774">
        <f t="shared" si="14"/>
        <v>100</v>
      </c>
      <c r="X40" s="1815"/>
      <c r="Y40" s="3313"/>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51"/>
      <c r="Q41" s="775" t="str">
        <f t="shared" si="11"/>
        <v>单套/主力户型建筑面积</v>
      </c>
      <c r="R41" s="776" t="s">
        <v>21</v>
      </c>
      <c r="S41" s="777">
        <f t="shared" si="12"/>
        <v>100</v>
      </c>
      <c r="T41" s="776" t="s">
        <v>21</v>
      </c>
      <c r="U41" s="777">
        <f t="shared" si="13"/>
        <v>100</v>
      </c>
      <c r="V41" s="776" t="s">
        <v>21</v>
      </c>
      <c r="W41" s="777">
        <f t="shared" si="14"/>
        <v>100</v>
      </c>
      <c r="X41" s="778"/>
      <c r="Y41" s="3313"/>
      <c r="Z41" s="779" t="str">
        <f t="shared" si="18"/>
        <v>单套/主力户型建筑面积</v>
      </c>
      <c r="AA41" s="1813">
        <f t="shared" si="15"/>
        <v>1</v>
      </c>
      <c r="AB41" s="1813">
        <f t="shared" si="16"/>
        <v>1</v>
      </c>
      <c r="AC41" s="1813">
        <f t="shared" si="17"/>
        <v>1</v>
      </c>
    </row>
    <row r="42" spans="1:29" ht="15">
      <c r="A42" s="471"/>
      <c r="B42" s="421" t="s">
        <v>2576</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51"/>
      <c r="Q42" s="1812" t="str">
        <f t="shared" si="11"/>
        <v>内部装修</v>
      </c>
      <c r="R42" s="773" t="s">
        <v>21</v>
      </c>
      <c r="S42" s="774">
        <f t="shared" si="12"/>
        <v>100</v>
      </c>
      <c r="T42" s="773" t="s">
        <v>21</v>
      </c>
      <c r="U42" s="774">
        <f t="shared" si="13"/>
        <v>100</v>
      </c>
      <c r="V42" s="773" t="s">
        <v>21</v>
      </c>
      <c r="W42" s="774">
        <f t="shared" si="14"/>
        <v>100</v>
      </c>
      <c r="X42" s="1815"/>
      <c r="Y42" s="3313"/>
      <c r="Z42" s="1816" t="str">
        <f t="shared" si="18"/>
        <v>内部装修</v>
      </c>
      <c r="AA42" s="1813">
        <f t="shared" si="15"/>
        <v>1</v>
      </c>
      <c r="AB42" s="1813">
        <f t="shared" si="16"/>
        <v>1</v>
      </c>
      <c r="AC42" s="1813">
        <f t="shared" si="17"/>
        <v>1</v>
      </c>
    </row>
    <row r="43" spans="1:29" ht="15">
      <c r="A43" s="471"/>
      <c r="B43" s="421" t="s">
        <v>2577</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51"/>
      <c r="Q43" s="1812" t="str">
        <f t="shared" si="11"/>
        <v>内部装修维护情况</v>
      </c>
      <c r="R43" s="773" t="s">
        <v>21</v>
      </c>
      <c r="S43" s="774">
        <f t="shared" si="12"/>
        <v>100</v>
      </c>
      <c r="T43" s="773" t="s">
        <v>21</v>
      </c>
      <c r="U43" s="774">
        <f t="shared" si="13"/>
        <v>100</v>
      </c>
      <c r="V43" s="773" t="s">
        <v>21</v>
      </c>
      <c r="W43" s="774">
        <f t="shared" si="14"/>
        <v>100</v>
      </c>
      <c r="X43" s="1815"/>
      <c r="Y43" s="3313"/>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51"/>
      <c r="Q44" s="1797">
        <f t="shared" si="11"/>
        <v>111</v>
      </c>
      <c r="R44" s="769" t="s">
        <v>21</v>
      </c>
      <c r="S44" s="770">
        <f t="shared" si="12"/>
        <v>100</v>
      </c>
      <c r="T44" s="769" t="s">
        <v>21</v>
      </c>
      <c r="U44" s="770">
        <f t="shared" si="13"/>
        <v>100</v>
      </c>
      <c r="V44" s="769" t="s">
        <v>21</v>
      </c>
      <c r="W44" s="770">
        <f t="shared" si="14"/>
        <v>100</v>
      </c>
      <c r="X44" s="771"/>
      <c r="Y44" s="3313"/>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51"/>
      <c r="Q45" s="1812">
        <f t="shared" si="11"/>
        <v>111</v>
      </c>
      <c r="R45" s="773" t="s">
        <v>21</v>
      </c>
      <c r="S45" s="774">
        <f t="shared" si="12"/>
        <v>100</v>
      </c>
      <c r="T45" s="773" t="s">
        <v>21</v>
      </c>
      <c r="U45" s="774">
        <f t="shared" si="13"/>
        <v>100</v>
      </c>
      <c r="V45" s="773" t="s">
        <v>21</v>
      </c>
      <c r="W45" s="774">
        <f t="shared" si="14"/>
        <v>100</v>
      </c>
      <c r="X45" s="1815"/>
      <c r="Y45" s="3313"/>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52"/>
      <c r="Q46" s="1812">
        <f t="shared" si="11"/>
        <v>111</v>
      </c>
      <c r="R46" s="773" t="s">
        <v>20</v>
      </c>
      <c r="S46" s="774">
        <f t="shared" si="12"/>
        <v>100</v>
      </c>
      <c r="T46" s="773" t="s">
        <v>20</v>
      </c>
      <c r="U46" s="774">
        <f t="shared" si="13"/>
        <v>100</v>
      </c>
      <c r="V46" s="773" t="s">
        <v>20</v>
      </c>
      <c r="W46" s="774">
        <f t="shared" si="14"/>
        <v>100</v>
      </c>
      <c r="X46" s="1815"/>
      <c r="Y46" s="3353"/>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6"/>
      <c r="L47" s="1145"/>
      <c r="M47" s="1146"/>
      <c r="N47" s="1133"/>
      <c r="O47" s="1146"/>
      <c r="P47" s="3295" t="str">
        <f>A47</f>
        <v>成交单价（元/平方米）</v>
      </c>
      <c r="Q47" s="3295"/>
      <c r="R47" s="3349">
        <f>E47</f>
        <v>0</v>
      </c>
      <c r="S47" s="3349"/>
      <c r="T47" s="3349">
        <f>G47</f>
        <v>0</v>
      </c>
      <c r="U47" s="3349"/>
      <c r="V47" s="3349">
        <f>I47</f>
        <v>0</v>
      </c>
      <c r="W47" s="3349"/>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7"/>
      <c r="L48" s="1145"/>
      <c r="M48" s="1146"/>
      <c r="N48" s="1146"/>
      <c r="O48" s="1146"/>
      <c r="P48" s="3295" t="str">
        <f>A48</f>
        <v>比较价值（元/平方米）</v>
      </c>
      <c r="Q48" s="3295"/>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8"/>
      <c r="L49" s="1145"/>
      <c r="M49" s="1146"/>
      <c r="N49" s="1146"/>
      <c r="O49" s="1146"/>
      <c r="P49" s="3315" t="str">
        <f>A49</f>
        <v>估价对象XX用房的比较价值（楼面单价，元/平方米）</v>
      </c>
      <c r="Q49" s="3316"/>
      <c r="R49" s="3348" t="e">
        <f>IF(F1="售价",ROUND(AVERAGE(R48:V48),0),ROUND(AVERAGE(R48:V48),1))</f>
        <v>#DIV/0!</v>
      </c>
      <c r="S49" s="3348"/>
      <c r="T49" s="3348"/>
      <c r="U49" s="3348"/>
      <c r="V49" s="3348"/>
      <c r="W49" s="33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1"/>
      <c r="Q57" s="503"/>
    </row>
    <row r="58" spans="1:29" s="507" customFormat="1" ht="15">
      <c r="A58" s="504" t="s">
        <v>2585</v>
      </c>
      <c r="B58" s="505"/>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6" customFormat="1" ht="15">
      <c r="A59" s="508"/>
      <c r="B59" s="2632"/>
      <c r="C59" s="1575">
        <v>100</v>
      </c>
      <c r="D59" s="510"/>
      <c r="E59" s="511"/>
      <c r="F59" s="511"/>
      <c r="G59" s="511"/>
      <c r="H59" s="511"/>
      <c r="I59" s="511"/>
      <c r="J59" s="511"/>
      <c r="K59" s="511"/>
      <c r="L59" s="511"/>
      <c r="M59" s="512"/>
      <c r="N59" s="511"/>
      <c r="O59" s="512"/>
      <c r="P59" s="2633"/>
    </row>
    <row r="60" spans="1:29" s="116" customFormat="1" ht="15.75" thickBot="1">
      <c r="A60" s="514" t="s">
        <v>2586</v>
      </c>
      <c r="B60" s="515"/>
      <c r="C60" s="516"/>
      <c r="D60" s="517"/>
      <c r="E60" s="517"/>
      <c r="F60" s="517"/>
      <c r="G60" s="517"/>
      <c r="H60" s="517"/>
      <c r="I60" s="517"/>
      <c r="J60" s="517"/>
      <c r="K60" s="517"/>
      <c r="L60" s="517"/>
      <c r="M60" s="518"/>
      <c r="N60" s="517"/>
      <c r="O60" s="518"/>
      <c r="P60" s="2633"/>
      <c r="Q60" s="503"/>
    </row>
    <row r="61" spans="1:29" s="116" customFormat="1" ht="15">
      <c r="A61" s="520" t="s">
        <v>2587</v>
      </c>
      <c r="B61" s="509"/>
      <c r="C61" s="521" t="s">
        <v>2588</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2589</v>
      </c>
      <c r="B63" s="527" t="s">
        <v>2555</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2611</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6" customFormat="1" ht="15.75" thickTop="1">
      <c r="A88" s="578"/>
      <c r="B88" s="537" t="s">
        <v>2612</v>
      </c>
      <c r="C88" s="553"/>
      <c r="D88" s="553"/>
      <c r="E88" s="553"/>
      <c r="F88" s="2640"/>
      <c r="G88" s="553"/>
      <c r="H88" s="553"/>
      <c r="I88" s="553"/>
      <c r="J88" s="553"/>
      <c r="K88" s="553"/>
      <c r="L88" s="553"/>
      <c r="M88" s="580"/>
      <c r="N88" s="1153"/>
      <c r="O88" s="1153"/>
      <c r="P88" s="263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2564</v>
      </c>
      <c r="B100" s="527" t="s">
        <v>2613</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2615</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2616</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2617</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2618</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2619</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2620</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2621</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5" t="s">
        <v>2626</v>
      </c>
      <c r="D138" s="145" t="s">
        <v>2627</v>
      </c>
      <c r="E138" s="2650" t="s">
        <v>2628</v>
      </c>
      <c r="F138" s="2651" t="s">
        <v>2629</v>
      </c>
      <c r="G138" s="145" t="s">
        <v>2627</v>
      </c>
      <c r="H138" s="146" t="s">
        <v>2628</v>
      </c>
      <c r="I138" s="2652"/>
      <c r="J138" s="145" t="s">
        <v>2630</v>
      </c>
      <c r="K138" s="146" t="s">
        <v>2631</v>
      </c>
    </row>
    <row r="139" spans="1:17" ht="15">
      <c r="B139" s="1086">
        <v>6</v>
      </c>
      <c r="C139" s="1087">
        <v>96</v>
      </c>
      <c r="D139" s="2653" t="s">
        <v>2632</v>
      </c>
      <c r="E139" s="1088">
        <v>100</v>
      </c>
      <c r="F139" s="1089">
        <v>102.5</v>
      </c>
      <c r="G139" s="2653" t="s">
        <v>2632</v>
      </c>
      <c r="H139" s="1090">
        <v>105</v>
      </c>
      <c r="I139" s="2654" t="s">
        <v>2633</v>
      </c>
      <c r="J139" s="1087">
        <v>20</v>
      </c>
      <c r="K139" s="1091">
        <f>C145/(J139-2)</f>
        <v>4.0555555555555553E-3</v>
      </c>
    </row>
    <row r="140" spans="1:17" ht="15">
      <c r="B140" s="1092">
        <v>5</v>
      </c>
      <c r="C140" s="1093">
        <v>100</v>
      </c>
      <c r="D140" s="1093"/>
      <c r="E140" s="1094"/>
      <c r="F140" s="1095">
        <v>102</v>
      </c>
      <c r="G140" s="1093"/>
      <c r="H140" s="1096"/>
      <c r="I140" s="2655" t="s">
        <v>2634</v>
      </c>
      <c r="J140" s="314">
        <f>ROUNDUP((J139-1)/2,0)</f>
        <v>10</v>
      </c>
      <c r="K140" s="1097">
        <v>100</v>
      </c>
    </row>
    <row r="141" spans="1:17" ht="15">
      <c r="B141" s="1092">
        <v>4</v>
      </c>
      <c r="C141" s="1093">
        <v>102</v>
      </c>
      <c r="D141" s="1093"/>
      <c r="E141" s="1094"/>
      <c r="F141" s="1095">
        <v>101.5</v>
      </c>
      <c r="G141" s="1093"/>
      <c r="H141" s="1096"/>
      <c r="I141" s="2655" t="s">
        <v>2635</v>
      </c>
      <c r="J141" s="314">
        <v>1</v>
      </c>
      <c r="K141" s="1098">
        <f>ROUND(100+(J141-J140)*K139*100,1)</f>
        <v>96.4</v>
      </c>
    </row>
    <row r="142" spans="1:17" ht="15">
      <c r="B142" s="1092">
        <v>3</v>
      </c>
      <c r="C142" s="1093">
        <v>103</v>
      </c>
      <c r="D142" s="1093"/>
      <c r="E142" s="1094"/>
      <c r="F142" s="1095">
        <v>101</v>
      </c>
      <c r="G142" s="1093"/>
      <c r="H142" s="1096"/>
      <c r="I142" s="2655" t="s">
        <v>2636</v>
      </c>
      <c r="J142" s="314">
        <f>J139</f>
        <v>20</v>
      </c>
      <c r="K142" s="1099">
        <v>95</v>
      </c>
    </row>
    <row r="143" spans="1:17" ht="15">
      <c r="B143" s="1092">
        <v>2</v>
      </c>
      <c r="C143" s="1093">
        <v>100</v>
      </c>
      <c r="D143" s="1093"/>
      <c r="E143" s="1094"/>
      <c r="F143" s="1095">
        <v>100.5</v>
      </c>
      <c r="G143" s="1093"/>
      <c r="H143" s="1096"/>
      <c r="I143" s="2655" t="s">
        <v>2637</v>
      </c>
      <c r="J143" s="1093">
        <v>15</v>
      </c>
      <c r="K143" s="1098">
        <f>ROUND(100+(J143-J140)*K139*100,1)</f>
        <v>102</v>
      </c>
    </row>
    <row r="144" spans="1:17" ht="15">
      <c r="B144" s="1092">
        <v>1</v>
      </c>
      <c r="C144" s="1093">
        <v>98</v>
      </c>
      <c r="D144" s="2656" t="s">
        <v>2638</v>
      </c>
      <c r="E144" s="1094">
        <v>102</v>
      </c>
      <c r="F144" s="1100">
        <v>100</v>
      </c>
      <c r="G144" s="2656" t="s">
        <v>2638</v>
      </c>
      <c r="H144" s="1096">
        <v>105</v>
      </c>
      <c r="I144" s="2655" t="s">
        <v>2637</v>
      </c>
      <c r="J144" s="1093">
        <v>18</v>
      </c>
      <c r="K144" s="1098">
        <f>ROUND(100+(J144-J140)*K139*100,1)</f>
        <v>103.2</v>
      </c>
    </row>
    <row r="145" spans="2:11" ht="15.75" thickBot="1">
      <c r="B145" s="2657" t="s">
        <v>2639</v>
      </c>
      <c r="C145" s="1101">
        <f>ROUND(MAX(C139:C144)/MIN(C139:C144)-1,3)</f>
        <v>7.2999999999999995E-2</v>
      </c>
      <c r="D145" s="1102"/>
      <c r="E145" s="1102"/>
      <c r="F145" s="2658" t="s">
        <v>2640</v>
      </c>
      <c r="G145" s="2659"/>
      <c r="H145" s="2660"/>
      <c r="I145" s="2661" t="s">
        <v>2637</v>
      </c>
      <c r="J145" s="1103">
        <v>8</v>
      </c>
      <c r="K145" s="1104">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7" t="s">
        <v>2643</v>
      </c>
      <c r="C1" s="1636" t="s">
        <v>2531</v>
      </c>
      <c r="D1" s="1623"/>
      <c r="E1" s="2662"/>
      <c r="F1" s="2589"/>
      <c r="G1" s="1633" t="s">
        <v>2644</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2328</v>
      </c>
      <c r="B2" s="1420" t="e">
        <f ca="1">IF(C2="——",ROUND(C49*D3/10000,0),ROUND(C49*D3/10000,0)-D2)</f>
        <v>#DIV/0!</v>
      </c>
      <c r="C2" s="2591"/>
      <c r="D2" s="1367" t="e">
        <f ca="1">SUMIF(INDIRECT("'"&amp;F2&amp;"'"&amp;"!A:A"),"承租人权益价值",INDIRECT("'"&amp;F2&amp;"'"&amp;"!c:c"))</f>
        <v>#REF!</v>
      </c>
      <c r="E2" s="2592" t="s">
        <v>2329</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2330</v>
      </c>
      <c r="B3" s="608" t="e">
        <f ca="1">IF(C2="——",C49,ROUND(B2*10000/D3,0))</f>
        <v>#DIV/0!</v>
      </c>
      <c r="C3" s="399" t="s">
        <v>2645</v>
      </c>
      <c r="D3" s="398">
        <f>IF(D1="",'数据-汇总表'!E3,SUMIF('数据-汇总表'!$C19:$C33,D1,'数据-汇总表'!$E19:$E33))</f>
        <v>158096.87</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2646</v>
      </c>
      <c r="B4" s="401"/>
      <c r="C4" s="3296" t="s">
        <v>2647</v>
      </c>
      <c r="D4" s="3297"/>
      <c r="E4" s="3298" t="s">
        <v>2648</v>
      </c>
      <c r="F4" s="3299"/>
      <c r="G4" s="3296" t="s">
        <v>2649</v>
      </c>
      <c r="H4" s="3297"/>
      <c r="I4" s="3296" t="s">
        <v>2650</v>
      </c>
      <c r="J4" s="3297"/>
      <c r="K4" s="609" t="s">
        <v>2651</v>
      </c>
      <c r="L4" s="1132"/>
      <c r="M4" s="1133"/>
      <c r="N4" s="1133"/>
      <c r="O4" s="1133"/>
      <c r="P4" s="3300" t="s">
        <v>2652</v>
      </c>
      <c r="Q4" s="3301"/>
      <c r="R4" s="3283" t="s">
        <v>2648</v>
      </c>
      <c r="S4" s="3284"/>
      <c r="T4" s="3283" t="s">
        <v>2649</v>
      </c>
      <c r="U4" s="3284"/>
      <c r="V4" s="3308" t="s">
        <v>2650</v>
      </c>
      <c r="W4" s="3308"/>
      <c r="X4" s="1815"/>
      <c r="Y4" s="3283" t="s">
        <v>2652</v>
      </c>
      <c r="Z4" s="3284"/>
      <c r="AA4" s="3278" t="s">
        <v>2648</v>
      </c>
      <c r="AB4" s="3308" t="s">
        <v>2649</v>
      </c>
      <c r="AC4" s="3278" t="s">
        <v>2650</v>
      </c>
    </row>
    <row r="5" spans="1:29" ht="15">
      <c r="A5" s="403"/>
      <c r="B5" s="404"/>
      <c r="C5" s="3289" t="s">
        <v>2543</v>
      </c>
      <c r="D5" s="3290"/>
      <c r="E5" s="3287" t="s">
        <v>2544</v>
      </c>
      <c r="F5" s="3288"/>
      <c r="G5" s="3289" t="s">
        <v>2545</v>
      </c>
      <c r="H5" s="3290"/>
      <c r="I5" s="3289" t="s">
        <v>2546</v>
      </c>
      <c r="J5" s="3290"/>
      <c r="K5" s="609"/>
      <c r="L5" s="1132"/>
      <c r="M5" s="1133"/>
      <c r="N5" s="1133"/>
      <c r="O5" s="1133"/>
      <c r="P5" s="3302"/>
      <c r="Q5" s="3303"/>
      <c r="R5" s="3285"/>
      <c r="S5" s="3286"/>
      <c r="T5" s="3285"/>
      <c r="U5" s="3286"/>
      <c r="V5" s="3308"/>
      <c r="W5" s="3308"/>
      <c r="X5" s="1815"/>
      <c r="Y5" s="3285"/>
      <c r="Z5" s="3286"/>
      <c r="AA5" s="3279"/>
      <c r="AB5" s="3308"/>
      <c r="AC5" s="3279"/>
    </row>
    <row r="6" spans="1:29" ht="15.75" thickBot="1">
      <c r="A6" s="405"/>
      <c r="B6" s="406"/>
      <c r="C6" s="3291" t="s">
        <v>2547</v>
      </c>
      <c r="D6" s="3292"/>
      <c r="E6" s="3293" t="s">
        <v>2547</v>
      </c>
      <c r="F6" s="3294"/>
      <c r="G6" s="3291" t="s">
        <v>2547</v>
      </c>
      <c r="H6" s="3292"/>
      <c r="I6" s="3291" t="s">
        <v>2547</v>
      </c>
      <c r="J6" s="3292"/>
      <c r="K6" s="609" t="s">
        <v>2548</v>
      </c>
      <c r="L6" s="1132"/>
      <c r="M6" s="1133"/>
      <c r="N6" s="1133"/>
      <c r="O6" s="1133"/>
      <c r="P6" s="3304"/>
      <c r="Q6" s="3305"/>
      <c r="R6" s="3285"/>
      <c r="S6" s="3286"/>
      <c r="T6" s="3306"/>
      <c r="U6" s="3307"/>
      <c r="V6" s="3308"/>
      <c r="W6" s="3308"/>
      <c r="X6" s="1815"/>
      <c r="Y6" s="3306"/>
      <c r="Z6" s="3307"/>
      <c r="AA6" s="3280"/>
      <c r="AB6" s="3308"/>
      <c r="AC6" s="3280"/>
    </row>
    <row r="7" spans="1:29" s="116" customFormat="1" ht="15.75" thickBot="1">
      <c r="A7" s="407" t="s">
        <v>2549</v>
      </c>
      <c r="B7" s="408"/>
      <c r="C7" s="409">
        <f>'数据-取费表'!B2</f>
        <v>43481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81" t="s">
        <v>2550</v>
      </c>
      <c r="Q7" s="3309"/>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81" t="s">
        <v>2553</v>
      </c>
      <c r="Q8" s="3282"/>
      <c r="R8" s="769" t="s">
        <v>17</v>
      </c>
      <c r="S8" s="770">
        <f t="shared" si="0"/>
        <v>0</v>
      </c>
      <c r="T8" s="769" t="s">
        <v>17</v>
      </c>
      <c r="U8" s="770">
        <f t="shared" si="1"/>
        <v>0</v>
      </c>
      <c r="V8" s="769" t="s">
        <v>17</v>
      </c>
      <c r="W8" s="770">
        <f t="shared" si="2"/>
        <v>0</v>
      </c>
      <c r="X8" s="771"/>
      <c r="Y8" s="3281" t="s">
        <v>2553</v>
      </c>
      <c r="Z8" s="3282"/>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9" t="s">
        <v>2556</v>
      </c>
      <c r="Q9" s="1797" t="str">
        <f t="shared" ref="Q9:Q15" si="6">B9</f>
        <v>用途</v>
      </c>
      <c r="R9" s="769" t="s">
        <v>17</v>
      </c>
      <c r="S9" s="770">
        <f t="shared" si="0"/>
        <v>100</v>
      </c>
      <c r="T9" s="769" t="s">
        <v>17</v>
      </c>
      <c r="U9" s="770">
        <f t="shared" si="1"/>
        <v>100</v>
      </c>
      <c r="V9" s="769" t="s">
        <v>17</v>
      </c>
      <c r="W9" s="770">
        <f t="shared" si="2"/>
        <v>100</v>
      </c>
      <c r="X9" s="771"/>
      <c r="Y9" s="3115"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15"/>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15"/>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15"/>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15"/>
      <c r="Z13" s="54">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15"/>
      <c r="Z14" s="54">
        <f t="shared" si="7"/>
        <v>111</v>
      </c>
      <c r="AA14" s="772">
        <f t="shared" si="3"/>
        <v>1</v>
      </c>
      <c r="AB14" s="772">
        <f t="shared" si="4"/>
        <v>1</v>
      </c>
      <c r="AC14" s="772">
        <f t="shared" si="5"/>
        <v>1</v>
      </c>
    </row>
    <row r="15" spans="1:29" ht="71.25">
      <c r="A15" s="439" t="s">
        <v>2560</v>
      </c>
      <c r="B15" s="68" t="s">
        <v>2654</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54" t="s">
        <v>2561</v>
      </c>
      <c r="Q15" s="1812" t="str">
        <f t="shared" si="6"/>
        <v>商业繁华度</v>
      </c>
      <c r="R15" s="773" t="s">
        <v>17</v>
      </c>
      <c r="S15" s="774">
        <f t="shared" si="0"/>
        <v>100</v>
      </c>
      <c r="T15" s="773" t="s">
        <v>17</v>
      </c>
      <c r="U15" s="774">
        <f t="shared" si="1"/>
        <v>100</v>
      </c>
      <c r="V15" s="773" t="s">
        <v>17</v>
      </c>
      <c r="W15" s="774">
        <f t="shared" si="2"/>
        <v>100</v>
      </c>
      <c r="X15" s="1815"/>
      <c r="Y15" s="3310"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55"/>
      <c r="Q16" s="1812"/>
      <c r="R16" s="773"/>
      <c r="S16" s="774"/>
      <c r="T16" s="773"/>
      <c r="U16" s="774"/>
      <c r="V16" s="773"/>
      <c r="W16" s="774"/>
      <c r="X16" s="1815"/>
      <c r="Y16" s="3311"/>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55"/>
      <c r="Q17" s="1812" t="str">
        <f>B17</f>
        <v>交通便捷度</v>
      </c>
      <c r="R17" s="773" t="s">
        <v>17</v>
      </c>
      <c r="S17" s="774">
        <f>F17</f>
        <v>100</v>
      </c>
      <c r="T17" s="773" t="s">
        <v>17</v>
      </c>
      <c r="U17" s="774">
        <f>H17</f>
        <v>100</v>
      </c>
      <c r="V17" s="773" t="s">
        <v>17</v>
      </c>
      <c r="W17" s="774">
        <f>J17</f>
        <v>100</v>
      </c>
      <c r="X17" s="1815"/>
      <c r="Y17" s="3311"/>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355"/>
      <c r="Q18" s="1812"/>
      <c r="R18" s="773"/>
      <c r="S18" s="774"/>
      <c r="T18" s="773"/>
      <c r="U18" s="774"/>
      <c r="V18" s="773"/>
      <c r="W18" s="774"/>
      <c r="X18" s="1815"/>
      <c r="Y18" s="3311"/>
      <c r="Z18" s="1816"/>
      <c r="AA18" s="1813">
        <v>1</v>
      </c>
      <c r="AB18" s="1813">
        <v>1</v>
      </c>
      <c r="AC18" s="1813">
        <v>1</v>
      </c>
    </row>
    <row r="19" spans="1:29" ht="42.75">
      <c r="A19" s="427"/>
      <c r="B19" s="450" t="s">
        <v>2655</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55"/>
      <c r="Q19" s="1812" t="str">
        <f>B19</f>
        <v>公共配套设施</v>
      </c>
      <c r="R19" s="773" t="s">
        <v>17</v>
      </c>
      <c r="S19" s="774">
        <f>F19</f>
        <v>100</v>
      </c>
      <c r="T19" s="773" t="s">
        <v>17</v>
      </c>
      <c r="U19" s="774">
        <f>H19</f>
        <v>100</v>
      </c>
      <c r="V19" s="773" t="s">
        <v>17</v>
      </c>
      <c r="W19" s="774">
        <f>J19</f>
        <v>100</v>
      </c>
      <c r="X19" s="1815"/>
      <c r="Y19" s="3311"/>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355"/>
      <c r="Q20" s="1812"/>
      <c r="R20" s="773"/>
      <c r="S20" s="774"/>
      <c r="T20" s="773"/>
      <c r="U20" s="774"/>
      <c r="V20" s="773"/>
      <c r="W20" s="774"/>
      <c r="X20" s="1815"/>
      <c r="Y20" s="3311"/>
      <c r="Z20" s="1816"/>
      <c r="AA20" s="1813">
        <v>1</v>
      </c>
      <c r="AB20" s="1813">
        <v>1</v>
      </c>
      <c r="AC20" s="1813">
        <v>1</v>
      </c>
    </row>
    <row r="21" spans="1:29" ht="28.5">
      <c r="A21" s="427"/>
      <c r="B21" s="1386" t="s">
        <v>2656</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55"/>
      <c r="Q21" s="1812" t="str">
        <f>B21</f>
        <v>基础设施水平</v>
      </c>
      <c r="R21" s="773" t="s">
        <v>17</v>
      </c>
      <c r="S21" s="774">
        <f>F21</f>
        <v>100</v>
      </c>
      <c r="T21" s="773" t="s">
        <v>17</v>
      </c>
      <c r="U21" s="774">
        <f>H21</f>
        <v>100</v>
      </c>
      <c r="V21" s="773" t="s">
        <v>17</v>
      </c>
      <c r="W21" s="774">
        <f>J21</f>
        <v>100</v>
      </c>
      <c r="X21" s="1815"/>
      <c r="Y21" s="331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355"/>
      <c r="Q22" s="1812"/>
      <c r="R22" s="773"/>
      <c r="S22" s="774"/>
      <c r="T22" s="773"/>
      <c r="U22" s="774"/>
      <c r="V22" s="773"/>
      <c r="W22" s="774"/>
      <c r="X22" s="1815"/>
      <c r="Y22" s="3311"/>
      <c r="Z22" s="1816"/>
      <c r="AA22" s="1813">
        <v>1</v>
      </c>
      <c r="AB22" s="1813">
        <v>1</v>
      </c>
      <c r="AC22" s="1813">
        <v>1</v>
      </c>
    </row>
    <row r="23" spans="1:29" ht="57">
      <c r="A23" s="427"/>
      <c r="B23" s="450" t="s">
        <v>2102</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55"/>
      <c r="Q23" s="1812" t="str">
        <f>B23</f>
        <v>自然及人文环境</v>
      </c>
      <c r="R23" s="773" t="s">
        <v>17</v>
      </c>
      <c r="S23" s="774">
        <f>F23</f>
        <v>100</v>
      </c>
      <c r="T23" s="773" t="s">
        <v>17</v>
      </c>
      <c r="U23" s="774">
        <f>H23</f>
        <v>100</v>
      </c>
      <c r="V23" s="773" t="s">
        <v>17</v>
      </c>
      <c r="W23" s="774">
        <f>J23</f>
        <v>100</v>
      </c>
      <c r="X23" s="1815"/>
      <c r="Y23" s="3311"/>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355"/>
      <c r="Q24" s="1812"/>
      <c r="R24" s="773"/>
      <c r="S24" s="774"/>
      <c r="T24" s="773"/>
      <c r="U24" s="774"/>
      <c r="V24" s="773"/>
      <c r="W24" s="774"/>
      <c r="X24" s="1815"/>
      <c r="Y24" s="3311"/>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55"/>
      <c r="Q25" s="1812" t="str">
        <f t="shared" ref="Q25:Q46" si="11">B25</f>
        <v>临街状况</v>
      </c>
      <c r="R25" s="773" t="s">
        <v>17</v>
      </c>
      <c r="S25" s="774">
        <f>F25</f>
        <v>100</v>
      </c>
      <c r="T25" s="773" t="s">
        <v>17</v>
      </c>
      <c r="U25" s="774">
        <f>H25</f>
        <v>100</v>
      </c>
      <c r="V25" s="773" t="s">
        <v>17</v>
      </c>
      <c r="W25" s="774">
        <f>J25</f>
        <v>100</v>
      </c>
      <c r="X25" s="1815"/>
      <c r="Y25" s="3311"/>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55"/>
      <c r="Q26" s="1812" t="str">
        <f t="shared" si="11"/>
        <v>平面位置/可视性</v>
      </c>
      <c r="R26" s="773" t="s">
        <v>17</v>
      </c>
      <c r="S26" s="774">
        <f>F26</f>
        <v>100</v>
      </c>
      <c r="T26" s="773" t="s">
        <v>17</v>
      </c>
      <c r="U26" s="774">
        <f>H26</f>
        <v>100</v>
      </c>
      <c r="V26" s="773" t="s">
        <v>17</v>
      </c>
      <c r="W26" s="774">
        <f>J26</f>
        <v>100</v>
      </c>
      <c r="X26" s="1815"/>
      <c r="Y26" s="3311"/>
      <c r="Z26" s="1816" t="str">
        <f>Q26</f>
        <v>平面位置/可视性</v>
      </c>
      <c r="AA26" s="1813">
        <f t="shared" si="3"/>
        <v>1</v>
      </c>
      <c r="AB26" s="1813">
        <f t="shared" si="4"/>
        <v>1</v>
      </c>
      <c r="AC26" s="1813">
        <f t="shared" si="5"/>
        <v>1</v>
      </c>
    </row>
    <row r="27" spans="1:29" s="116" customFormat="1" ht="15">
      <c r="A27" s="430"/>
      <c r="B27" s="450" t="s">
        <v>2659</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355"/>
      <c r="Q27" s="1797" t="str">
        <f t="shared" si="11"/>
        <v>人流量</v>
      </c>
      <c r="R27" s="769" t="s">
        <v>17</v>
      </c>
      <c r="S27" s="770">
        <f>F27</f>
        <v>100</v>
      </c>
      <c r="T27" s="769" t="s">
        <v>17</v>
      </c>
      <c r="U27" s="770">
        <f>H27</f>
        <v>100</v>
      </c>
      <c r="V27" s="769" t="s">
        <v>17</v>
      </c>
      <c r="W27" s="770">
        <f>J27</f>
        <v>100</v>
      </c>
      <c r="X27" s="771"/>
      <c r="Y27" s="3311"/>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1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5"/>
      <c r="Q29" s="1812">
        <f t="shared" si="11"/>
        <v>111</v>
      </c>
      <c r="R29" s="773" t="s">
        <v>17</v>
      </c>
      <c r="S29" s="774">
        <f t="shared" si="12"/>
        <v>100</v>
      </c>
      <c r="T29" s="773" t="s">
        <v>17</v>
      </c>
      <c r="U29" s="774">
        <f t="shared" si="13"/>
        <v>100</v>
      </c>
      <c r="V29" s="773" t="s">
        <v>17</v>
      </c>
      <c r="W29" s="774">
        <f t="shared" si="14"/>
        <v>100</v>
      </c>
      <c r="X29" s="1815"/>
      <c r="Y29" s="331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5"/>
      <c r="Q30" s="1812">
        <f t="shared" si="11"/>
        <v>111</v>
      </c>
      <c r="R30" s="773" t="s">
        <v>17</v>
      </c>
      <c r="S30" s="774">
        <f t="shared" si="12"/>
        <v>100</v>
      </c>
      <c r="T30" s="773" t="s">
        <v>17</v>
      </c>
      <c r="U30" s="774">
        <f t="shared" si="13"/>
        <v>100</v>
      </c>
      <c r="V30" s="773" t="s">
        <v>17</v>
      </c>
      <c r="W30" s="774">
        <f t="shared" si="14"/>
        <v>100</v>
      </c>
      <c r="X30" s="1815"/>
      <c r="Y30" s="331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5"/>
      <c r="Q31" s="1812">
        <f t="shared" si="11"/>
        <v>111</v>
      </c>
      <c r="R31" s="773" t="s">
        <v>17</v>
      </c>
      <c r="S31" s="774">
        <f t="shared" si="12"/>
        <v>100</v>
      </c>
      <c r="T31" s="773" t="s">
        <v>17</v>
      </c>
      <c r="U31" s="774">
        <f t="shared" si="13"/>
        <v>100</v>
      </c>
      <c r="V31" s="773" t="s">
        <v>17</v>
      </c>
      <c r="W31" s="774">
        <f t="shared" si="14"/>
        <v>100</v>
      </c>
      <c r="X31" s="1815"/>
      <c r="Y31" s="3311"/>
      <c r="Z31" s="1816">
        <f t="shared" si="15"/>
        <v>111</v>
      </c>
      <c r="AA31" s="1813">
        <f t="shared" si="3"/>
        <v>1</v>
      </c>
      <c r="AB31" s="1813">
        <f t="shared" si="4"/>
        <v>1</v>
      </c>
      <c r="AC31" s="1813">
        <f t="shared" si="5"/>
        <v>1</v>
      </c>
    </row>
    <row r="32" spans="1:29" ht="15">
      <c r="A32" s="439" t="s">
        <v>2564</v>
      </c>
      <c r="B32" s="70" t="s">
        <v>2661</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350" t="s">
        <v>2566</v>
      </c>
      <c r="Q32" s="1812" t="str">
        <f t="shared" si="11"/>
        <v>商业类型</v>
      </c>
      <c r="R32" s="773" t="s">
        <v>17</v>
      </c>
      <c r="S32" s="774">
        <f t="shared" si="12"/>
        <v>100</v>
      </c>
      <c r="T32" s="773" t="s">
        <v>17</v>
      </c>
      <c r="U32" s="774">
        <f t="shared" si="13"/>
        <v>100</v>
      </c>
      <c r="V32" s="773" t="s">
        <v>17</v>
      </c>
      <c r="W32" s="774">
        <f t="shared" si="14"/>
        <v>100</v>
      </c>
      <c r="X32" s="1815"/>
      <c r="Y32" s="3313"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51"/>
      <c r="Q33" s="775" t="str">
        <f t="shared" si="11"/>
        <v>项目建筑规模</v>
      </c>
      <c r="R33" s="776" t="s">
        <v>17</v>
      </c>
      <c r="S33" s="777" t="e">
        <f t="shared" si="12"/>
        <v>#N/A</v>
      </c>
      <c r="T33" s="776" t="s">
        <v>17</v>
      </c>
      <c r="U33" s="777" t="e">
        <f t="shared" si="13"/>
        <v>#N/A</v>
      </c>
      <c r="V33" s="776" t="s">
        <v>17</v>
      </c>
      <c r="W33" s="777" t="e">
        <f t="shared" si="14"/>
        <v>#N/A</v>
      </c>
      <c r="X33" s="778"/>
      <c r="Y33" s="3313"/>
      <c r="Z33" s="779" t="str">
        <f t="shared" si="15"/>
        <v>项目建筑规模</v>
      </c>
      <c r="AA33" s="1813" t="e">
        <f t="shared" si="3"/>
        <v>#N/A</v>
      </c>
      <c r="AB33" s="1813" t="e">
        <f t="shared" si="4"/>
        <v>#N/A</v>
      </c>
      <c r="AC33" s="1813" t="e">
        <f t="shared" si="5"/>
        <v>#N/A</v>
      </c>
    </row>
    <row r="34" spans="1:29" ht="15">
      <c r="A34" s="471"/>
      <c r="B34" s="421" t="s">
        <v>2568</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351"/>
      <c r="Q34" s="1812" t="str">
        <f t="shared" si="11"/>
        <v>建筑结构</v>
      </c>
      <c r="R34" s="773" t="s">
        <v>17</v>
      </c>
      <c r="S34" s="774">
        <f t="shared" si="12"/>
        <v>100</v>
      </c>
      <c r="T34" s="773" t="s">
        <v>17</v>
      </c>
      <c r="U34" s="774">
        <f t="shared" si="13"/>
        <v>100</v>
      </c>
      <c r="V34" s="773" t="s">
        <v>17</v>
      </c>
      <c r="W34" s="774">
        <f t="shared" si="14"/>
        <v>100</v>
      </c>
      <c r="X34" s="1815"/>
      <c r="Y34" s="3313"/>
      <c r="Z34" s="1816" t="str">
        <f t="shared" si="15"/>
        <v>建筑结构</v>
      </c>
      <c r="AA34" s="1813">
        <f t="shared" si="3"/>
        <v>1</v>
      </c>
      <c r="AB34" s="1813">
        <f t="shared" si="4"/>
        <v>1</v>
      </c>
      <c r="AC34" s="1813">
        <f t="shared" si="5"/>
        <v>1</v>
      </c>
    </row>
    <row r="35" spans="1:29" ht="15">
      <c r="A35" s="471"/>
      <c r="B35" s="421" t="s">
        <v>2662</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351"/>
      <c r="Q35" s="1812" t="str">
        <f t="shared" si="11"/>
        <v>公共部分装修</v>
      </c>
      <c r="R35" s="773" t="s">
        <v>17</v>
      </c>
      <c r="S35" s="774">
        <f t="shared" si="12"/>
        <v>100</v>
      </c>
      <c r="T35" s="773" t="s">
        <v>17</v>
      </c>
      <c r="U35" s="774">
        <f t="shared" si="13"/>
        <v>100</v>
      </c>
      <c r="V35" s="773" t="s">
        <v>17</v>
      </c>
      <c r="W35" s="774">
        <f t="shared" si="14"/>
        <v>100</v>
      </c>
      <c r="X35" s="1815"/>
      <c r="Y35" s="3313"/>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51"/>
      <c r="Q36" s="1812" t="str">
        <f t="shared" si="11"/>
        <v>成新度</v>
      </c>
      <c r="R36" s="773" t="s">
        <v>17</v>
      </c>
      <c r="S36" s="774" t="e">
        <f t="shared" si="12"/>
        <v>#N/A</v>
      </c>
      <c r="T36" s="773" t="s">
        <v>17</v>
      </c>
      <c r="U36" s="774" t="e">
        <f t="shared" si="13"/>
        <v>#N/A</v>
      </c>
      <c r="V36" s="773" t="s">
        <v>17</v>
      </c>
      <c r="W36" s="774" t="e">
        <f t="shared" si="14"/>
        <v>#N/A</v>
      </c>
      <c r="X36" s="1815"/>
      <c r="Y36" s="3313"/>
      <c r="Z36" s="1816" t="str">
        <f t="shared" si="15"/>
        <v>成新度</v>
      </c>
      <c r="AA36" s="1813" t="e">
        <f t="shared" si="3"/>
        <v>#N/A</v>
      </c>
      <c r="AB36" s="1813" t="e">
        <f t="shared" si="4"/>
        <v>#N/A</v>
      </c>
      <c r="AC36" s="1813" t="e">
        <f t="shared" si="5"/>
        <v>#N/A</v>
      </c>
    </row>
    <row r="37" spans="1:29" s="116" customFormat="1" ht="15">
      <c r="A37" s="472"/>
      <c r="B37" s="421" t="s">
        <v>2664</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351"/>
      <c r="Q37" s="1797" t="str">
        <f t="shared" si="11"/>
        <v>市政基础设施</v>
      </c>
      <c r="R37" s="769" t="s">
        <v>17</v>
      </c>
      <c r="S37" s="770">
        <f t="shared" si="12"/>
        <v>100</v>
      </c>
      <c r="T37" s="769" t="s">
        <v>17</v>
      </c>
      <c r="U37" s="770">
        <f t="shared" si="13"/>
        <v>100</v>
      </c>
      <c r="V37" s="769" t="s">
        <v>17</v>
      </c>
      <c r="W37" s="770">
        <f t="shared" si="14"/>
        <v>100</v>
      </c>
      <c r="X37" s="771"/>
      <c r="Y37" s="3313"/>
      <c r="Z37" s="54" t="str">
        <f t="shared" si="15"/>
        <v>市政基础设施</v>
      </c>
      <c r="AA37" s="772">
        <f t="shared" si="3"/>
        <v>1</v>
      </c>
      <c r="AB37" s="772">
        <f t="shared" si="4"/>
        <v>1</v>
      </c>
      <c r="AC37" s="772">
        <f t="shared" si="5"/>
        <v>1</v>
      </c>
    </row>
    <row r="38" spans="1:29" ht="15">
      <c r="A38" s="471"/>
      <c r="B38" s="421" t="s">
        <v>2665</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351" t="s">
        <v>2566</v>
      </c>
      <c r="Q38" s="1812" t="str">
        <f t="shared" si="11"/>
        <v>业态</v>
      </c>
      <c r="R38" s="773" t="s">
        <v>17</v>
      </c>
      <c r="S38" s="774">
        <f t="shared" si="12"/>
        <v>100</v>
      </c>
      <c r="T38" s="773" t="s">
        <v>17</v>
      </c>
      <c r="U38" s="774">
        <f t="shared" si="13"/>
        <v>100</v>
      </c>
      <c r="V38" s="773" t="s">
        <v>17</v>
      </c>
      <c r="W38" s="774">
        <f t="shared" si="14"/>
        <v>100</v>
      </c>
      <c r="X38" s="1815"/>
      <c r="Y38" s="3313" t="s">
        <v>2566</v>
      </c>
      <c r="Z38" s="1816" t="str">
        <f t="shared" si="15"/>
        <v>业态</v>
      </c>
      <c r="AA38" s="1813">
        <f t="shared" si="3"/>
        <v>1</v>
      </c>
      <c r="AB38" s="1813">
        <f t="shared" si="4"/>
        <v>1</v>
      </c>
      <c r="AC38" s="1813">
        <f t="shared" si="5"/>
        <v>1</v>
      </c>
    </row>
    <row r="39" spans="1:29" ht="15">
      <c r="A39" s="471"/>
      <c r="B39" s="421" t="s">
        <v>2666</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351"/>
      <c r="Q39" s="1812" t="str">
        <f t="shared" si="11"/>
        <v>层高</v>
      </c>
      <c r="R39" s="773" t="s">
        <v>17</v>
      </c>
      <c r="S39" s="774">
        <f t="shared" si="12"/>
        <v>100</v>
      </c>
      <c r="T39" s="773" t="s">
        <v>17</v>
      </c>
      <c r="U39" s="774">
        <f t="shared" si="13"/>
        <v>100</v>
      </c>
      <c r="V39" s="773" t="s">
        <v>17</v>
      </c>
      <c r="W39" s="774">
        <f t="shared" si="14"/>
        <v>100</v>
      </c>
      <c r="X39" s="1815"/>
      <c r="Y39" s="3313"/>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51"/>
      <c r="Q40" s="1812" t="str">
        <f t="shared" si="11"/>
        <v>单套建筑面积</v>
      </c>
      <c r="R40" s="773" t="s">
        <v>17</v>
      </c>
      <c r="S40" s="774">
        <f t="shared" si="12"/>
        <v>100</v>
      </c>
      <c r="T40" s="773" t="s">
        <v>17</v>
      </c>
      <c r="U40" s="774">
        <f t="shared" si="13"/>
        <v>100</v>
      </c>
      <c r="V40" s="773" t="s">
        <v>17</v>
      </c>
      <c r="W40" s="774">
        <f t="shared" si="14"/>
        <v>100</v>
      </c>
      <c r="X40" s="1815"/>
      <c r="Y40" s="3313"/>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51"/>
      <c r="Q41" s="775" t="str">
        <f t="shared" si="11"/>
        <v>进深比</v>
      </c>
      <c r="R41" s="776" t="s">
        <v>17</v>
      </c>
      <c r="S41" s="777">
        <f t="shared" si="12"/>
        <v>100</v>
      </c>
      <c r="T41" s="776" t="s">
        <v>17</v>
      </c>
      <c r="U41" s="777">
        <f t="shared" si="13"/>
        <v>100</v>
      </c>
      <c r="V41" s="776" t="s">
        <v>17</v>
      </c>
      <c r="W41" s="777">
        <f t="shared" si="14"/>
        <v>100</v>
      </c>
      <c r="X41" s="778"/>
      <c r="Y41" s="3313"/>
      <c r="Z41" s="779" t="str">
        <f t="shared" si="15"/>
        <v>进深比</v>
      </c>
      <c r="AA41" s="1813">
        <f t="shared" si="3"/>
        <v>1</v>
      </c>
      <c r="AB41" s="1813">
        <f t="shared" si="4"/>
        <v>1</v>
      </c>
      <c r="AC41" s="1813">
        <f t="shared" si="5"/>
        <v>1</v>
      </c>
    </row>
    <row r="42" spans="1:29" ht="15">
      <c r="A42" s="471"/>
      <c r="B42" s="421" t="s">
        <v>2669</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351"/>
      <c r="Q42" s="1812" t="str">
        <f t="shared" si="11"/>
        <v>内部装修</v>
      </c>
      <c r="R42" s="773" t="s">
        <v>17</v>
      </c>
      <c r="S42" s="774">
        <f t="shared" si="12"/>
        <v>100</v>
      </c>
      <c r="T42" s="773" t="s">
        <v>17</v>
      </c>
      <c r="U42" s="774">
        <f t="shared" si="13"/>
        <v>100</v>
      </c>
      <c r="V42" s="773" t="s">
        <v>17</v>
      </c>
      <c r="W42" s="774">
        <f t="shared" si="14"/>
        <v>100</v>
      </c>
      <c r="X42" s="1815"/>
      <c r="Y42" s="3313"/>
      <c r="Z42" s="1816" t="str">
        <f t="shared" si="15"/>
        <v>内部装修</v>
      </c>
      <c r="AA42" s="1813">
        <f t="shared" si="3"/>
        <v>1</v>
      </c>
      <c r="AB42" s="1813">
        <f t="shared" si="4"/>
        <v>1</v>
      </c>
      <c r="AC42" s="1813">
        <f t="shared" si="5"/>
        <v>1</v>
      </c>
    </row>
    <row r="43" spans="1:29" ht="15">
      <c r="A43" s="471"/>
      <c r="B43" s="421" t="s">
        <v>2577</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351"/>
      <c r="Q43" s="1812" t="str">
        <f t="shared" si="11"/>
        <v>内部装修维护情况</v>
      </c>
      <c r="R43" s="773" t="s">
        <v>17</v>
      </c>
      <c r="S43" s="774">
        <f t="shared" si="12"/>
        <v>100</v>
      </c>
      <c r="T43" s="773" t="s">
        <v>17</v>
      </c>
      <c r="U43" s="774">
        <f t="shared" si="13"/>
        <v>100</v>
      </c>
      <c r="V43" s="773" t="s">
        <v>17</v>
      </c>
      <c r="W43" s="774">
        <f t="shared" si="14"/>
        <v>100</v>
      </c>
      <c r="X43" s="1815"/>
      <c r="Y43" s="3313"/>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51"/>
      <c r="Q44" s="1797">
        <f t="shared" si="11"/>
        <v>111</v>
      </c>
      <c r="R44" s="769" t="s">
        <v>17</v>
      </c>
      <c r="S44" s="770">
        <f t="shared" si="12"/>
        <v>100</v>
      </c>
      <c r="T44" s="769" t="s">
        <v>17</v>
      </c>
      <c r="U44" s="770">
        <f t="shared" si="13"/>
        <v>100</v>
      </c>
      <c r="V44" s="769" t="s">
        <v>17</v>
      </c>
      <c r="W44" s="770">
        <f t="shared" si="14"/>
        <v>100</v>
      </c>
      <c r="X44" s="771"/>
      <c r="Y44" s="3313"/>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51"/>
      <c r="Q45" s="1812">
        <f t="shared" si="11"/>
        <v>111</v>
      </c>
      <c r="R45" s="773" t="s">
        <v>17</v>
      </c>
      <c r="S45" s="774">
        <f t="shared" si="12"/>
        <v>100</v>
      </c>
      <c r="T45" s="773" t="s">
        <v>17</v>
      </c>
      <c r="U45" s="774">
        <f t="shared" si="13"/>
        <v>100</v>
      </c>
      <c r="V45" s="773" t="s">
        <v>17</v>
      </c>
      <c r="W45" s="774">
        <f t="shared" si="14"/>
        <v>100</v>
      </c>
      <c r="X45" s="1815"/>
      <c r="Y45" s="3313"/>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52"/>
      <c r="Q46" s="1812">
        <f t="shared" si="11"/>
        <v>111</v>
      </c>
      <c r="R46" s="773" t="s">
        <v>17</v>
      </c>
      <c r="S46" s="774">
        <f t="shared" si="12"/>
        <v>100</v>
      </c>
      <c r="T46" s="773" t="s">
        <v>17</v>
      </c>
      <c r="U46" s="774">
        <f t="shared" si="13"/>
        <v>100</v>
      </c>
      <c r="V46" s="773" t="s">
        <v>17</v>
      </c>
      <c r="W46" s="774">
        <f t="shared" si="14"/>
        <v>100</v>
      </c>
      <c r="X46" s="1815"/>
      <c r="Y46" s="3353"/>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95" t="str">
        <f>A47</f>
        <v>成交单价（元/平方米）</v>
      </c>
      <c r="Q47" s="3295"/>
      <c r="R47" s="3308">
        <f>E47</f>
        <v>0</v>
      </c>
      <c r="S47" s="3308"/>
      <c r="T47" s="3308">
        <f>G47</f>
        <v>0</v>
      </c>
      <c r="U47" s="3308"/>
      <c r="V47" s="3308">
        <f>I47</f>
        <v>0</v>
      </c>
      <c r="W47" s="3308"/>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95" t="str">
        <f>A48</f>
        <v>比较价值（元/平方米）</v>
      </c>
      <c r="Q48" s="3295"/>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315" t="str">
        <f>A49</f>
        <v>估价对象XX用房的比较价值（楼面单价，元/平方米）</v>
      </c>
      <c r="Q49" s="3316"/>
      <c r="R49" s="3348" t="e">
        <f>IF(F1="售价",ROUND(AVERAGE(R48:V48),0),ROUND(AVERAGE(R48:V48),1))</f>
        <v>#DIV/0!</v>
      </c>
      <c r="S49" s="3348"/>
      <c r="T49" s="3348"/>
      <c r="U49" s="3348"/>
      <c r="V49" s="3348"/>
      <c r="W49" s="33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2549</v>
      </c>
      <c r="B58" s="505"/>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6" customFormat="1" ht="15">
      <c r="A59" s="508"/>
      <c r="B59" s="509"/>
      <c r="C59" s="1575">
        <v>100</v>
      </c>
      <c r="D59" s="511"/>
      <c r="E59" s="511"/>
      <c r="F59" s="511"/>
      <c r="G59" s="511"/>
      <c r="H59" s="511"/>
      <c r="I59" s="511"/>
      <c r="J59" s="511"/>
      <c r="K59" s="511"/>
      <c r="L59" s="511"/>
      <c r="M59" s="512"/>
      <c r="N59" s="511"/>
      <c r="O59" s="512"/>
      <c r="P59" s="2633"/>
    </row>
    <row r="60" spans="1:29" s="116" customFormat="1" ht="15.75" thickBot="1">
      <c r="A60" s="514" t="s">
        <v>2586</v>
      </c>
      <c r="B60" s="515"/>
      <c r="C60" s="516"/>
      <c r="D60" s="517"/>
      <c r="E60" s="517"/>
      <c r="F60" s="517"/>
      <c r="G60" s="517"/>
      <c r="H60" s="517"/>
      <c r="I60" s="517"/>
      <c r="J60" s="517"/>
      <c r="K60" s="517"/>
      <c r="L60" s="517"/>
      <c r="M60" s="518"/>
      <c r="N60" s="517"/>
      <c r="O60" s="518"/>
      <c r="P60" s="2633"/>
      <c r="Q60" s="503"/>
    </row>
    <row r="61" spans="1:29" s="116" customFormat="1" ht="15">
      <c r="A61" s="520" t="s">
        <v>2551</v>
      </c>
      <c r="B61" s="509"/>
      <c r="C61" s="521" t="s">
        <v>2653</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2589</v>
      </c>
      <c r="B63" s="527" t="s">
        <v>2555</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2681</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6"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6"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2564</v>
      </c>
      <c r="B100" s="527" t="s">
        <v>2682</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2615</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2617</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2683</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2684</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2685</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2621</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4" t="s">
        <v>2687</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91"/>
      <c r="D2" s="1367" t="e">
        <f ca="1">SUMIF(INDIRECT("'"&amp;F2&amp;"'"&amp;"!A:A"),"承租人权益价值",INDIRECT("'"&amp;F2&amp;"'"&amp;"!c:c"))</f>
        <v>#REF!</v>
      </c>
      <c r="E2" s="2592" t="s">
        <v>2329</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158096.87</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96" t="s">
        <v>2647</v>
      </c>
      <c r="D4" s="3297"/>
      <c r="E4" s="3298" t="s">
        <v>2648</v>
      </c>
      <c r="F4" s="3299"/>
      <c r="G4" s="3296" t="s">
        <v>2649</v>
      </c>
      <c r="H4" s="3297"/>
      <c r="I4" s="3296" t="s">
        <v>2650</v>
      </c>
      <c r="J4" s="3297"/>
      <c r="K4" s="609" t="s">
        <v>2651</v>
      </c>
      <c r="L4" s="1132"/>
      <c r="M4" s="1133"/>
      <c r="N4" s="1133"/>
      <c r="O4" s="1133"/>
      <c r="P4" s="3362" t="s">
        <v>2652</v>
      </c>
      <c r="Q4" s="3363"/>
      <c r="R4" s="3357" t="s">
        <v>2648</v>
      </c>
      <c r="S4" s="3358"/>
      <c r="T4" s="3357" t="s">
        <v>2649</v>
      </c>
      <c r="U4" s="3358"/>
      <c r="V4" s="3366" t="s">
        <v>2650</v>
      </c>
      <c r="W4" s="3366"/>
      <c r="X4" s="2675"/>
      <c r="Y4" s="3357" t="s">
        <v>2652</v>
      </c>
      <c r="Z4" s="3358"/>
      <c r="AA4" s="3356" t="s">
        <v>2648</v>
      </c>
      <c r="AB4" s="3356" t="s">
        <v>2649</v>
      </c>
      <c r="AC4" s="3359" t="s">
        <v>2650</v>
      </c>
    </row>
    <row r="5" spans="1:29" ht="15">
      <c r="A5" s="403"/>
      <c r="B5" s="404"/>
      <c r="C5" s="3289" t="s">
        <v>2543</v>
      </c>
      <c r="D5" s="3290"/>
      <c r="E5" s="3287" t="s">
        <v>2544</v>
      </c>
      <c r="F5" s="3288"/>
      <c r="G5" s="3289" t="s">
        <v>2545</v>
      </c>
      <c r="H5" s="3290"/>
      <c r="I5" s="3289" t="s">
        <v>2546</v>
      </c>
      <c r="J5" s="3290"/>
      <c r="K5" s="609"/>
      <c r="L5" s="1132"/>
      <c r="M5" s="1133"/>
      <c r="N5" s="1133"/>
      <c r="O5" s="1133"/>
      <c r="P5" s="3364"/>
      <c r="Q5" s="3303"/>
      <c r="R5" s="3285"/>
      <c r="S5" s="3286"/>
      <c r="T5" s="3285"/>
      <c r="U5" s="3286"/>
      <c r="V5" s="3308"/>
      <c r="W5" s="3308"/>
      <c r="X5" s="1815"/>
      <c r="Y5" s="3285"/>
      <c r="Z5" s="3286"/>
      <c r="AA5" s="3279"/>
      <c r="AB5" s="3279"/>
      <c r="AC5" s="3360"/>
    </row>
    <row r="6" spans="1:29" ht="15.75" thickBot="1">
      <c r="A6" s="405"/>
      <c r="B6" s="406"/>
      <c r="C6" s="3291" t="s">
        <v>2547</v>
      </c>
      <c r="D6" s="3292"/>
      <c r="E6" s="3293" t="s">
        <v>2547</v>
      </c>
      <c r="F6" s="3294"/>
      <c r="G6" s="3291" t="s">
        <v>2547</v>
      </c>
      <c r="H6" s="3292"/>
      <c r="I6" s="3291" t="s">
        <v>2547</v>
      </c>
      <c r="J6" s="3292"/>
      <c r="K6" s="609" t="s">
        <v>2548</v>
      </c>
      <c r="L6" s="1132"/>
      <c r="M6" s="1133"/>
      <c r="N6" s="1133"/>
      <c r="O6" s="1133"/>
      <c r="P6" s="3365"/>
      <c r="Q6" s="3305"/>
      <c r="R6" s="3285"/>
      <c r="S6" s="3286"/>
      <c r="T6" s="3306"/>
      <c r="U6" s="3307"/>
      <c r="V6" s="3308"/>
      <c r="W6" s="3308"/>
      <c r="X6" s="1815"/>
      <c r="Y6" s="3306"/>
      <c r="Z6" s="3307"/>
      <c r="AA6" s="3280"/>
      <c r="AB6" s="3280"/>
      <c r="AC6" s="3361"/>
    </row>
    <row r="7" spans="1:29" s="116" customFormat="1" ht="15.75" thickBot="1">
      <c r="A7" s="407" t="s">
        <v>2549</v>
      </c>
      <c r="B7" s="408"/>
      <c r="C7" s="409">
        <f>'数据-取费表'!B2</f>
        <v>43481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67" t="s">
        <v>2550</v>
      </c>
      <c r="Q7" s="3309"/>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2676"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67" t="s">
        <v>2553</v>
      </c>
      <c r="Q8" s="3282"/>
      <c r="R8" s="769" t="s">
        <v>17</v>
      </c>
      <c r="S8" s="770">
        <f t="shared" si="0"/>
        <v>0</v>
      </c>
      <c r="T8" s="769" t="s">
        <v>17</v>
      </c>
      <c r="U8" s="770">
        <f t="shared" si="1"/>
        <v>0</v>
      </c>
      <c r="V8" s="769" t="s">
        <v>17</v>
      </c>
      <c r="W8" s="770">
        <f t="shared" si="2"/>
        <v>0</v>
      </c>
      <c r="X8" s="771"/>
      <c r="Y8" s="3281" t="s">
        <v>2553</v>
      </c>
      <c r="Z8" s="3282"/>
      <c r="AA8" s="772" t="e">
        <f t="shared" ref="AA8:AA47" si="3">D8/F8</f>
        <v>#DIV/0!</v>
      </c>
      <c r="AB8" s="772" t="e">
        <f t="shared" ref="AB8:AB47" si="4">D8/H8</f>
        <v>#DIV/0!</v>
      </c>
      <c r="AC8" s="2676"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9" t="s">
        <v>2556</v>
      </c>
      <c r="Q9" s="1797" t="str">
        <f t="shared" ref="Q9:Q15" si="6">B9</f>
        <v>用途</v>
      </c>
      <c r="R9" s="769" t="s">
        <v>17</v>
      </c>
      <c r="S9" s="770">
        <f t="shared" si="0"/>
        <v>100</v>
      </c>
      <c r="T9" s="769" t="s">
        <v>17</v>
      </c>
      <c r="U9" s="770">
        <f t="shared" si="1"/>
        <v>100</v>
      </c>
      <c r="V9" s="769" t="s">
        <v>17</v>
      </c>
      <c r="W9" s="770">
        <f t="shared" si="2"/>
        <v>100</v>
      </c>
      <c r="X9" s="771"/>
      <c r="Y9" s="3115" t="s">
        <v>2557</v>
      </c>
      <c r="Z9" s="54" t="str">
        <f t="shared" ref="Z9:Z15" si="7">Q9</f>
        <v>用途</v>
      </c>
      <c r="AA9" s="772">
        <f t="shared" si="3"/>
        <v>1</v>
      </c>
      <c r="AB9" s="772">
        <f t="shared" si="4"/>
        <v>1</v>
      </c>
      <c r="AC9" s="2676">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15"/>
      <c r="Z10" s="54" t="str">
        <f t="shared" si="7"/>
        <v>土地使用年限（年）</v>
      </c>
      <c r="AA10" s="772">
        <f t="shared" si="3"/>
        <v>1</v>
      </c>
      <c r="AB10" s="772">
        <f t="shared" si="4"/>
        <v>1</v>
      </c>
      <c r="AC10" s="2676">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15"/>
      <c r="Z11" s="54" t="str">
        <f t="shared" si="7"/>
        <v>容积率</v>
      </c>
      <c r="AA11" s="772" t="e">
        <f t="shared" si="3"/>
        <v>#N/A</v>
      </c>
      <c r="AB11" s="772" t="e">
        <f t="shared" si="4"/>
        <v>#N/A</v>
      </c>
      <c r="AC11" s="2676" t="e">
        <f t="shared" si="5"/>
        <v>#N/A</v>
      </c>
    </row>
    <row r="12" spans="1:29" s="116"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15"/>
      <c r="Z12" s="54">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15"/>
      <c r="Z13" s="54">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15"/>
      <c r="Z14" s="54">
        <f t="shared" si="7"/>
        <v>111</v>
      </c>
      <c r="AA14" s="772">
        <f t="shared" si="3"/>
        <v>1</v>
      </c>
      <c r="AB14" s="772">
        <f t="shared" si="4"/>
        <v>1</v>
      </c>
      <c r="AC14" s="2676">
        <f t="shared" si="5"/>
        <v>1</v>
      </c>
    </row>
    <row r="15" spans="1:29" ht="71.25">
      <c r="A15" s="439" t="s">
        <v>2560</v>
      </c>
      <c r="B15" s="628" t="s">
        <v>2688</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54" t="s">
        <v>2561</v>
      </c>
      <c r="Q15" s="1812" t="str">
        <f t="shared" si="6"/>
        <v>办公集聚程度</v>
      </c>
      <c r="R15" s="773" t="s">
        <v>17</v>
      </c>
      <c r="S15" s="774">
        <f t="shared" si="0"/>
        <v>100</v>
      </c>
      <c r="T15" s="773" t="s">
        <v>17</v>
      </c>
      <c r="U15" s="774">
        <f t="shared" si="1"/>
        <v>100</v>
      </c>
      <c r="V15" s="773" t="s">
        <v>17</v>
      </c>
      <c r="W15" s="774">
        <f t="shared" si="2"/>
        <v>100</v>
      </c>
      <c r="X15" s="1815"/>
      <c r="Y15" s="3310" t="s">
        <v>2561</v>
      </c>
      <c r="Z15" s="1816" t="str">
        <f t="shared" si="7"/>
        <v>办公集聚程度</v>
      </c>
      <c r="AA15" s="1813">
        <f t="shared" si="3"/>
        <v>1</v>
      </c>
      <c r="AB15" s="1813">
        <f t="shared" si="4"/>
        <v>1</v>
      </c>
      <c r="AC15" s="2679">
        <f t="shared" si="5"/>
        <v>1</v>
      </c>
    </row>
    <row r="16" spans="1:29" ht="15">
      <c r="A16" s="427"/>
      <c r="B16" s="629"/>
      <c r="C16" s="2616"/>
      <c r="D16" s="447"/>
      <c r="E16" s="446"/>
      <c r="F16" s="447"/>
      <c r="G16" s="2616"/>
      <c r="H16" s="449"/>
      <c r="I16" s="446"/>
      <c r="J16" s="447"/>
      <c r="K16" s="614"/>
      <c r="L16" s="1142"/>
      <c r="M16" s="1133"/>
      <c r="N16" s="1133"/>
      <c r="O16" s="1133"/>
      <c r="P16" s="3355"/>
      <c r="Q16" s="1812"/>
      <c r="R16" s="773"/>
      <c r="S16" s="774"/>
      <c r="T16" s="773"/>
      <c r="U16" s="774"/>
      <c r="V16" s="773"/>
      <c r="W16" s="774"/>
      <c r="X16" s="1815"/>
      <c r="Y16" s="3311"/>
      <c r="Z16" s="1816"/>
      <c r="AA16" s="1813">
        <v>1</v>
      </c>
      <c r="AB16" s="1813">
        <v>1</v>
      </c>
      <c r="AC16" s="2679">
        <v>1</v>
      </c>
    </row>
    <row r="17" spans="1:29" ht="71.25">
      <c r="A17" s="427"/>
      <c r="B17" s="630" t="s">
        <v>2097</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55"/>
      <c r="Q17" s="1812" t="str">
        <f>B17</f>
        <v>交通便捷度</v>
      </c>
      <c r="R17" s="773" t="s">
        <v>17</v>
      </c>
      <c r="S17" s="774">
        <f>F17</f>
        <v>100</v>
      </c>
      <c r="T17" s="773" t="s">
        <v>17</v>
      </c>
      <c r="U17" s="774">
        <f>H17</f>
        <v>100</v>
      </c>
      <c r="V17" s="773" t="s">
        <v>17</v>
      </c>
      <c r="W17" s="774">
        <f>J17</f>
        <v>100</v>
      </c>
      <c r="X17" s="1815"/>
      <c r="Y17" s="3311"/>
      <c r="Z17" s="1816" t="str">
        <f>Q17</f>
        <v>交通便捷度</v>
      </c>
      <c r="AA17" s="1813">
        <f t="shared" si="3"/>
        <v>1</v>
      </c>
      <c r="AB17" s="1813">
        <f t="shared" si="4"/>
        <v>1</v>
      </c>
      <c r="AC17" s="2679">
        <f t="shared" si="5"/>
        <v>1</v>
      </c>
    </row>
    <row r="18" spans="1:29" ht="15">
      <c r="A18" s="427"/>
      <c r="B18" s="631"/>
      <c r="C18" s="2681"/>
      <c r="D18" s="449"/>
      <c r="E18" s="2614"/>
      <c r="F18" s="449"/>
      <c r="G18" s="2615"/>
      <c r="H18" s="447"/>
      <c r="I18" s="2615"/>
      <c r="J18" s="447"/>
      <c r="K18" s="614"/>
      <c r="L18" s="1142"/>
      <c r="M18" s="1133"/>
      <c r="N18" s="1133"/>
      <c r="O18" s="1133"/>
      <c r="P18" s="3355"/>
      <c r="Q18" s="1812"/>
      <c r="R18" s="773"/>
      <c r="S18" s="774"/>
      <c r="T18" s="773"/>
      <c r="U18" s="774"/>
      <c r="V18" s="773"/>
      <c r="W18" s="774"/>
      <c r="X18" s="1815"/>
      <c r="Y18" s="3311"/>
      <c r="Z18" s="1816"/>
      <c r="AA18" s="1813">
        <v>1</v>
      </c>
      <c r="AB18" s="1813">
        <v>1</v>
      </c>
      <c r="AC18" s="2679">
        <v>1</v>
      </c>
    </row>
    <row r="19" spans="1:29" ht="42.75">
      <c r="A19" s="427"/>
      <c r="B19" s="630" t="s">
        <v>2689</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55"/>
      <c r="Q19" s="1812" t="str">
        <f>B19</f>
        <v>公共配套设施</v>
      </c>
      <c r="R19" s="773" t="s">
        <v>17</v>
      </c>
      <c r="S19" s="774">
        <f>F19</f>
        <v>100</v>
      </c>
      <c r="T19" s="773" t="s">
        <v>17</v>
      </c>
      <c r="U19" s="774">
        <f>H19</f>
        <v>100</v>
      </c>
      <c r="V19" s="773" t="s">
        <v>17</v>
      </c>
      <c r="W19" s="774">
        <f>J19</f>
        <v>100</v>
      </c>
      <c r="X19" s="1815"/>
      <c r="Y19" s="3311"/>
      <c r="Z19" s="1816" t="str">
        <f>Q19</f>
        <v>公共配套设施</v>
      </c>
      <c r="AA19" s="1813">
        <f t="shared" si="3"/>
        <v>1</v>
      </c>
      <c r="AB19" s="1813">
        <f t="shared" si="4"/>
        <v>1</v>
      </c>
      <c r="AC19" s="2679">
        <f t="shared" si="5"/>
        <v>1</v>
      </c>
    </row>
    <row r="20" spans="1:29" ht="15">
      <c r="A20" s="427"/>
      <c r="B20" s="631"/>
      <c r="C20" s="2616"/>
      <c r="D20" s="447"/>
      <c r="E20" s="2609"/>
      <c r="F20" s="447"/>
      <c r="G20" s="2610"/>
      <c r="H20" s="447"/>
      <c r="I20" s="2610"/>
      <c r="J20" s="447"/>
      <c r="K20" s="614"/>
      <c r="L20" s="1142"/>
      <c r="M20" s="1133"/>
      <c r="N20" s="1133"/>
      <c r="O20" s="1133"/>
      <c r="P20" s="3355"/>
      <c r="Q20" s="1812"/>
      <c r="R20" s="773"/>
      <c r="S20" s="774"/>
      <c r="T20" s="773"/>
      <c r="U20" s="774"/>
      <c r="V20" s="773"/>
      <c r="W20" s="774"/>
      <c r="X20" s="1815"/>
      <c r="Y20" s="3311"/>
      <c r="Z20" s="1816"/>
      <c r="AA20" s="1813">
        <v>1</v>
      </c>
      <c r="AB20" s="1813">
        <v>1</v>
      </c>
      <c r="AC20" s="2679">
        <v>1</v>
      </c>
    </row>
    <row r="21" spans="1:29" ht="28.5">
      <c r="A21" s="427"/>
      <c r="B21" s="632" t="s">
        <v>2690</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55"/>
      <c r="Q21" s="1812" t="str">
        <f>B21</f>
        <v>基础设施水平</v>
      </c>
      <c r="R21" s="773" t="s">
        <v>17</v>
      </c>
      <c r="S21" s="774">
        <f>F21</f>
        <v>100</v>
      </c>
      <c r="T21" s="773" t="s">
        <v>17</v>
      </c>
      <c r="U21" s="774">
        <f>H21</f>
        <v>100</v>
      </c>
      <c r="V21" s="773" t="s">
        <v>17</v>
      </c>
      <c r="W21" s="774">
        <f>J21</f>
        <v>100</v>
      </c>
      <c r="X21" s="1815"/>
      <c r="Y21" s="3311"/>
      <c r="Z21" s="1816" t="str">
        <f>Q21</f>
        <v>基础设施水平</v>
      </c>
      <c r="AA21" s="1813">
        <f t="shared" ref="AA21" si="8">D21/F21</f>
        <v>1</v>
      </c>
      <c r="AB21" s="1813">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355"/>
      <c r="Q22" s="1812"/>
      <c r="R22" s="773"/>
      <c r="S22" s="774"/>
      <c r="T22" s="773"/>
      <c r="U22" s="774"/>
      <c r="V22" s="773"/>
      <c r="W22" s="774"/>
      <c r="X22" s="1815"/>
      <c r="Y22" s="3311"/>
      <c r="Z22" s="1816"/>
      <c r="AA22" s="1813">
        <v>1</v>
      </c>
      <c r="AB22" s="1813">
        <v>1</v>
      </c>
      <c r="AC22" s="2679">
        <v>1</v>
      </c>
    </row>
    <row r="23" spans="1:29" ht="42.75">
      <c r="A23" s="427"/>
      <c r="B23" s="630" t="s">
        <v>2691</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55"/>
      <c r="Q23" s="1812" t="str">
        <f>B23</f>
        <v>环境质量</v>
      </c>
      <c r="R23" s="773" t="s">
        <v>17</v>
      </c>
      <c r="S23" s="774">
        <f>F23</f>
        <v>100</v>
      </c>
      <c r="T23" s="773" t="s">
        <v>17</v>
      </c>
      <c r="U23" s="774">
        <f>H23</f>
        <v>100</v>
      </c>
      <c r="V23" s="773" t="s">
        <v>17</v>
      </c>
      <c r="W23" s="774">
        <f>J23</f>
        <v>100</v>
      </c>
      <c r="X23" s="1815"/>
      <c r="Y23" s="3311"/>
      <c r="Z23" s="1816" t="str">
        <f>Q23</f>
        <v>环境质量</v>
      </c>
      <c r="AA23" s="1813">
        <f t="shared" si="3"/>
        <v>1</v>
      </c>
      <c r="AB23" s="1813">
        <f t="shared" si="4"/>
        <v>1</v>
      </c>
      <c r="AC23" s="2679">
        <f t="shared" si="5"/>
        <v>1</v>
      </c>
    </row>
    <row r="24" spans="1:29" ht="15">
      <c r="A24" s="427"/>
      <c r="B24" s="632"/>
      <c r="C24" s="2616"/>
      <c r="D24" s="447"/>
      <c r="E24" s="2609"/>
      <c r="F24" s="447"/>
      <c r="G24" s="2610"/>
      <c r="H24" s="447"/>
      <c r="I24" s="2610"/>
      <c r="J24" s="447"/>
      <c r="K24" s="614"/>
      <c r="L24" s="1142"/>
      <c r="M24" s="1133"/>
      <c r="N24" s="1133"/>
      <c r="O24" s="1133"/>
      <c r="P24" s="3355"/>
      <c r="Q24" s="1812"/>
      <c r="R24" s="773"/>
      <c r="S24" s="774"/>
      <c r="T24" s="773"/>
      <c r="U24" s="774"/>
      <c r="V24" s="773"/>
      <c r="W24" s="774"/>
      <c r="X24" s="1815"/>
      <c r="Y24" s="3311"/>
      <c r="Z24" s="1816"/>
      <c r="AA24" s="1813">
        <v>1</v>
      </c>
      <c r="AB24" s="1813">
        <v>1</v>
      </c>
      <c r="AC24" s="2679">
        <v>1</v>
      </c>
    </row>
    <row r="25" spans="1:29" ht="27">
      <c r="A25" s="403"/>
      <c r="B25" s="630" t="s">
        <v>2692</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355"/>
      <c r="Q25" s="1812" t="str">
        <f>B25</f>
        <v>毗邻道路的类型与等级</v>
      </c>
      <c r="R25" s="773" t="s">
        <v>17</v>
      </c>
      <c r="S25" s="774">
        <f>F25</f>
        <v>100</v>
      </c>
      <c r="T25" s="773" t="s">
        <v>17</v>
      </c>
      <c r="U25" s="774">
        <f>H25</f>
        <v>100</v>
      </c>
      <c r="V25" s="773" t="s">
        <v>17</v>
      </c>
      <c r="W25" s="774">
        <f>J25</f>
        <v>100</v>
      </c>
      <c r="X25" s="1815"/>
      <c r="Y25" s="3311"/>
      <c r="Z25" s="1816" t="str">
        <f>Q25</f>
        <v>毗邻道路的类型与等级</v>
      </c>
      <c r="AA25" s="1813">
        <f t="shared" si="3"/>
        <v>1</v>
      </c>
      <c r="AB25" s="1813">
        <f t="shared" si="4"/>
        <v>1</v>
      </c>
      <c r="AC25" s="2679">
        <f t="shared" si="5"/>
        <v>1</v>
      </c>
    </row>
    <row r="26" spans="1:29" ht="15">
      <c r="A26" s="403"/>
      <c r="B26" s="631"/>
      <c r="C26" s="633"/>
      <c r="D26" s="434"/>
      <c r="E26" s="615"/>
      <c r="F26" s="434"/>
      <c r="G26" s="633"/>
      <c r="H26" s="434"/>
      <c r="I26" s="615"/>
      <c r="J26" s="434"/>
      <c r="K26" s="614"/>
      <c r="L26" s="1142"/>
      <c r="M26" s="1133"/>
      <c r="N26" s="1133"/>
      <c r="O26" s="1133"/>
      <c r="P26" s="3355"/>
      <c r="Q26" s="1812"/>
      <c r="R26" s="773"/>
      <c r="S26" s="774"/>
      <c r="T26" s="773"/>
      <c r="U26" s="774"/>
      <c r="V26" s="773"/>
      <c r="W26" s="774"/>
      <c r="X26" s="1815"/>
      <c r="Y26" s="3311"/>
      <c r="Z26" s="1816"/>
      <c r="AA26" s="1813">
        <v>1</v>
      </c>
      <c r="AB26" s="1813">
        <v>1</v>
      </c>
      <c r="AC26" s="2679">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55"/>
      <c r="Q27" s="1812" t="str">
        <f t="shared" ref="Q27:Q47" si="11">B27</f>
        <v>楼层</v>
      </c>
      <c r="R27" s="773" t="s">
        <v>17</v>
      </c>
      <c r="S27" s="774">
        <f>F27</f>
        <v>100</v>
      </c>
      <c r="T27" s="773" t="s">
        <v>17</v>
      </c>
      <c r="U27" s="774">
        <f>H27</f>
        <v>100</v>
      </c>
      <c r="V27" s="773" t="s">
        <v>17</v>
      </c>
      <c r="W27" s="774">
        <f>J27</f>
        <v>100</v>
      </c>
      <c r="X27" s="1815"/>
      <c r="Y27" s="3311"/>
      <c r="Z27" s="1816" t="str">
        <f>Q27</f>
        <v>楼层</v>
      </c>
      <c r="AA27" s="1813">
        <f t="shared" si="3"/>
        <v>1</v>
      </c>
      <c r="AB27" s="1813">
        <f t="shared" si="4"/>
        <v>1</v>
      </c>
      <c r="AC27" s="2679">
        <f t="shared" si="5"/>
        <v>1</v>
      </c>
    </row>
    <row r="28" spans="1:29" s="116" customFormat="1" ht="15">
      <c r="A28" s="430"/>
      <c r="B28" s="630" t="s">
        <v>2693</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5"/>
      <c r="Q28" s="1797" t="str">
        <f t="shared" si="11"/>
        <v>朝向</v>
      </c>
      <c r="R28" s="769" t="s">
        <v>17</v>
      </c>
      <c r="S28" s="770">
        <f>F28</f>
        <v>100</v>
      </c>
      <c r="T28" s="769" t="s">
        <v>17</v>
      </c>
      <c r="U28" s="770">
        <f>H28</f>
        <v>100</v>
      </c>
      <c r="V28" s="769" t="s">
        <v>17</v>
      </c>
      <c r="W28" s="770">
        <f>J28</f>
        <v>100</v>
      </c>
      <c r="X28" s="771"/>
      <c r="Y28" s="3311"/>
      <c r="Z28" s="54"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5"/>
      <c r="Q29" s="1812">
        <f t="shared" si="11"/>
        <v>111</v>
      </c>
      <c r="R29" s="773" t="s">
        <v>17</v>
      </c>
      <c r="S29" s="774">
        <f t="shared" ref="S29:S47" si="12">F29</f>
        <v>100</v>
      </c>
      <c r="T29" s="773" t="s">
        <v>17</v>
      </c>
      <c r="U29" s="774">
        <f t="shared" ref="U29:U47" si="13">H29</f>
        <v>100</v>
      </c>
      <c r="V29" s="773" t="s">
        <v>17</v>
      </c>
      <c r="W29" s="774">
        <f t="shared" ref="W29:W47" si="14">J29</f>
        <v>100</v>
      </c>
      <c r="X29" s="1815"/>
      <c r="Y29" s="3311"/>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5"/>
      <c r="Q30" s="1812">
        <f t="shared" si="11"/>
        <v>111</v>
      </c>
      <c r="R30" s="773" t="s">
        <v>17</v>
      </c>
      <c r="S30" s="774">
        <f t="shared" si="12"/>
        <v>100</v>
      </c>
      <c r="T30" s="773" t="s">
        <v>17</v>
      </c>
      <c r="U30" s="774">
        <f t="shared" si="13"/>
        <v>100</v>
      </c>
      <c r="V30" s="773" t="s">
        <v>17</v>
      </c>
      <c r="W30" s="774">
        <f t="shared" si="14"/>
        <v>100</v>
      </c>
      <c r="X30" s="1815"/>
      <c r="Y30" s="3311"/>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5"/>
      <c r="Q31" s="1812">
        <f t="shared" si="11"/>
        <v>111</v>
      </c>
      <c r="R31" s="773" t="s">
        <v>17</v>
      </c>
      <c r="S31" s="774">
        <f t="shared" si="12"/>
        <v>100</v>
      </c>
      <c r="T31" s="773" t="s">
        <v>17</v>
      </c>
      <c r="U31" s="774">
        <f t="shared" si="13"/>
        <v>100</v>
      </c>
      <c r="V31" s="773" t="s">
        <v>17</v>
      </c>
      <c r="W31" s="774">
        <f t="shared" si="14"/>
        <v>100</v>
      </c>
      <c r="X31" s="1815"/>
      <c r="Y31" s="3311"/>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5"/>
      <c r="Q32" s="1812">
        <f t="shared" si="11"/>
        <v>111</v>
      </c>
      <c r="R32" s="773" t="s">
        <v>17</v>
      </c>
      <c r="S32" s="774">
        <f t="shared" si="12"/>
        <v>100</v>
      </c>
      <c r="T32" s="773" t="s">
        <v>17</v>
      </c>
      <c r="U32" s="774">
        <f t="shared" si="13"/>
        <v>100</v>
      </c>
      <c r="V32" s="773" t="s">
        <v>17</v>
      </c>
      <c r="W32" s="774">
        <f t="shared" si="14"/>
        <v>100</v>
      </c>
      <c r="X32" s="1815"/>
      <c r="Y32" s="3311"/>
      <c r="Z32" s="1816">
        <f t="shared" si="15"/>
        <v>111</v>
      </c>
      <c r="AA32" s="1813">
        <f t="shared" si="3"/>
        <v>1</v>
      </c>
      <c r="AB32" s="1813">
        <f t="shared" si="4"/>
        <v>1</v>
      </c>
      <c r="AC32" s="2679">
        <f t="shared" si="5"/>
        <v>1</v>
      </c>
    </row>
    <row r="33" spans="1:29" ht="15">
      <c r="A33" s="439" t="s">
        <v>2564</v>
      </c>
      <c r="B33" s="70" t="s">
        <v>2694</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350" t="s">
        <v>2566</v>
      </c>
      <c r="Q33" s="1812" t="str">
        <f t="shared" si="11"/>
        <v>建筑类型</v>
      </c>
      <c r="R33" s="773" t="s">
        <v>17</v>
      </c>
      <c r="S33" s="774">
        <f t="shared" si="12"/>
        <v>100</v>
      </c>
      <c r="T33" s="773" t="s">
        <v>17</v>
      </c>
      <c r="U33" s="774">
        <f t="shared" si="13"/>
        <v>100</v>
      </c>
      <c r="V33" s="773" t="s">
        <v>17</v>
      </c>
      <c r="W33" s="774">
        <f t="shared" si="14"/>
        <v>100</v>
      </c>
      <c r="X33" s="1815"/>
      <c r="Y33" s="3313" t="s">
        <v>2566</v>
      </c>
      <c r="Z33" s="1816" t="str">
        <f t="shared" si="15"/>
        <v>建筑类型</v>
      </c>
      <c r="AA33" s="1813">
        <f t="shared" si="3"/>
        <v>1</v>
      </c>
      <c r="AB33" s="1813">
        <f t="shared" si="4"/>
        <v>1</v>
      </c>
      <c r="AC33" s="2679">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51"/>
      <c r="Q34" s="775" t="str">
        <f t="shared" si="11"/>
        <v>项目建筑规模</v>
      </c>
      <c r="R34" s="776" t="s">
        <v>17</v>
      </c>
      <c r="S34" s="777" t="e">
        <f t="shared" si="12"/>
        <v>#N/A</v>
      </c>
      <c r="T34" s="776" t="s">
        <v>17</v>
      </c>
      <c r="U34" s="777" t="e">
        <f t="shared" si="13"/>
        <v>#N/A</v>
      </c>
      <c r="V34" s="776" t="s">
        <v>17</v>
      </c>
      <c r="W34" s="777" t="e">
        <f t="shared" si="14"/>
        <v>#N/A</v>
      </c>
      <c r="X34" s="778"/>
      <c r="Y34" s="3313"/>
      <c r="Z34" s="779" t="str">
        <f t="shared" si="15"/>
        <v>项目建筑规模</v>
      </c>
      <c r="AA34" s="1813" t="e">
        <f t="shared" si="3"/>
        <v>#N/A</v>
      </c>
      <c r="AB34" s="1813" t="e">
        <f t="shared" si="4"/>
        <v>#N/A</v>
      </c>
      <c r="AC34" s="2679"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51"/>
      <c r="Q35" s="1812" t="str">
        <f t="shared" si="11"/>
        <v>建筑结构</v>
      </c>
      <c r="R35" s="773" t="s">
        <v>17</v>
      </c>
      <c r="S35" s="774">
        <f t="shared" si="12"/>
        <v>100</v>
      </c>
      <c r="T35" s="773" t="s">
        <v>17</v>
      </c>
      <c r="U35" s="774">
        <f t="shared" si="13"/>
        <v>100</v>
      </c>
      <c r="V35" s="773" t="s">
        <v>17</v>
      </c>
      <c r="W35" s="774">
        <f t="shared" si="14"/>
        <v>100</v>
      </c>
      <c r="X35" s="1815"/>
      <c r="Y35" s="3313"/>
      <c r="Z35" s="1816" t="str">
        <f t="shared" si="15"/>
        <v>建筑结构</v>
      </c>
      <c r="AA35" s="1813">
        <f t="shared" si="3"/>
        <v>1</v>
      </c>
      <c r="AB35" s="1813">
        <f t="shared" si="4"/>
        <v>1</v>
      </c>
      <c r="AC35" s="2679">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51"/>
      <c r="Q36" s="1812" t="str">
        <f t="shared" si="11"/>
        <v>公共部分装修</v>
      </c>
      <c r="R36" s="773" t="s">
        <v>17</v>
      </c>
      <c r="S36" s="774">
        <f t="shared" si="12"/>
        <v>100</v>
      </c>
      <c r="T36" s="773" t="s">
        <v>17</v>
      </c>
      <c r="U36" s="774">
        <f t="shared" si="13"/>
        <v>100</v>
      </c>
      <c r="V36" s="773" t="s">
        <v>17</v>
      </c>
      <c r="W36" s="774">
        <f t="shared" si="14"/>
        <v>100</v>
      </c>
      <c r="X36" s="1815"/>
      <c r="Y36" s="3313"/>
      <c r="Z36" s="1816" t="str">
        <f t="shared" si="15"/>
        <v>公共部分装修</v>
      </c>
      <c r="AA36" s="1813">
        <f t="shared" si="3"/>
        <v>1</v>
      </c>
      <c r="AB36" s="1813">
        <f t="shared" si="4"/>
        <v>1</v>
      </c>
      <c r="AC36" s="2679">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51"/>
      <c r="Q37" s="1812" t="str">
        <f t="shared" si="11"/>
        <v>成新度</v>
      </c>
      <c r="R37" s="773" t="s">
        <v>17</v>
      </c>
      <c r="S37" s="774" t="e">
        <f t="shared" si="12"/>
        <v>#N/A</v>
      </c>
      <c r="T37" s="773" t="s">
        <v>17</v>
      </c>
      <c r="U37" s="774" t="e">
        <f t="shared" si="13"/>
        <v>#N/A</v>
      </c>
      <c r="V37" s="773" t="s">
        <v>17</v>
      </c>
      <c r="W37" s="774" t="e">
        <f t="shared" si="14"/>
        <v>#N/A</v>
      </c>
      <c r="X37" s="1815"/>
      <c r="Y37" s="3313"/>
      <c r="Z37" s="1816" t="str">
        <f t="shared" si="15"/>
        <v>成新度</v>
      </c>
      <c r="AA37" s="1813" t="e">
        <f t="shared" si="3"/>
        <v>#N/A</v>
      </c>
      <c r="AB37" s="1813" t="e">
        <f t="shared" si="4"/>
        <v>#N/A</v>
      </c>
      <c r="AC37" s="2679"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51"/>
      <c r="Q38" s="1797" t="str">
        <f t="shared" si="11"/>
        <v>写字楼等级</v>
      </c>
      <c r="R38" s="769" t="s">
        <v>17</v>
      </c>
      <c r="S38" s="770">
        <f t="shared" si="12"/>
        <v>100</v>
      </c>
      <c r="T38" s="769" t="s">
        <v>17</v>
      </c>
      <c r="U38" s="770">
        <f t="shared" si="13"/>
        <v>100</v>
      </c>
      <c r="V38" s="769" t="s">
        <v>17</v>
      </c>
      <c r="W38" s="770">
        <f t="shared" si="14"/>
        <v>100</v>
      </c>
      <c r="X38" s="771"/>
      <c r="Y38" s="3313"/>
      <c r="Z38" s="54" t="str">
        <f t="shared" si="15"/>
        <v>写字楼等级</v>
      </c>
      <c r="AA38" s="772">
        <f t="shared" si="3"/>
        <v>1</v>
      </c>
      <c r="AB38" s="772">
        <f t="shared" si="4"/>
        <v>1</v>
      </c>
      <c r="AC38" s="2676">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51" t="s">
        <v>2566</v>
      </c>
      <c r="Q39" s="1812" t="str">
        <f t="shared" si="11"/>
        <v>物业管理</v>
      </c>
      <c r="R39" s="773" t="s">
        <v>17</v>
      </c>
      <c r="S39" s="774">
        <f t="shared" si="12"/>
        <v>100</v>
      </c>
      <c r="T39" s="773" t="s">
        <v>17</v>
      </c>
      <c r="U39" s="774">
        <f t="shared" si="13"/>
        <v>100</v>
      </c>
      <c r="V39" s="773" t="s">
        <v>17</v>
      </c>
      <c r="W39" s="774">
        <f t="shared" si="14"/>
        <v>100</v>
      </c>
      <c r="X39" s="1815"/>
      <c r="Y39" s="3313" t="s">
        <v>2566</v>
      </c>
      <c r="Z39" s="1816" t="str">
        <f t="shared" si="15"/>
        <v>物业管理</v>
      </c>
      <c r="AA39" s="1813">
        <f t="shared" si="3"/>
        <v>1</v>
      </c>
      <c r="AB39" s="1813">
        <f t="shared" si="4"/>
        <v>1</v>
      </c>
      <c r="AC39" s="2679">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51"/>
      <c r="Q40" s="1812" t="str">
        <f t="shared" si="11"/>
        <v>市政基础设施</v>
      </c>
      <c r="R40" s="773" t="s">
        <v>17</v>
      </c>
      <c r="S40" s="774">
        <f t="shared" si="12"/>
        <v>100</v>
      </c>
      <c r="T40" s="773" t="s">
        <v>17</v>
      </c>
      <c r="U40" s="774">
        <f t="shared" si="13"/>
        <v>100</v>
      </c>
      <c r="V40" s="773" t="s">
        <v>17</v>
      </c>
      <c r="W40" s="774">
        <f t="shared" si="14"/>
        <v>100</v>
      </c>
      <c r="X40" s="1815"/>
      <c r="Y40" s="3313"/>
      <c r="Z40" s="1816" t="str">
        <f t="shared" si="15"/>
        <v>市政基础设施</v>
      </c>
      <c r="AA40" s="1813">
        <f t="shared" si="3"/>
        <v>1</v>
      </c>
      <c r="AB40" s="1813">
        <f t="shared" si="4"/>
        <v>1</v>
      </c>
      <c r="AC40" s="2679">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51"/>
      <c r="Q41" s="1812" t="str">
        <f t="shared" si="11"/>
        <v>层高</v>
      </c>
      <c r="R41" s="773" t="s">
        <v>17</v>
      </c>
      <c r="S41" s="774">
        <f t="shared" si="12"/>
        <v>100</v>
      </c>
      <c r="T41" s="773" t="s">
        <v>17</v>
      </c>
      <c r="U41" s="774">
        <f t="shared" si="13"/>
        <v>100</v>
      </c>
      <c r="V41" s="773" t="s">
        <v>17</v>
      </c>
      <c r="W41" s="774">
        <f t="shared" si="14"/>
        <v>100</v>
      </c>
      <c r="X41" s="1815"/>
      <c r="Y41" s="3313"/>
      <c r="Z41" s="1816" t="str">
        <f t="shared" si="15"/>
        <v>层高</v>
      </c>
      <c r="AA41" s="1813">
        <f t="shared" si="3"/>
        <v>1</v>
      </c>
      <c r="AB41" s="1813">
        <f t="shared" si="4"/>
        <v>1</v>
      </c>
      <c r="AC41" s="2679">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51"/>
      <c r="Q42" s="775" t="str">
        <f t="shared" si="11"/>
        <v>单套建筑面积</v>
      </c>
      <c r="R42" s="776" t="s">
        <v>17</v>
      </c>
      <c r="S42" s="777">
        <f t="shared" si="12"/>
        <v>100</v>
      </c>
      <c r="T42" s="776" t="s">
        <v>17</v>
      </c>
      <c r="U42" s="777">
        <f t="shared" si="13"/>
        <v>100</v>
      </c>
      <c r="V42" s="776" t="s">
        <v>17</v>
      </c>
      <c r="W42" s="777">
        <f t="shared" si="14"/>
        <v>100</v>
      </c>
      <c r="X42" s="778"/>
      <c r="Y42" s="3313"/>
      <c r="Z42" s="779" t="str">
        <f t="shared" si="15"/>
        <v>单套建筑面积</v>
      </c>
      <c r="AA42" s="1813">
        <f t="shared" si="3"/>
        <v>1</v>
      </c>
      <c r="AB42" s="1813">
        <f t="shared" si="4"/>
        <v>1</v>
      </c>
      <c r="AC42" s="2679">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51"/>
      <c r="Q43" s="1812" t="str">
        <f t="shared" si="11"/>
        <v>内部装修</v>
      </c>
      <c r="R43" s="773" t="s">
        <v>17</v>
      </c>
      <c r="S43" s="774">
        <f t="shared" si="12"/>
        <v>100</v>
      </c>
      <c r="T43" s="773" t="s">
        <v>17</v>
      </c>
      <c r="U43" s="774">
        <f t="shared" si="13"/>
        <v>100</v>
      </c>
      <c r="V43" s="773" t="s">
        <v>17</v>
      </c>
      <c r="W43" s="774">
        <f t="shared" si="14"/>
        <v>100</v>
      </c>
      <c r="X43" s="1815"/>
      <c r="Y43" s="3313"/>
      <c r="Z43" s="1816" t="str">
        <f t="shared" si="15"/>
        <v>内部装修</v>
      </c>
      <c r="AA43" s="1813">
        <f t="shared" si="3"/>
        <v>1</v>
      </c>
      <c r="AB43" s="1813">
        <f t="shared" si="4"/>
        <v>1</v>
      </c>
      <c r="AC43" s="2679">
        <f t="shared" si="5"/>
        <v>1</v>
      </c>
    </row>
    <row r="44" spans="1:29" ht="15">
      <c r="A44" s="471"/>
      <c r="B44" s="421" t="s">
        <v>2577</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351"/>
      <c r="Q44" s="1812" t="str">
        <f t="shared" si="11"/>
        <v>内部装修维护情况</v>
      </c>
      <c r="R44" s="773" t="s">
        <v>17</v>
      </c>
      <c r="S44" s="774">
        <f t="shared" si="12"/>
        <v>100</v>
      </c>
      <c r="T44" s="773" t="s">
        <v>17</v>
      </c>
      <c r="U44" s="774">
        <f t="shared" si="13"/>
        <v>100</v>
      </c>
      <c r="V44" s="773" t="s">
        <v>17</v>
      </c>
      <c r="W44" s="774">
        <f t="shared" si="14"/>
        <v>100</v>
      </c>
      <c r="X44" s="1815"/>
      <c r="Y44" s="3313"/>
      <c r="Z44" s="1816" t="str">
        <f t="shared" si="15"/>
        <v>内部装修维护情况</v>
      </c>
      <c r="AA44" s="1813">
        <f t="shared" si="3"/>
        <v>1</v>
      </c>
      <c r="AB44" s="1813">
        <f t="shared" si="4"/>
        <v>1</v>
      </c>
      <c r="AC44" s="2679">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51"/>
      <c r="Q45" s="1797">
        <f t="shared" si="11"/>
        <v>111</v>
      </c>
      <c r="R45" s="769" t="s">
        <v>17</v>
      </c>
      <c r="S45" s="770">
        <f t="shared" si="12"/>
        <v>100</v>
      </c>
      <c r="T45" s="769" t="s">
        <v>17</v>
      </c>
      <c r="U45" s="770">
        <f t="shared" si="13"/>
        <v>100</v>
      </c>
      <c r="V45" s="769" t="s">
        <v>17</v>
      </c>
      <c r="W45" s="770">
        <f t="shared" si="14"/>
        <v>100</v>
      </c>
      <c r="X45" s="771"/>
      <c r="Y45" s="3313"/>
      <c r="Z45" s="54">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51"/>
      <c r="Q46" s="1812">
        <f t="shared" si="11"/>
        <v>111</v>
      </c>
      <c r="R46" s="773" t="s">
        <v>17</v>
      </c>
      <c r="S46" s="774">
        <f t="shared" si="12"/>
        <v>100</v>
      </c>
      <c r="T46" s="773" t="s">
        <v>17</v>
      </c>
      <c r="U46" s="774">
        <f t="shared" si="13"/>
        <v>100</v>
      </c>
      <c r="V46" s="773" t="s">
        <v>17</v>
      </c>
      <c r="W46" s="774">
        <f t="shared" si="14"/>
        <v>100</v>
      </c>
      <c r="X46" s="1815"/>
      <c r="Y46" s="3313"/>
      <c r="Z46" s="1816">
        <f t="shared" si="15"/>
        <v>111</v>
      </c>
      <c r="AA46" s="1813">
        <f t="shared" si="3"/>
        <v>1</v>
      </c>
      <c r="AB46" s="1813">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52"/>
      <c r="Q47" s="1812">
        <f t="shared" si="11"/>
        <v>111</v>
      </c>
      <c r="R47" s="773" t="s">
        <v>17</v>
      </c>
      <c r="S47" s="774">
        <f t="shared" si="12"/>
        <v>100</v>
      </c>
      <c r="T47" s="773" t="s">
        <v>17</v>
      </c>
      <c r="U47" s="774">
        <f t="shared" si="13"/>
        <v>100</v>
      </c>
      <c r="V47" s="773" t="s">
        <v>17</v>
      </c>
      <c r="W47" s="774">
        <f t="shared" si="14"/>
        <v>100</v>
      </c>
      <c r="X47" s="1815"/>
      <c r="Y47" s="3353"/>
      <c r="Z47" s="1816">
        <f t="shared" si="15"/>
        <v>111</v>
      </c>
      <c r="AA47" s="1813">
        <f t="shared" si="3"/>
        <v>1</v>
      </c>
      <c r="AB47" s="1813">
        <f t="shared" si="4"/>
        <v>1</v>
      </c>
      <c r="AC47" s="2679">
        <f t="shared" si="5"/>
        <v>1</v>
      </c>
    </row>
    <row r="48" spans="1:29" ht="15">
      <c r="A48" s="478" t="s">
        <v>2578</v>
      </c>
      <c r="B48" s="479"/>
      <c r="C48" s="1409" t="s">
        <v>1</v>
      </c>
      <c r="D48" s="1410"/>
      <c r="E48" s="1411"/>
      <c r="F48" s="1412"/>
      <c r="G48" s="1413"/>
      <c r="H48" s="1414"/>
      <c r="I48" s="1411"/>
      <c r="J48" s="484"/>
      <c r="K48" s="782"/>
      <c r="L48" s="1145"/>
      <c r="M48" s="1133"/>
      <c r="N48" s="1133"/>
      <c r="O48" s="1133"/>
      <c r="P48" s="3319" t="str">
        <f>A48</f>
        <v>成交单价（元/平方米）</v>
      </c>
      <c r="Q48" s="3295"/>
      <c r="R48" s="3349">
        <f>E48</f>
        <v>0</v>
      </c>
      <c r="S48" s="3349"/>
      <c r="T48" s="3349">
        <f>G48</f>
        <v>0</v>
      </c>
      <c r="U48" s="3349"/>
      <c r="V48" s="3349">
        <f>I48</f>
        <v>0</v>
      </c>
      <c r="W48" s="3349"/>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319" t="str">
        <f>A49</f>
        <v>比较价值（元/平方米）</v>
      </c>
      <c r="Q49" s="3295"/>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368" t="str">
        <f>A50</f>
        <v>估价对象XX用房的比较价值（楼面单价，元/平方米）</v>
      </c>
      <c r="Q50" s="3369"/>
      <c r="R50" s="3370" t="e">
        <f>IF(F1="售价",ROUND(AVERAGE(R49:V49),0),ROUND(AVERAGE(R49:V49),1))</f>
        <v>#DIV/0!</v>
      </c>
      <c r="S50" s="3370"/>
      <c r="T50" s="3370"/>
      <c r="U50" s="3370"/>
      <c r="V50" s="3370"/>
      <c r="W50" s="3370"/>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6"/>
      <c r="Q58" s="503"/>
    </row>
    <row r="59" spans="1:29" s="507" customFormat="1" ht="15">
      <c r="A59" s="504" t="s">
        <v>2549</v>
      </c>
      <c r="B59" s="505"/>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6" customFormat="1" ht="15">
      <c r="A60" s="508"/>
      <c r="B60" s="509"/>
      <c r="C60" s="1575">
        <v>100</v>
      </c>
      <c r="D60" s="511"/>
      <c r="E60" s="511"/>
      <c r="F60" s="511"/>
      <c r="G60" s="511"/>
      <c r="H60" s="511"/>
      <c r="I60" s="511"/>
      <c r="J60" s="511"/>
      <c r="K60" s="511"/>
      <c r="L60" s="511"/>
      <c r="M60" s="512"/>
      <c r="N60" s="511"/>
      <c r="O60" s="512"/>
      <c r="P60" s="2687"/>
    </row>
    <row r="61" spans="1:29" s="116" customFormat="1" ht="15.75" thickBot="1">
      <c r="A61" s="514" t="s">
        <v>2586</v>
      </c>
      <c r="B61" s="515"/>
      <c r="C61" s="516"/>
      <c r="D61" s="517"/>
      <c r="E61" s="517"/>
      <c r="F61" s="517"/>
      <c r="G61" s="517"/>
      <c r="H61" s="517"/>
      <c r="I61" s="517"/>
      <c r="J61" s="517"/>
      <c r="K61" s="517"/>
      <c r="L61" s="517"/>
      <c r="M61" s="518"/>
      <c r="N61" s="517"/>
      <c r="O61" s="518"/>
      <c r="P61" s="2687"/>
      <c r="Q61" s="503"/>
    </row>
    <row r="62" spans="1:29" s="116" customFormat="1" ht="15">
      <c r="A62" s="520" t="s">
        <v>2551</v>
      </c>
      <c r="B62" s="509"/>
      <c r="C62" s="521" t="s">
        <v>2653</v>
      </c>
      <c r="D62" s="522"/>
      <c r="E62" s="522"/>
      <c r="F62" s="522"/>
      <c r="G62" s="522"/>
      <c r="H62" s="522"/>
      <c r="I62" s="522"/>
      <c r="J62" s="522"/>
      <c r="K62" s="522"/>
      <c r="L62" s="523"/>
      <c r="M62" s="524"/>
      <c r="N62" s="1153"/>
      <c r="O62" s="1153"/>
      <c r="P62" s="2688"/>
      <c r="Q62" s="503"/>
    </row>
    <row r="63" spans="1:29" s="116"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2589</v>
      </c>
      <c r="B64" s="527" t="s">
        <v>2555</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6" customFormat="1" ht="27.75" thickTop="1">
      <c r="A87" s="578"/>
      <c r="B87" s="537" t="s">
        <v>2700</v>
      </c>
      <c r="C87" s="553"/>
      <c r="D87" s="553"/>
      <c r="E87" s="553"/>
      <c r="F87" s="553"/>
      <c r="G87" s="553"/>
      <c r="H87" s="553"/>
      <c r="I87" s="553"/>
      <c r="J87" s="553"/>
      <c r="K87" s="553"/>
      <c r="L87" s="579"/>
      <c r="M87" s="580"/>
      <c r="N87" s="1153"/>
      <c r="O87" s="1153"/>
      <c r="P87" s="268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6"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2564</v>
      </c>
      <c r="B101" s="527" t="s">
        <v>2613</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2615</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2617</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2618</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2619</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2702</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2621</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4" t="s">
        <v>2703</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91"/>
      <c r="D2" s="1126" t="e">
        <f ca="1">SUMIF(INDIRECT("'"&amp;F2&amp;"'"&amp;"!A:A"),"承租人权益价值",INDIRECT("'"&amp;F2&amp;"'"&amp;"!c:c"))</f>
        <v>#REF!</v>
      </c>
      <c r="E2" s="2592" t="s">
        <v>2329</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158096.87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96" t="s">
        <v>2647</v>
      </c>
      <c r="D4" s="3297"/>
      <c r="E4" s="3298" t="s">
        <v>2648</v>
      </c>
      <c r="F4" s="3299"/>
      <c r="G4" s="3296" t="s">
        <v>2649</v>
      </c>
      <c r="H4" s="3297"/>
      <c r="I4" s="3296" t="s">
        <v>2650</v>
      </c>
      <c r="J4" s="3297"/>
      <c r="K4" s="609" t="s">
        <v>2651</v>
      </c>
      <c r="L4" s="1132"/>
      <c r="M4" s="1133"/>
      <c r="N4" s="1133"/>
      <c r="O4" s="1133"/>
      <c r="P4" s="3300" t="s">
        <v>2652</v>
      </c>
      <c r="Q4" s="3301"/>
      <c r="R4" s="3283" t="s">
        <v>2648</v>
      </c>
      <c r="S4" s="3284"/>
      <c r="T4" s="3283" t="s">
        <v>2649</v>
      </c>
      <c r="U4" s="3284"/>
      <c r="V4" s="3308" t="s">
        <v>2650</v>
      </c>
      <c r="W4" s="3308"/>
      <c r="X4" s="1815"/>
      <c r="Y4" s="3283" t="s">
        <v>2652</v>
      </c>
      <c r="Z4" s="3284"/>
      <c r="AA4" s="3278" t="s">
        <v>2648</v>
      </c>
      <c r="AB4" s="3279" t="s">
        <v>2649</v>
      </c>
      <c r="AC4" s="3278" t="s">
        <v>2650</v>
      </c>
    </row>
    <row r="5" spans="1:29" ht="15">
      <c r="A5" s="403"/>
      <c r="B5" s="404"/>
      <c r="C5" s="3289" t="s">
        <v>2543</v>
      </c>
      <c r="D5" s="3290"/>
      <c r="E5" s="3287" t="s">
        <v>2544</v>
      </c>
      <c r="F5" s="3288"/>
      <c r="G5" s="3289" t="s">
        <v>2545</v>
      </c>
      <c r="H5" s="3290"/>
      <c r="I5" s="3289" t="s">
        <v>2546</v>
      </c>
      <c r="J5" s="3290"/>
      <c r="K5" s="609"/>
      <c r="L5" s="1132"/>
      <c r="M5" s="1133"/>
      <c r="N5" s="1133"/>
      <c r="O5" s="1133"/>
      <c r="P5" s="3302"/>
      <c r="Q5" s="3303"/>
      <c r="R5" s="3285"/>
      <c r="S5" s="3286"/>
      <c r="T5" s="3285"/>
      <c r="U5" s="3286"/>
      <c r="V5" s="3308"/>
      <c r="W5" s="3308"/>
      <c r="X5" s="1815"/>
      <c r="Y5" s="3285"/>
      <c r="Z5" s="3286"/>
      <c r="AA5" s="3279"/>
      <c r="AB5" s="3279"/>
      <c r="AC5" s="3279"/>
    </row>
    <row r="6" spans="1:29" ht="15.75" thickBot="1">
      <c r="A6" s="405"/>
      <c r="B6" s="406"/>
      <c r="C6" s="3291" t="s">
        <v>2547</v>
      </c>
      <c r="D6" s="3292"/>
      <c r="E6" s="3293" t="s">
        <v>2547</v>
      </c>
      <c r="F6" s="3294"/>
      <c r="G6" s="3291" t="s">
        <v>2547</v>
      </c>
      <c r="H6" s="3292"/>
      <c r="I6" s="3291" t="s">
        <v>2547</v>
      </c>
      <c r="J6" s="3292"/>
      <c r="K6" s="609" t="s">
        <v>2548</v>
      </c>
      <c r="L6" s="1132"/>
      <c r="M6" s="1133"/>
      <c r="N6" s="1133"/>
      <c r="O6" s="1133"/>
      <c r="P6" s="3304"/>
      <c r="Q6" s="3305"/>
      <c r="R6" s="3285"/>
      <c r="S6" s="3286"/>
      <c r="T6" s="3306"/>
      <c r="U6" s="3307"/>
      <c r="V6" s="3308"/>
      <c r="W6" s="3308"/>
      <c r="X6" s="1815"/>
      <c r="Y6" s="3306"/>
      <c r="Z6" s="3307"/>
      <c r="AA6" s="3280"/>
      <c r="AB6" s="3280"/>
      <c r="AC6" s="3280"/>
    </row>
    <row r="7" spans="1:29" s="116" customFormat="1" ht="15.75" thickBot="1">
      <c r="A7" s="407" t="s">
        <v>2549</v>
      </c>
      <c r="B7" s="408"/>
      <c r="C7" s="409">
        <f>'数据-取费表'!B2</f>
        <v>43481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81" t="s">
        <v>2550</v>
      </c>
      <c r="Q7" s="3309"/>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81" t="s">
        <v>2553</v>
      </c>
      <c r="Q8" s="3282"/>
      <c r="R8" s="769" t="s">
        <v>17</v>
      </c>
      <c r="S8" s="770">
        <f t="shared" si="0"/>
        <v>0</v>
      </c>
      <c r="T8" s="769" t="s">
        <v>17</v>
      </c>
      <c r="U8" s="770">
        <f t="shared" si="1"/>
        <v>0</v>
      </c>
      <c r="V8" s="769" t="s">
        <v>17</v>
      </c>
      <c r="W8" s="770">
        <f t="shared" si="2"/>
        <v>0</v>
      </c>
      <c r="X8" s="771"/>
      <c r="Y8" s="3281" t="s">
        <v>2553</v>
      </c>
      <c r="Z8" s="3282"/>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95" t="s">
        <v>2556</v>
      </c>
      <c r="Q9" s="1797" t="str">
        <f t="shared" ref="Q9:Q15" si="6">B9</f>
        <v>用途</v>
      </c>
      <c r="R9" s="769" t="s">
        <v>17</v>
      </c>
      <c r="S9" s="770">
        <f t="shared" si="0"/>
        <v>100</v>
      </c>
      <c r="T9" s="769" t="s">
        <v>17</v>
      </c>
      <c r="U9" s="770">
        <f t="shared" si="1"/>
        <v>100</v>
      </c>
      <c r="V9" s="769" t="s">
        <v>17</v>
      </c>
      <c r="W9" s="770">
        <f t="shared" si="2"/>
        <v>100</v>
      </c>
      <c r="X9" s="771"/>
      <c r="Y9" s="3115"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95"/>
      <c r="Q10" s="1797" t="str">
        <f t="shared" si="6"/>
        <v>土地使用年限（年）</v>
      </c>
      <c r="R10" s="769" t="s">
        <v>17</v>
      </c>
      <c r="S10" s="770">
        <f t="shared" si="0"/>
        <v>100</v>
      </c>
      <c r="T10" s="769" t="s">
        <v>17</v>
      </c>
      <c r="U10" s="770">
        <f t="shared" si="1"/>
        <v>100</v>
      </c>
      <c r="V10" s="769" t="s">
        <v>17</v>
      </c>
      <c r="W10" s="770">
        <f t="shared" si="2"/>
        <v>100</v>
      </c>
      <c r="X10" s="771"/>
      <c r="Y10" s="3115"/>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95"/>
      <c r="Q11" s="1797" t="str">
        <f t="shared" si="6"/>
        <v>容积率</v>
      </c>
      <c r="R11" s="769" t="s">
        <v>17</v>
      </c>
      <c r="S11" s="770" t="e">
        <f t="shared" si="0"/>
        <v>#N/A</v>
      </c>
      <c r="T11" s="769" t="s">
        <v>17</v>
      </c>
      <c r="U11" s="770" t="e">
        <f t="shared" si="1"/>
        <v>#N/A</v>
      </c>
      <c r="V11" s="769" t="s">
        <v>17</v>
      </c>
      <c r="W11" s="770" t="e">
        <f t="shared" si="2"/>
        <v>#N/A</v>
      </c>
      <c r="X11" s="771"/>
      <c r="Y11" s="3115"/>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295"/>
      <c r="Q12" s="1797">
        <f t="shared" si="6"/>
        <v>111</v>
      </c>
      <c r="R12" s="769" t="s">
        <v>17</v>
      </c>
      <c r="S12" s="770">
        <f t="shared" si="0"/>
        <v>100</v>
      </c>
      <c r="T12" s="769" t="s">
        <v>17</v>
      </c>
      <c r="U12" s="770">
        <f t="shared" si="1"/>
        <v>100</v>
      </c>
      <c r="V12" s="769" t="s">
        <v>17</v>
      </c>
      <c r="W12" s="770">
        <f t="shared" si="2"/>
        <v>100</v>
      </c>
      <c r="X12" s="771"/>
      <c r="Y12" s="3115"/>
      <c r="Z12" s="54">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15"/>
      <c r="Z13" s="54">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295"/>
      <c r="Q14" s="1797">
        <f t="shared" si="6"/>
        <v>111</v>
      </c>
      <c r="R14" s="769" t="s">
        <v>17</v>
      </c>
      <c r="S14" s="770">
        <f t="shared" si="0"/>
        <v>100</v>
      </c>
      <c r="T14" s="769" t="s">
        <v>17</v>
      </c>
      <c r="U14" s="770">
        <f t="shared" si="1"/>
        <v>100</v>
      </c>
      <c r="V14" s="769" t="s">
        <v>17</v>
      </c>
      <c r="W14" s="770">
        <f t="shared" si="2"/>
        <v>100</v>
      </c>
      <c r="X14" s="771"/>
      <c r="Y14" s="3115"/>
      <c r="Z14" s="54">
        <f t="shared" si="7"/>
        <v>111</v>
      </c>
      <c r="AA14" s="772">
        <f t="shared" si="3"/>
        <v>1</v>
      </c>
      <c r="AB14" s="772">
        <f t="shared" si="4"/>
        <v>1</v>
      </c>
      <c r="AC14" s="772">
        <f t="shared" si="5"/>
        <v>1</v>
      </c>
    </row>
    <row r="15" spans="1:29" ht="57">
      <c r="A15" s="439" t="s">
        <v>2560</v>
      </c>
      <c r="B15" s="68" t="s">
        <v>2704</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10" t="s">
        <v>2561</v>
      </c>
      <c r="Q15" s="1812" t="str">
        <f t="shared" si="6"/>
        <v>产业集聚程度</v>
      </c>
      <c r="R15" s="773" t="s">
        <v>17</v>
      </c>
      <c r="S15" s="774">
        <f t="shared" si="0"/>
        <v>100</v>
      </c>
      <c r="T15" s="773" t="s">
        <v>17</v>
      </c>
      <c r="U15" s="774">
        <f t="shared" si="1"/>
        <v>100</v>
      </c>
      <c r="V15" s="773" t="s">
        <v>17</v>
      </c>
      <c r="W15" s="774">
        <f t="shared" si="2"/>
        <v>100</v>
      </c>
      <c r="X15" s="1815"/>
      <c r="Y15" s="3310"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11"/>
      <c r="Q16" s="1812"/>
      <c r="R16" s="773"/>
      <c r="S16" s="774"/>
      <c r="T16" s="773"/>
      <c r="U16" s="774"/>
      <c r="V16" s="773"/>
      <c r="W16" s="774"/>
      <c r="X16" s="1815"/>
      <c r="Y16" s="3311"/>
      <c r="Z16" s="1816"/>
      <c r="AA16" s="1813">
        <v>1</v>
      </c>
      <c r="AB16" s="1813">
        <v>1</v>
      </c>
      <c r="AC16" s="1813">
        <v>1</v>
      </c>
    </row>
    <row r="17" spans="1:29" ht="85.5">
      <c r="A17" s="427"/>
      <c r="B17" s="450" t="s">
        <v>2097</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11"/>
      <c r="Q17" s="1812" t="str">
        <f>B17</f>
        <v>交通便捷度</v>
      </c>
      <c r="R17" s="773" t="s">
        <v>17</v>
      </c>
      <c r="S17" s="774">
        <f>F17</f>
        <v>100</v>
      </c>
      <c r="T17" s="773" t="s">
        <v>17</v>
      </c>
      <c r="U17" s="774">
        <f>H17</f>
        <v>100</v>
      </c>
      <c r="V17" s="773" t="s">
        <v>17</v>
      </c>
      <c r="W17" s="774">
        <f>J17</f>
        <v>100</v>
      </c>
      <c r="X17" s="1815"/>
      <c r="Y17" s="3311"/>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11"/>
      <c r="Q18" s="1812"/>
      <c r="R18" s="773"/>
      <c r="S18" s="774"/>
      <c r="T18" s="773"/>
      <c r="U18" s="774"/>
      <c r="V18" s="773"/>
      <c r="W18" s="774"/>
      <c r="X18" s="1815"/>
      <c r="Y18" s="3311"/>
      <c r="Z18" s="1816"/>
      <c r="AA18" s="1813">
        <v>1</v>
      </c>
      <c r="AB18" s="1813">
        <v>1</v>
      </c>
      <c r="AC18" s="1813">
        <v>1</v>
      </c>
    </row>
    <row r="19" spans="1:29" ht="42.75">
      <c r="A19" s="427"/>
      <c r="B19" s="450" t="s">
        <v>2689</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11"/>
      <c r="Q19" s="1812" t="str">
        <f>B19</f>
        <v>公共配套设施</v>
      </c>
      <c r="R19" s="773" t="s">
        <v>17</v>
      </c>
      <c r="S19" s="774">
        <f>F19</f>
        <v>100</v>
      </c>
      <c r="T19" s="773" t="s">
        <v>17</v>
      </c>
      <c r="U19" s="774">
        <f>H19</f>
        <v>100</v>
      </c>
      <c r="V19" s="773" t="s">
        <v>17</v>
      </c>
      <c r="W19" s="774">
        <f>J19</f>
        <v>100</v>
      </c>
      <c r="X19" s="1815"/>
      <c r="Y19" s="3311"/>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11"/>
      <c r="Q20" s="1812"/>
      <c r="R20" s="773"/>
      <c r="S20" s="774"/>
      <c r="T20" s="773"/>
      <c r="U20" s="774"/>
      <c r="V20" s="773"/>
      <c r="W20" s="774"/>
      <c r="X20" s="1815"/>
      <c r="Y20" s="3311"/>
      <c r="Z20" s="1816"/>
      <c r="AA20" s="1813">
        <v>1</v>
      </c>
      <c r="AB20" s="1813">
        <v>1</v>
      </c>
      <c r="AC20" s="1813">
        <v>1</v>
      </c>
    </row>
    <row r="21" spans="1:29" ht="28.5">
      <c r="A21" s="427"/>
      <c r="B21" s="1386" t="s">
        <v>2690</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11"/>
      <c r="Q21" s="1812" t="str">
        <f>B21</f>
        <v>基础设施水平</v>
      </c>
      <c r="R21" s="773" t="s">
        <v>17</v>
      </c>
      <c r="S21" s="774">
        <f>F21</f>
        <v>100</v>
      </c>
      <c r="T21" s="773" t="s">
        <v>17</v>
      </c>
      <c r="U21" s="774">
        <f>H21</f>
        <v>100</v>
      </c>
      <c r="V21" s="773" t="s">
        <v>17</v>
      </c>
      <c r="W21" s="774">
        <f>J21</f>
        <v>100</v>
      </c>
      <c r="X21" s="1815"/>
      <c r="Y21" s="331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11"/>
      <c r="Q22" s="1812"/>
      <c r="R22" s="773"/>
      <c r="S22" s="774"/>
      <c r="T22" s="773"/>
      <c r="U22" s="774"/>
      <c r="V22" s="773"/>
      <c r="W22" s="774"/>
      <c r="X22" s="1815"/>
      <c r="Y22" s="3311"/>
      <c r="Z22" s="1816"/>
      <c r="AA22" s="1813">
        <v>1</v>
      </c>
      <c r="AB22" s="1813">
        <v>1</v>
      </c>
      <c r="AC22" s="1813">
        <v>1</v>
      </c>
    </row>
    <row r="23" spans="1:29" ht="71.25">
      <c r="A23" s="427"/>
      <c r="B23" s="450" t="s">
        <v>2691</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11"/>
      <c r="Q23" s="1812" t="str">
        <f>B23</f>
        <v>环境质量</v>
      </c>
      <c r="R23" s="773" t="s">
        <v>17</v>
      </c>
      <c r="S23" s="774">
        <f>F23</f>
        <v>100</v>
      </c>
      <c r="T23" s="773" t="s">
        <v>17</v>
      </c>
      <c r="U23" s="774">
        <f>H23</f>
        <v>100</v>
      </c>
      <c r="V23" s="773" t="s">
        <v>17</v>
      </c>
      <c r="W23" s="774">
        <f>J23</f>
        <v>100</v>
      </c>
      <c r="X23" s="1815"/>
      <c r="Y23" s="3311"/>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11"/>
      <c r="Q24" s="1812"/>
      <c r="R24" s="773"/>
      <c r="S24" s="774"/>
      <c r="T24" s="773"/>
      <c r="U24" s="774"/>
      <c r="V24" s="773"/>
      <c r="W24" s="774"/>
      <c r="X24" s="1815"/>
      <c r="Y24" s="331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11"/>
      <c r="Q25" s="1812">
        <f>B25</f>
        <v>111</v>
      </c>
      <c r="R25" s="773" t="s">
        <v>17</v>
      </c>
      <c r="S25" s="774">
        <f>F25</f>
        <v>100</v>
      </c>
      <c r="T25" s="773" t="s">
        <v>17</v>
      </c>
      <c r="U25" s="774">
        <f>H25</f>
        <v>100</v>
      </c>
      <c r="V25" s="773" t="s">
        <v>17</v>
      </c>
      <c r="W25" s="774">
        <f>J25</f>
        <v>100</v>
      </c>
      <c r="X25" s="1815"/>
      <c r="Y25" s="331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11"/>
      <c r="Q26" s="1812">
        <f t="shared" ref="Q26:Q40" si="11">B26</f>
        <v>111</v>
      </c>
      <c r="R26" s="773" t="s">
        <v>17</v>
      </c>
      <c r="S26" s="774">
        <f>F26</f>
        <v>100</v>
      </c>
      <c r="T26" s="773" t="s">
        <v>17</v>
      </c>
      <c r="U26" s="774">
        <f>H26</f>
        <v>100</v>
      </c>
      <c r="V26" s="773" t="s">
        <v>17</v>
      </c>
      <c r="W26" s="774">
        <f>J26</f>
        <v>100</v>
      </c>
      <c r="X26" s="1815"/>
      <c r="Y26" s="3311"/>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11"/>
      <c r="Q27" s="1797">
        <f t="shared" si="11"/>
        <v>111</v>
      </c>
      <c r="R27" s="769" t="s">
        <v>17</v>
      </c>
      <c r="S27" s="770">
        <f>F27</f>
        <v>100</v>
      </c>
      <c r="T27" s="769" t="s">
        <v>17</v>
      </c>
      <c r="U27" s="770">
        <f>H27</f>
        <v>100</v>
      </c>
      <c r="V27" s="769" t="s">
        <v>17</v>
      </c>
      <c r="W27" s="770">
        <f>J27</f>
        <v>100</v>
      </c>
      <c r="X27" s="771"/>
      <c r="Y27" s="3311"/>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11"/>
      <c r="Q28" s="1812">
        <f t="shared" si="11"/>
        <v>111</v>
      </c>
      <c r="R28" s="773" t="s">
        <v>17</v>
      </c>
      <c r="S28" s="774">
        <f t="shared" ref="S28:S40" si="12">F28</f>
        <v>100</v>
      </c>
      <c r="T28" s="773" t="s">
        <v>17</v>
      </c>
      <c r="U28" s="774">
        <f t="shared" ref="U28:U40" si="13">H28</f>
        <v>100</v>
      </c>
      <c r="V28" s="773" t="s">
        <v>17</v>
      </c>
      <c r="W28" s="774">
        <f t="shared" ref="W28:W40" si="14">J28</f>
        <v>100</v>
      </c>
      <c r="X28" s="1815"/>
      <c r="Y28" s="3311"/>
      <c r="Z28" s="1816">
        <f t="shared" ref="Z28:Z40" si="15">Q28</f>
        <v>111</v>
      </c>
      <c r="AA28" s="1813">
        <f t="shared" si="3"/>
        <v>1</v>
      </c>
      <c r="AB28" s="1813">
        <f t="shared" si="4"/>
        <v>1</v>
      </c>
      <c r="AC28" s="1813">
        <f t="shared" si="5"/>
        <v>1</v>
      </c>
    </row>
    <row r="29" spans="1:29" ht="28.5">
      <c r="A29" s="465" t="s">
        <v>2564</v>
      </c>
      <c r="B29" s="70" t="s">
        <v>2694</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312" t="s">
        <v>2566</v>
      </c>
      <c r="Q29" s="1812" t="str">
        <f t="shared" si="11"/>
        <v>建筑类型</v>
      </c>
      <c r="R29" s="773" t="s">
        <v>17</v>
      </c>
      <c r="S29" s="774">
        <f t="shared" si="12"/>
        <v>100</v>
      </c>
      <c r="T29" s="773" t="s">
        <v>17</v>
      </c>
      <c r="U29" s="774">
        <f t="shared" si="13"/>
        <v>100</v>
      </c>
      <c r="V29" s="773" t="s">
        <v>17</v>
      </c>
      <c r="W29" s="774">
        <f t="shared" si="14"/>
        <v>100</v>
      </c>
      <c r="X29" s="1815"/>
      <c r="Y29" s="3313"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13"/>
      <c r="Q30" s="775" t="str">
        <f t="shared" si="11"/>
        <v>项目建筑规模</v>
      </c>
      <c r="R30" s="776" t="s">
        <v>17</v>
      </c>
      <c r="S30" s="777" t="e">
        <f t="shared" si="12"/>
        <v>#N/A</v>
      </c>
      <c r="T30" s="776" t="s">
        <v>17</v>
      </c>
      <c r="U30" s="777" t="e">
        <f t="shared" si="13"/>
        <v>#N/A</v>
      </c>
      <c r="V30" s="776" t="s">
        <v>17</v>
      </c>
      <c r="W30" s="777" t="e">
        <f t="shared" si="14"/>
        <v>#N/A</v>
      </c>
      <c r="X30" s="778"/>
      <c r="Y30" s="3313"/>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13"/>
      <c r="Q31" s="1812" t="str">
        <f t="shared" si="11"/>
        <v>建筑结构</v>
      </c>
      <c r="R31" s="773" t="s">
        <v>17</v>
      </c>
      <c r="S31" s="774">
        <f t="shared" si="12"/>
        <v>100</v>
      </c>
      <c r="T31" s="773" t="s">
        <v>17</v>
      </c>
      <c r="U31" s="774">
        <f t="shared" si="13"/>
        <v>100</v>
      </c>
      <c r="V31" s="773" t="s">
        <v>17</v>
      </c>
      <c r="W31" s="774">
        <f t="shared" si="14"/>
        <v>100</v>
      </c>
      <c r="X31" s="1815"/>
      <c r="Y31" s="3313"/>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13"/>
      <c r="Q32" s="1812" t="str">
        <f t="shared" si="11"/>
        <v>公共部分装修</v>
      </c>
      <c r="R32" s="773" t="s">
        <v>17</v>
      </c>
      <c r="S32" s="774">
        <f t="shared" si="12"/>
        <v>100</v>
      </c>
      <c r="T32" s="773" t="s">
        <v>17</v>
      </c>
      <c r="U32" s="774">
        <f t="shared" si="13"/>
        <v>100</v>
      </c>
      <c r="V32" s="773" t="s">
        <v>17</v>
      </c>
      <c r="W32" s="774">
        <f t="shared" si="14"/>
        <v>100</v>
      </c>
      <c r="X32" s="1815"/>
      <c r="Y32" s="3313"/>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13"/>
      <c r="Q33" s="1812" t="str">
        <f t="shared" si="11"/>
        <v>成新度</v>
      </c>
      <c r="R33" s="773" t="s">
        <v>17</v>
      </c>
      <c r="S33" s="774" t="e">
        <f t="shared" si="12"/>
        <v>#N/A</v>
      </c>
      <c r="T33" s="773" t="s">
        <v>17</v>
      </c>
      <c r="U33" s="774" t="e">
        <f t="shared" si="13"/>
        <v>#N/A</v>
      </c>
      <c r="V33" s="773" t="s">
        <v>17</v>
      </c>
      <c r="W33" s="774" t="e">
        <f t="shared" si="14"/>
        <v>#N/A</v>
      </c>
      <c r="X33" s="1815"/>
      <c r="Y33" s="3313"/>
      <c r="Z33" s="1816" t="str">
        <f t="shared" si="15"/>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13"/>
      <c r="Q34" s="1797" t="str">
        <f t="shared" si="11"/>
        <v>物业管理</v>
      </c>
      <c r="R34" s="769" t="s">
        <v>17</v>
      </c>
      <c r="S34" s="770">
        <f t="shared" si="12"/>
        <v>100</v>
      </c>
      <c r="T34" s="769" t="s">
        <v>17</v>
      </c>
      <c r="U34" s="770">
        <f t="shared" si="13"/>
        <v>100</v>
      </c>
      <c r="V34" s="769" t="s">
        <v>17</v>
      </c>
      <c r="W34" s="770">
        <f t="shared" si="14"/>
        <v>100</v>
      </c>
      <c r="X34" s="771"/>
      <c r="Y34" s="3313"/>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13" t="s">
        <v>2566</v>
      </c>
      <c r="Q35" s="1812" t="str">
        <f t="shared" si="11"/>
        <v>市政基础设施</v>
      </c>
      <c r="R35" s="773" t="s">
        <v>17</v>
      </c>
      <c r="S35" s="774">
        <f t="shared" si="12"/>
        <v>100</v>
      </c>
      <c r="T35" s="773" t="s">
        <v>17</v>
      </c>
      <c r="U35" s="774">
        <f t="shared" si="13"/>
        <v>100</v>
      </c>
      <c r="V35" s="773" t="s">
        <v>17</v>
      </c>
      <c r="W35" s="774">
        <f t="shared" si="14"/>
        <v>100</v>
      </c>
      <c r="X35" s="1815"/>
      <c r="Y35" s="3313"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13"/>
      <c r="Q36" s="1812" t="str">
        <f t="shared" si="11"/>
        <v>内部装修</v>
      </c>
      <c r="R36" s="773" t="s">
        <v>17</v>
      </c>
      <c r="S36" s="774">
        <f t="shared" si="12"/>
        <v>100</v>
      </c>
      <c r="T36" s="773" t="s">
        <v>17</v>
      </c>
      <c r="U36" s="774">
        <f t="shared" si="13"/>
        <v>100</v>
      </c>
      <c r="V36" s="773" t="s">
        <v>17</v>
      </c>
      <c r="W36" s="774">
        <f t="shared" si="14"/>
        <v>100</v>
      </c>
      <c r="X36" s="1815"/>
      <c r="Y36" s="3313"/>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13"/>
      <c r="Q37" s="1812" t="str">
        <f t="shared" si="11"/>
        <v>内部装修状况</v>
      </c>
      <c r="R37" s="773" t="s">
        <v>17</v>
      </c>
      <c r="S37" s="774">
        <f t="shared" si="12"/>
        <v>100</v>
      </c>
      <c r="T37" s="773" t="s">
        <v>17</v>
      </c>
      <c r="U37" s="774">
        <f t="shared" si="13"/>
        <v>100</v>
      </c>
      <c r="V37" s="773" t="s">
        <v>17</v>
      </c>
      <c r="W37" s="774">
        <f t="shared" si="14"/>
        <v>100</v>
      </c>
      <c r="X37" s="1815"/>
      <c r="Y37" s="331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13"/>
      <c r="Q38" s="775">
        <f t="shared" si="11"/>
        <v>111</v>
      </c>
      <c r="R38" s="776" t="s">
        <v>17</v>
      </c>
      <c r="S38" s="777">
        <f t="shared" si="12"/>
        <v>100</v>
      </c>
      <c r="T38" s="776" t="s">
        <v>17</v>
      </c>
      <c r="U38" s="777">
        <f t="shared" si="13"/>
        <v>100</v>
      </c>
      <c r="V38" s="776" t="s">
        <v>17</v>
      </c>
      <c r="W38" s="777">
        <f t="shared" si="14"/>
        <v>100</v>
      </c>
      <c r="X38" s="778"/>
      <c r="Y38" s="331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13"/>
      <c r="Q39" s="1812">
        <f t="shared" si="11"/>
        <v>111</v>
      </c>
      <c r="R39" s="773" t="s">
        <v>17</v>
      </c>
      <c r="S39" s="774">
        <f t="shared" si="12"/>
        <v>100</v>
      </c>
      <c r="T39" s="773" t="s">
        <v>17</v>
      </c>
      <c r="U39" s="774">
        <f t="shared" si="13"/>
        <v>100</v>
      </c>
      <c r="V39" s="773" t="s">
        <v>17</v>
      </c>
      <c r="W39" s="774">
        <f t="shared" si="14"/>
        <v>100</v>
      </c>
      <c r="X39" s="1815"/>
      <c r="Y39" s="3313"/>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53"/>
      <c r="Q40" s="1812">
        <f t="shared" si="11"/>
        <v>111</v>
      </c>
      <c r="R40" s="773" t="s">
        <v>17</v>
      </c>
      <c r="S40" s="774">
        <f t="shared" si="12"/>
        <v>100</v>
      </c>
      <c r="T40" s="773" t="s">
        <v>17</v>
      </c>
      <c r="U40" s="774">
        <f t="shared" si="13"/>
        <v>100</v>
      </c>
      <c r="V40" s="773" t="s">
        <v>17</v>
      </c>
      <c r="W40" s="774">
        <f t="shared" si="14"/>
        <v>100</v>
      </c>
      <c r="X40" s="1815"/>
      <c r="Y40" s="3353"/>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95" t="str">
        <f>A41</f>
        <v>成交单价（元/平方米）</v>
      </c>
      <c r="Q41" s="3295"/>
      <c r="R41" s="3349">
        <f>E41</f>
        <v>0</v>
      </c>
      <c r="S41" s="3349"/>
      <c r="T41" s="3349">
        <f>G41</f>
        <v>0</v>
      </c>
      <c r="U41" s="3349"/>
      <c r="V41" s="3349">
        <f>I41</f>
        <v>0</v>
      </c>
      <c r="W41" s="3349"/>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95" t="str">
        <f>A42</f>
        <v>比较价值（元/平方米）</v>
      </c>
      <c r="Q42" s="3295"/>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315" t="str">
        <f>A43</f>
        <v>估价对象XX用房的比较价值（楼面单价，元/平方米）</v>
      </c>
      <c r="Q43" s="3316"/>
      <c r="R43" s="3348" t="e">
        <f>IF(F1="售价",ROUND(AVERAGE(R42:V42),0),ROUND(AVERAGE(R42:V42),1))</f>
        <v>#DIV/0!</v>
      </c>
      <c r="S43" s="3348"/>
      <c r="T43" s="3348"/>
      <c r="U43" s="3348"/>
      <c r="V43" s="3348"/>
      <c r="W43" s="334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1"/>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1"/>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2" sqref="G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9"/>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91"/>
      <c r="D2" s="1126" t="e">
        <f ca="1">SUMIF(INDIRECT("'"&amp;F2&amp;"'"&amp;"!A:A"),"承租人权益价值",INDIRECT("'"&amp;F2&amp;"'"&amp;"!c:c"))</f>
        <v>#REF!</v>
      </c>
      <c r="E2" s="2592" t="s">
        <v>2329</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96" t="s">
        <v>2647</v>
      </c>
      <c r="D4" s="3297"/>
      <c r="E4" s="3298" t="s">
        <v>2648</v>
      </c>
      <c r="F4" s="3299"/>
      <c r="G4" s="3296" t="s">
        <v>2649</v>
      </c>
      <c r="H4" s="3297"/>
      <c r="I4" s="3296" t="s">
        <v>2650</v>
      </c>
      <c r="J4" s="3297"/>
      <c r="K4" s="609" t="s">
        <v>2651</v>
      </c>
      <c r="L4" s="1132"/>
      <c r="M4" s="1133"/>
      <c r="N4" s="1133"/>
      <c r="O4" s="1133"/>
      <c r="P4" s="3300" t="s">
        <v>2652</v>
      </c>
      <c r="Q4" s="3301"/>
      <c r="R4" s="3283" t="s">
        <v>2648</v>
      </c>
      <c r="S4" s="3284"/>
      <c r="T4" s="3283" t="s">
        <v>2649</v>
      </c>
      <c r="U4" s="3284"/>
      <c r="V4" s="3308" t="s">
        <v>2650</v>
      </c>
      <c r="W4" s="3308"/>
      <c r="X4" s="1815"/>
      <c r="Y4" s="3283" t="s">
        <v>2652</v>
      </c>
      <c r="Z4" s="3284"/>
      <c r="AA4" s="3278" t="s">
        <v>2648</v>
      </c>
      <c r="AB4" s="3279" t="s">
        <v>2649</v>
      </c>
      <c r="AC4" s="3278" t="s">
        <v>2650</v>
      </c>
    </row>
    <row r="5" spans="1:29" ht="15">
      <c r="A5" s="403"/>
      <c r="B5" s="404"/>
      <c r="C5" s="3289" t="s">
        <v>2543</v>
      </c>
      <c r="D5" s="3290"/>
      <c r="E5" s="3287" t="s">
        <v>2544</v>
      </c>
      <c r="F5" s="3288"/>
      <c r="G5" s="3289" t="s">
        <v>2545</v>
      </c>
      <c r="H5" s="3290"/>
      <c r="I5" s="3289" t="s">
        <v>2546</v>
      </c>
      <c r="J5" s="3290"/>
      <c r="K5" s="609"/>
      <c r="L5" s="1132"/>
      <c r="M5" s="1133"/>
      <c r="N5" s="1133"/>
      <c r="O5" s="1133"/>
      <c r="P5" s="3302"/>
      <c r="Q5" s="3303"/>
      <c r="R5" s="3285"/>
      <c r="S5" s="3286"/>
      <c r="T5" s="3285"/>
      <c r="U5" s="3286"/>
      <c r="V5" s="3308"/>
      <c r="W5" s="3308"/>
      <c r="X5" s="1815"/>
      <c r="Y5" s="3285"/>
      <c r="Z5" s="3286"/>
      <c r="AA5" s="3279"/>
      <c r="AB5" s="3279"/>
      <c r="AC5" s="3279"/>
    </row>
    <row r="6" spans="1:29" ht="15.75" thickBot="1">
      <c r="A6" s="405"/>
      <c r="B6" s="406"/>
      <c r="C6" s="3291" t="s">
        <v>2547</v>
      </c>
      <c r="D6" s="3292"/>
      <c r="E6" s="3293" t="s">
        <v>2547</v>
      </c>
      <c r="F6" s="3294"/>
      <c r="G6" s="3291" t="s">
        <v>2547</v>
      </c>
      <c r="H6" s="3292"/>
      <c r="I6" s="3291" t="s">
        <v>2547</v>
      </c>
      <c r="J6" s="3292"/>
      <c r="K6" s="609" t="s">
        <v>2548</v>
      </c>
      <c r="L6" s="1132"/>
      <c r="M6" s="1133"/>
      <c r="N6" s="1133"/>
      <c r="O6" s="1133"/>
      <c r="P6" s="3304"/>
      <c r="Q6" s="3305"/>
      <c r="R6" s="3285"/>
      <c r="S6" s="3286"/>
      <c r="T6" s="3306"/>
      <c r="U6" s="3307"/>
      <c r="V6" s="3308"/>
      <c r="W6" s="3308"/>
      <c r="X6" s="1815"/>
      <c r="Y6" s="3306"/>
      <c r="Z6" s="3307"/>
      <c r="AA6" s="3280"/>
      <c r="AB6" s="3280"/>
      <c r="AC6" s="3280"/>
    </row>
    <row r="7" spans="1:29" s="116" customFormat="1" ht="15.75" thickBot="1">
      <c r="A7" s="407" t="s">
        <v>2549</v>
      </c>
      <c r="B7" s="408"/>
      <c r="C7" s="409">
        <f>'数据-取费表'!B2</f>
        <v>43481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81" t="s">
        <v>2550</v>
      </c>
      <c r="Q7" s="3309"/>
      <c r="R7" s="769" t="s">
        <v>17</v>
      </c>
      <c r="S7" s="770">
        <f t="shared" ref="S7:S14" si="0">F7</f>
        <v>0</v>
      </c>
      <c r="T7" s="769" t="s">
        <v>17</v>
      </c>
      <c r="U7" s="770">
        <f t="shared" ref="U7:U14" si="1">H7</f>
        <v>0</v>
      </c>
      <c r="V7" s="769" t="s">
        <v>17</v>
      </c>
      <c r="W7" s="770">
        <f t="shared" ref="W7:W14" si="2">J7</f>
        <v>0</v>
      </c>
      <c r="X7" s="771"/>
      <c r="Y7" s="3281" t="s">
        <v>2550</v>
      </c>
      <c r="Z7" s="3282"/>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81" t="s">
        <v>2553</v>
      </c>
      <c r="Q8" s="3282"/>
      <c r="R8" s="769" t="s">
        <v>17</v>
      </c>
      <c r="S8" s="770">
        <f t="shared" si="0"/>
        <v>0</v>
      </c>
      <c r="T8" s="769" t="s">
        <v>17</v>
      </c>
      <c r="U8" s="770">
        <f t="shared" si="1"/>
        <v>0</v>
      </c>
      <c r="V8" s="769" t="s">
        <v>17</v>
      </c>
      <c r="W8" s="770">
        <f t="shared" si="2"/>
        <v>0</v>
      </c>
      <c r="X8" s="771"/>
      <c r="Y8" s="3281" t="s">
        <v>2553</v>
      </c>
      <c r="Z8" s="3282"/>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95" t="s">
        <v>2556</v>
      </c>
      <c r="Q9" s="1797" t="str">
        <f t="shared" ref="Q9:Q14" si="6">B9</f>
        <v>用途</v>
      </c>
      <c r="R9" s="769" t="s">
        <v>17</v>
      </c>
      <c r="S9" s="770">
        <f t="shared" si="0"/>
        <v>100</v>
      </c>
      <c r="T9" s="769" t="s">
        <v>17</v>
      </c>
      <c r="U9" s="770">
        <f t="shared" si="1"/>
        <v>100</v>
      </c>
      <c r="V9" s="769" t="s">
        <v>17</v>
      </c>
      <c r="W9" s="770">
        <f t="shared" si="2"/>
        <v>100</v>
      </c>
      <c r="X9" s="771"/>
      <c r="Y9" s="3115"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95"/>
      <c r="Q10" s="1797" t="str">
        <f t="shared" si="6"/>
        <v>土地使用年限（年）</v>
      </c>
      <c r="R10" s="769" t="s">
        <v>17</v>
      </c>
      <c r="S10" s="770">
        <f t="shared" si="0"/>
        <v>100</v>
      </c>
      <c r="T10" s="769" t="s">
        <v>17</v>
      </c>
      <c r="U10" s="770">
        <f t="shared" si="1"/>
        <v>100</v>
      </c>
      <c r="V10" s="769" t="s">
        <v>17</v>
      </c>
      <c r="W10" s="770">
        <f t="shared" si="2"/>
        <v>100</v>
      </c>
      <c r="X10" s="771"/>
      <c r="Y10" s="311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95"/>
      <c r="Q11" s="1797">
        <f t="shared" si="6"/>
        <v>111</v>
      </c>
      <c r="R11" s="769" t="s">
        <v>17</v>
      </c>
      <c r="S11" s="770">
        <f t="shared" si="0"/>
        <v>100</v>
      </c>
      <c r="T11" s="769" t="s">
        <v>17</v>
      </c>
      <c r="U11" s="770">
        <f t="shared" si="1"/>
        <v>100</v>
      </c>
      <c r="V11" s="769" t="s">
        <v>17</v>
      </c>
      <c r="W11" s="770">
        <f t="shared" si="2"/>
        <v>100</v>
      </c>
      <c r="X11" s="771"/>
      <c r="Y11" s="311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95"/>
      <c r="Q12" s="1797">
        <f t="shared" si="6"/>
        <v>111</v>
      </c>
      <c r="R12" s="769" t="s">
        <v>17</v>
      </c>
      <c r="S12" s="770">
        <f t="shared" si="0"/>
        <v>100</v>
      </c>
      <c r="T12" s="769" t="s">
        <v>17</v>
      </c>
      <c r="U12" s="770">
        <f t="shared" si="1"/>
        <v>100</v>
      </c>
      <c r="V12" s="769" t="s">
        <v>17</v>
      </c>
      <c r="W12" s="770">
        <f t="shared" si="2"/>
        <v>100</v>
      </c>
      <c r="X12" s="771"/>
      <c r="Y12" s="3115"/>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95"/>
      <c r="Q13" s="1797">
        <f t="shared" si="6"/>
        <v>111</v>
      </c>
      <c r="R13" s="769" t="s">
        <v>17</v>
      </c>
      <c r="S13" s="770">
        <f t="shared" si="0"/>
        <v>100</v>
      </c>
      <c r="T13" s="769" t="s">
        <v>17</v>
      </c>
      <c r="U13" s="770">
        <f t="shared" si="1"/>
        <v>100</v>
      </c>
      <c r="V13" s="769" t="s">
        <v>17</v>
      </c>
      <c r="W13" s="770">
        <f t="shared" si="2"/>
        <v>100</v>
      </c>
      <c r="X13" s="771"/>
      <c r="Y13" s="3115"/>
      <c r="Z13" s="54">
        <f t="shared" si="7"/>
        <v>111</v>
      </c>
      <c r="AA13" s="772">
        <f t="shared" si="3"/>
        <v>1</v>
      </c>
      <c r="AB13" s="772">
        <f t="shared" si="4"/>
        <v>1</v>
      </c>
      <c r="AC13" s="772">
        <f t="shared" si="5"/>
        <v>1</v>
      </c>
    </row>
    <row r="14" spans="1:29" ht="85.5">
      <c r="A14" s="400" t="s">
        <v>2560</v>
      </c>
      <c r="B14" s="628" t="s">
        <v>2710</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10" t="s">
        <v>2561</v>
      </c>
      <c r="Q14" s="1812" t="str">
        <f t="shared" si="6"/>
        <v>交通便捷度</v>
      </c>
      <c r="R14" s="773" t="s">
        <v>17</v>
      </c>
      <c r="S14" s="774">
        <f t="shared" si="0"/>
        <v>100</v>
      </c>
      <c r="T14" s="773" t="s">
        <v>17</v>
      </c>
      <c r="U14" s="774">
        <f t="shared" si="1"/>
        <v>100</v>
      </c>
      <c r="V14" s="773" t="s">
        <v>17</v>
      </c>
      <c r="W14" s="774">
        <f t="shared" si="2"/>
        <v>100</v>
      </c>
      <c r="X14" s="1815"/>
      <c r="Y14" s="3310"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11"/>
      <c r="Q15" s="1812"/>
      <c r="R15" s="773"/>
      <c r="S15" s="774"/>
      <c r="T15" s="773"/>
      <c r="U15" s="774"/>
      <c r="V15" s="773"/>
      <c r="W15" s="774"/>
      <c r="X15" s="1815"/>
      <c r="Y15" s="3311"/>
      <c r="Z15" s="1816"/>
      <c r="AA15" s="1813">
        <v>1</v>
      </c>
      <c r="AB15" s="1813">
        <v>1</v>
      </c>
      <c r="AC15" s="1813">
        <v>1</v>
      </c>
    </row>
    <row r="16" spans="1:29" ht="42.75">
      <c r="A16" s="403"/>
      <c r="B16" s="630" t="s">
        <v>2689</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11"/>
      <c r="Q16" s="1812" t="str">
        <f>B16</f>
        <v>公共配套设施</v>
      </c>
      <c r="R16" s="773" t="s">
        <v>17</v>
      </c>
      <c r="S16" s="774">
        <f>F16</f>
        <v>100</v>
      </c>
      <c r="T16" s="773" t="s">
        <v>17</v>
      </c>
      <c r="U16" s="774">
        <f>H16</f>
        <v>100</v>
      </c>
      <c r="V16" s="773" t="s">
        <v>17</v>
      </c>
      <c r="W16" s="774">
        <f>J16</f>
        <v>100</v>
      </c>
      <c r="X16" s="1815"/>
      <c r="Y16" s="3311"/>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11"/>
      <c r="Q17" s="1812"/>
      <c r="R17" s="773"/>
      <c r="S17" s="774"/>
      <c r="T17" s="773"/>
      <c r="U17" s="774"/>
      <c r="V17" s="773"/>
      <c r="W17" s="774"/>
      <c r="X17" s="1815"/>
      <c r="Y17" s="3311"/>
      <c r="Z17" s="1816"/>
      <c r="AA17" s="1813">
        <v>1</v>
      </c>
      <c r="AB17" s="1813">
        <v>1</v>
      </c>
      <c r="AC17" s="1813">
        <v>1</v>
      </c>
    </row>
    <row r="18" spans="1:29" ht="28.5">
      <c r="A18" s="403"/>
      <c r="B18" s="632" t="s">
        <v>2690</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11"/>
      <c r="Q18" s="1812" t="str">
        <f>B18</f>
        <v>基础设施水平</v>
      </c>
      <c r="R18" s="773" t="s">
        <v>17</v>
      </c>
      <c r="S18" s="774">
        <f>F18</f>
        <v>100</v>
      </c>
      <c r="T18" s="773" t="s">
        <v>17</v>
      </c>
      <c r="U18" s="774">
        <f>H18</f>
        <v>100</v>
      </c>
      <c r="V18" s="773" t="s">
        <v>17</v>
      </c>
      <c r="W18" s="774">
        <f>J18</f>
        <v>100</v>
      </c>
      <c r="X18" s="1815"/>
      <c r="Y18" s="3311"/>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11"/>
      <c r="Q19" s="1812"/>
      <c r="R19" s="773"/>
      <c r="S19" s="774"/>
      <c r="T19" s="773"/>
      <c r="U19" s="774"/>
      <c r="V19" s="773"/>
      <c r="W19" s="774"/>
      <c r="X19" s="1815"/>
      <c r="Y19" s="3311"/>
      <c r="Z19" s="1816"/>
      <c r="AA19" s="1813">
        <v>1</v>
      </c>
      <c r="AB19" s="1813">
        <v>1</v>
      </c>
      <c r="AC19" s="1813">
        <v>1</v>
      </c>
    </row>
    <row r="20" spans="1:29" ht="57">
      <c r="A20" s="403"/>
      <c r="B20" s="630" t="s">
        <v>2711</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11"/>
      <c r="Q20" s="1812" t="str">
        <f>B20</f>
        <v>自然及人文环境</v>
      </c>
      <c r="R20" s="773" t="s">
        <v>17</v>
      </c>
      <c r="S20" s="774">
        <f>F20</f>
        <v>100</v>
      </c>
      <c r="T20" s="773" t="s">
        <v>17</v>
      </c>
      <c r="U20" s="774">
        <f>H20</f>
        <v>100</v>
      </c>
      <c r="V20" s="773" t="s">
        <v>17</v>
      </c>
      <c r="W20" s="774">
        <f>J20</f>
        <v>100</v>
      </c>
      <c r="X20" s="1815"/>
      <c r="Y20" s="331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11"/>
      <c r="Q21" s="1812"/>
      <c r="R21" s="773"/>
      <c r="S21" s="774"/>
      <c r="T21" s="773"/>
      <c r="U21" s="774"/>
      <c r="V21" s="773"/>
      <c r="W21" s="774"/>
      <c r="X21" s="1815"/>
      <c r="Y21" s="3311"/>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11"/>
      <c r="Q22" s="1812" t="str">
        <f>B22</f>
        <v>楼层</v>
      </c>
      <c r="R22" s="773" t="s">
        <v>17</v>
      </c>
      <c r="S22" s="774">
        <f>F22</f>
        <v>100</v>
      </c>
      <c r="T22" s="773" t="s">
        <v>17</v>
      </c>
      <c r="U22" s="774">
        <f>H22</f>
        <v>100</v>
      </c>
      <c r="V22" s="773" t="s">
        <v>17</v>
      </c>
      <c r="W22" s="774">
        <f>J22</f>
        <v>100</v>
      </c>
      <c r="X22" s="1815"/>
      <c r="Y22" s="331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11"/>
      <c r="Q23" s="1812">
        <f>B23</f>
        <v>111</v>
      </c>
      <c r="R23" s="773" t="s">
        <v>17</v>
      </c>
      <c r="S23" s="774">
        <f>F23</f>
        <v>100</v>
      </c>
      <c r="T23" s="773" t="s">
        <v>17</v>
      </c>
      <c r="U23" s="774">
        <f>H23</f>
        <v>100</v>
      </c>
      <c r="V23" s="773" t="s">
        <v>17</v>
      </c>
      <c r="W23" s="774">
        <f>J23</f>
        <v>100</v>
      </c>
      <c r="X23" s="1815"/>
      <c r="Y23" s="331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11"/>
      <c r="Q24" s="1812">
        <f t="shared" ref="Q24:Q36" si="11">B24</f>
        <v>111</v>
      </c>
      <c r="R24" s="773" t="s">
        <v>17</v>
      </c>
      <c r="S24" s="774">
        <f>F24</f>
        <v>100</v>
      </c>
      <c r="T24" s="773" t="s">
        <v>17</v>
      </c>
      <c r="U24" s="774">
        <f>H24</f>
        <v>100</v>
      </c>
      <c r="V24" s="773" t="s">
        <v>17</v>
      </c>
      <c r="W24" s="774">
        <f>J24</f>
        <v>100</v>
      </c>
      <c r="X24" s="1815"/>
      <c r="Y24" s="3311"/>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11"/>
      <c r="Q25" s="1797">
        <f t="shared" si="11"/>
        <v>111</v>
      </c>
      <c r="R25" s="769" t="s">
        <v>17</v>
      </c>
      <c r="S25" s="770">
        <f>F25</f>
        <v>100</v>
      </c>
      <c r="T25" s="769" t="s">
        <v>17</v>
      </c>
      <c r="U25" s="770">
        <f>H25</f>
        <v>100</v>
      </c>
      <c r="V25" s="769" t="s">
        <v>17</v>
      </c>
      <c r="W25" s="770">
        <f>J25</f>
        <v>100</v>
      </c>
      <c r="X25" s="771"/>
      <c r="Y25" s="3311"/>
      <c r="Z25" s="54">
        <f>Q25</f>
        <v>111</v>
      </c>
      <c r="AA25" s="1813">
        <f>D25/F25</f>
        <v>1</v>
      </c>
      <c r="AB25" s="1813">
        <f>D25/H25</f>
        <v>1</v>
      </c>
      <c r="AC25" s="1813">
        <f>D25/J25</f>
        <v>1</v>
      </c>
    </row>
    <row r="26" spans="1:29" ht="28.5">
      <c r="A26" s="651" t="s">
        <v>2564</v>
      </c>
      <c r="B26" s="69" t="s">
        <v>2713</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12"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13"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13"/>
      <c r="Q27" s="775" t="str">
        <f t="shared" si="11"/>
        <v>项目停车位配比</v>
      </c>
      <c r="R27" s="776" t="s">
        <v>17</v>
      </c>
      <c r="S27" s="777">
        <f t="shared" si="12"/>
        <v>100</v>
      </c>
      <c r="T27" s="776" t="s">
        <v>17</v>
      </c>
      <c r="U27" s="777">
        <f t="shared" si="13"/>
        <v>100</v>
      </c>
      <c r="V27" s="776" t="s">
        <v>17</v>
      </c>
      <c r="W27" s="777">
        <f t="shared" si="14"/>
        <v>100</v>
      </c>
      <c r="X27" s="778"/>
      <c r="Y27" s="3313"/>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13"/>
      <c r="Q28" s="1812" t="str">
        <f t="shared" si="11"/>
        <v>公共部分装修</v>
      </c>
      <c r="R28" s="773" t="s">
        <v>17</v>
      </c>
      <c r="S28" s="774">
        <f t="shared" si="12"/>
        <v>100</v>
      </c>
      <c r="T28" s="773" t="s">
        <v>17</v>
      </c>
      <c r="U28" s="774">
        <f t="shared" si="13"/>
        <v>100</v>
      </c>
      <c r="V28" s="773" t="s">
        <v>17</v>
      </c>
      <c r="W28" s="774">
        <f t="shared" si="14"/>
        <v>100</v>
      </c>
      <c r="X28" s="1815"/>
      <c r="Y28" s="3313"/>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13"/>
      <c r="Q29" s="1812" t="str">
        <f t="shared" si="11"/>
        <v>成新率</v>
      </c>
      <c r="R29" s="773" t="s">
        <v>17</v>
      </c>
      <c r="S29" s="774" t="e">
        <f t="shared" si="12"/>
        <v>#N/A</v>
      </c>
      <c r="T29" s="773" t="s">
        <v>17</v>
      </c>
      <c r="U29" s="774" t="e">
        <f t="shared" si="13"/>
        <v>#N/A</v>
      </c>
      <c r="V29" s="773" t="s">
        <v>17</v>
      </c>
      <c r="W29" s="774" t="e">
        <f t="shared" si="14"/>
        <v>#N/A</v>
      </c>
      <c r="X29" s="1815"/>
      <c r="Y29" s="3313"/>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13"/>
      <c r="Q30" s="1812" t="str">
        <f t="shared" si="11"/>
        <v>物业等级</v>
      </c>
      <c r="R30" s="773" t="s">
        <v>17</v>
      </c>
      <c r="S30" s="774">
        <f t="shared" si="12"/>
        <v>100</v>
      </c>
      <c r="T30" s="773" t="s">
        <v>17</v>
      </c>
      <c r="U30" s="774">
        <f t="shared" si="13"/>
        <v>100</v>
      </c>
      <c r="V30" s="773" t="s">
        <v>17</v>
      </c>
      <c r="W30" s="774">
        <f t="shared" si="14"/>
        <v>100</v>
      </c>
      <c r="X30" s="1815"/>
      <c r="Y30" s="3313"/>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13"/>
      <c r="Q31" s="1797" t="str">
        <f t="shared" si="11"/>
        <v>停车位面积</v>
      </c>
      <c r="R31" s="769" t="s">
        <v>17</v>
      </c>
      <c r="S31" s="770" t="e">
        <f t="shared" si="12"/>
        <v>#N/A</v>
      </c>
      <c r="T31" s="769" t="s">
        <v>17</v>
      </c>
      <c r="U31" s="770" t="e">
        <f t="shared" si="13"/>
        <v>#N/A</v>
      </c>
      <c r="V31" s="769" t="s">
        <v>17</v>
      </c>
      <c r="W31" s="770" t="e">
        <f t="shared" si="14"/>
        <v>#N/A</v>
      </c>
      <c r="X31" s="771"/>
      <c r="Y31" s="3313"/>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13" t="s">
        <v>2566</v>
      </c>
      <c r="Q32" s="1812" t="str">
        <f t="shared" si="11"/>
        <v>车位类型</v>
      </c>
      <c r="R32" s="773" t="s">
        <v>17</v>
      </c>
      <c r="S32" s="774">
        <f t="shared" si="12"/>
        <v>100</v>
      </c>
      <c r="T32" s="773" t="s">
        <v>17</v>
      </c>
      <c r="U32" s="774">
        <f t="shared" si="13"/>
        <v>100</v>
      </c>
      <c r="V32" s="773" t="s">
        <v>17</v>
      </c>
      <c r="W32" s="774">
        <f t="shared" si="14"/>
        <v>100</v>
      </c>
      <c r="X32" s="1815"/>
      <c r="Y32" s="3313"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13"/>
      <c r="Q33" s="1812" t="str">
        <f t="shared" si="11"/>
        <v>是否直接入户</v>
      </c>
      <c r="R33" s="773" t="s">
        <v>17</v>
      </c>
      <c r="S33" s="774">
        <f t="shared" si="12"/>
        <v>100</v>
      </c>
      <c r="T33" s="773" t="s">
        <v>17</v>
      </c>
      <c r="U33" s="774">
        <f t="shared" si="13"/>
        <v>100</v>
      </c>
      <c r="V33" s="773" t="s">
        <v>17</v>
      </c>
      <c r="W33" s="774">
        <f t="shared" si="14"/>
        <v>100</v>
      </c>
      <c r="X33" s="1815"/>
      <c r="Y33" s="331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13"/>
      <c r="Q34" s="1812">
        <f t="shared" si="11"/>
        <v>111</v>
      </c>
      <c r="R34" s="773" t="s">
        <v>17</v>
      </c>
      <c r="S34" s="774">
        <f t="shared" si="12"/>
        <v>100</v>
      </c>
      <c r="T34" s="773" t="s">
        <v>17</v>
      </c>
      <c r="U34" s="774">
        <f t="shared" si="13"/>
        <v>100</v>
      </c>
      <c r="V34" s="773" t="s">
        <v>17</v>
      </c>
      <c r="W34" s="774">
        <f t="shared" si="14"/>
        <v>100</v>
      </c>
      <c r="X34" s="1815"/>
      <c r="Y34" s="331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13"/>
      <c r="Q35" s="775">
        <f t="shared" si="11"/>
        <v>111</v>
      </c>
      <c r="R35" s="776" t="s">
        <v>17</v>
      </c>
      <c r="S35" s="777">
        <f t="shared" si="12"/>
        <v>100</v>
      </c>
      <c r="T35" s="776" t="s">
        <v>17</v>
      </c>
      <c r="U35" s="777">
        <f t="shared" si="13"/>
        <v>100</v>
      </c>
      <c r="V35" s="776" t="s">
        <v>17</v>
      </c>
      <c r="W35" s="777">
        <f t="shared" si="14"/>
        <v>100</v>
      </c>
      <c r="X35" s="778"/>
      <c r="Y35" s="331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13"/>
      <c r="Q36" s="1812">
        <f t="shared" si="11"/>
        <v>111</v>
      </c>
      <c r="R36" s="773" t="s">
        <v>17</v>
      </c>
      <c r="S36" s="774">
        <f t="shared" si="12"/>
        <v>100</v>
      </c>
      <c r="T36" s="773" t="s">
        <v>17</v>
      </c>
      <c r="U36" s="774">
        <f t="shared" si="13"/>
        <v>100</v>
      </c>
      <c r="V36" s="773" t="s">
        <v>17</v>
      </c>
      <c r="W36" s="774">
        <f t="shared" si="14"/>
        <v>100</v>
      </c>
      <c r="X36" s="1815"/>
      <c r="Y36" s="3313"/>
      <c r="Z36" s="1816">
        <f t="shared" si="15"/>
        <v>111</v>
      </c>
      <c r="AA36" s="1813">
        <f t="shared" si="3"/>
        <v>1</v>
      </c>
      <c r="AB36" s="1813">
        <f t="shared" si="4"/>
        <v>1</v>
      </c>
      <c r="AC36" s="1813">
        <f t="shared" si="5"/>
        <v>1</v>
      </c>
    </row>
    <row r="37" spans="1:29" ht="15">
      <c r="A37" s="478" t="s">
        <v>2721</v>
      </c>
      <c r="B37" s="2700" t="s">
        <v>2722</v>
      </c>
      <c r="C37" s="1409" t="s">
        <v>1</v>
      </c>
      <c r="D37" s="1410"/>
      <c r="E37" s="1411"/>
      <c r="F37" s="1412"/>
      <c r="G37" s="1413"/>
      <c r="H37" s="1414"/>
      <c r="I37" s="1411"/>
      <c r="J37" s="1414"/>
      <c r="K37" s="618"/>
      <c r="L37" s="1145"/>
      <c r="M37" s="1146"/>
      <c r="N37" s="1133"/>
      <c r="O37" s="1146"/>
      <c r="P37" s="3295" t="str">
        <f>A37</f>
        <v>成交单价</v>
      </c>
      <c r="Q37" s="3295"/>
      <c r="R37" s="3349">
        <f>E37</f>
        <v>0</v>
      </c>
      <c r="S37" s="3349"/>
      <c r="T37" s="3349">
        <f>G37</f>
        <v>0</v>
      </c>
      <c r="U37" s="3349"/>
      <c r="V37" s="3349">
        <f>I37</f>
        <v>0</v>
      </c>
      <c r="W37" s="3349"/>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95" t="str">
        <f>A38</f>
        <v>比较价值（元/平方米）</v>
      </c>
      <c r="Q38" s="3295"/>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315" t="str">
        <f>A39</f>
        <v>估价对象XX用房的比较价值（楼面单价，元/平方米）</v>
      </c>
      <c r="Q39" s="3316"/>
      <c r="R39" s="3348" t="e">
        <f>IF(F1="售价",ROUND(AVERAGE(R38:V38),0),ROUND(AVERAGE(R38:V38),1))</f>
        <v>#DIV/0!</v>
      </c>
      <c r="S39" s="3348"/>
      <c r="T39" s="3348"/>
      <c r="U39" s="3348"/>
      <c r="V39" s="3348"/>
      <c r="W39" s="334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91"/>
      <c r="D2" s="1126" t="e">
        <f ca="1">SUMIF(INDIRECT("'"&amp;F2&amp;"'"&amp;"!A:A"),"承租人权益价值",INDIRECT("'"&amp;F2&amp;"'"&amp;"!c:c"))</f>
        <v>#REF!</v>
      </c>
      <c r="E2" s="2592" t="s">
        <v>2329</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96" t="s">
        <v>2647</v>
      </c>
      <c r="D4" s="3297"/>
      <c r="E4" s="3298" t="s">
        <v>2648</v>
      </c>
      <c r="F4" s="3299"/>
      <c r="G4" s="3296" t="s">
        <v>2649</v>
      </c>
      <c r="H4" s="3297"/>
      <c r="I4" s="3296" t="s">
        <v>2650</v>
      </c>
      <c r="J4" s="3297"/>
      <c r="K4" s="609" t="s">
        <v>2651</v>
      </c>
      <c r="L4" s="1132"/>
      <c r="M4" s="1133"/>
      <c r="N4" s="1133"/>
      <c r="O4" s="1133"/>
      <c r="P4" s="3300" t="s">
        <v>2652</v>
      </c>
      <c r="Q4" s="3301"/>
      <c r="R4" s="3283" t="s">
        <v>2648</v>
      </c>
      <c r="S4" s="3284"/>
      <c r="T4" s="3283" t="s">
        <v>2649</v>
      </c>
      <c r="U4" s="3284"/>
      <c r="V4" s="3308" t="s">
        <v>2650</v>
      </c>
      <c r="W4" s="3308"/>
      <c r="X4" s="1815"/>
      <c r="Y4" s="3283" t="s">
        <v>2652</v>
      </c>
      <c r="Z4" s="3284"/>
      <c r="AA4" s="3278" t="s">
        <v>2648</v>
      </c>
      <c r="AB4" s="3279" t="s">
        <v>2649</v>
      </c>
      <c r="AC4" s="3278" t="s">
        <v>2650</v>
      </c>
    </row>
    <row r="5" spans="1:29" ht="15">
      <c r="A5" s="403"/>
      <c r="B5" s="404"/>
      <c r="C5" s="3289" t="s">
        <v>2543</v>
      </c>
      <c r="D5" s="3290"/>
      <c r="E5" s="3287" t="s">
        <v>2544</v>
      </c>
      <c r="F5" s="3288"/>
      <c r="G5" s="3289" t="s">
        <v>2545</v>
      </c>
      <c r="H5" s="3290"/>
      <c r="I5" s="3289" t="s">
        <v>2546</v>
      </c>
      <c r="J5" s="3290"/>
      <c r="K5" s="609"/>
      <c r="L5" s="1132"/>
      <c r="M5" s="1133"/>
      <c r="N5" s="1133"/>
      <c r="O5" s="1133"/>
      <c r="P5" s="3302"/>
      <c r="Q5" s="3303"/>
      <c r="R5" s="3285"/>
      <c r="S5" s="3286"/>
      <c r="T5" s="3285"/>
      <c r="U5" s="3286"/>
      <c r="V5" s="3308"/>
      <c r="W5" s="3308"/>
      <c r="X5" s="1815"/>
      <c r="Y5" s="3285"/>
      <c r="Z5" s="3286"/>
      <c r="AA5" s="3279"/>
      <c r="AB5" s="3279"/>
      <c r="AC5" s="3279"/>
    </row>
    <row r="6" spans="1:29" ht="15.75" thickBot="1">
      <c r="A6" s="405"/>
      <c r="B6" s="406"/>
      <c r="C6" s="3291" t="s">
        <v>2547</v>
      </c>
      <c r="D6" s="3292"/>
      <c r="E6" s="3293" t="s">
        <v>2547</v>
      </c>
      <c r="F6" s="3294"/>
      <c r="G6" s="3291" t="s">
        <v>2547</v>
      </c>
      <c r="H6" s="3292"/>
      <c r="I6" s="3291" t="s">
        <v>2547</v>
      </c>
      <c r="J6" s="3292"/>
      <c r="K6" s="609" t="s">
        <v>2548</v>
      </c>
      <c r="L6" s="1132"/>
      <c r="M6" s="1133"/>
      <c r="N6" s="1133"/>
      <c r="O6" s="1133"/>
      <c r="P6" s="3304"/>
      <c r="Q6" s="3305"/>
      <c r="R6" s="3285"/>
      <c r="S6" s="3286"/>
      <c r="T6" s="3306"/>
      <c r="U6" s="3307"/>
      <c r="V6" s="3308"/>
      <c r="W6" s="3308"/>
      <c r="X6" s="1815"/>
      <c r="Y6" s="3306"/>
      <c r="Z6" s="3307"/>
      <c r="AA6" s="3280"/>
      <c r="AB6" s="3280"/>
      <c r="AC6" s="3280"/>
    </row>
    <row r="7" spans="1:29" s="116" customFormat="1" ht="15.75" thickBot="1">
      <c r="A7" s="407" t="s">
        <v>2549</v>
      </c>
      <c r="B7" s="408"/>
      <c r="C7" s="409">
        <f>'数据-取费表'!B2</f>
        <v>43481</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281" t="s">
        <v>2550</v>
      </c>
      <c r="Q7" s="3309"/>
      <c r="R7" s="769" t="s">
        <v>17</v>
      </c>
      <c r="S7" s="770">
        <f t="shared" ref="S7:S14" si="0">F7</f>
        <v>0</v>
      </c>
      <c r="T7" s="769" t="s">
        <v>17</v>
      </c>
      <c r="U7" s="770">
        <f t="shared" ref="U7:U14" si="1">H7</f>
        <v>0</v>
      </c>
      <c r="V7" s="769" t="s">
        <v>17</v>
      </c>
      <c r="W7" s="770">
        <f t="shared" ref="W7:W14" si="2">J7</f>
        <v>0</v>
      </c>
      <c r="X7" s="771"/>
      <c r="Y7" s="3281" t="s">
        <v>2550</v>
      </c>
      <c r="Z7" s="3282"/>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81" t="s">
        <v>2553</v>
      </c>
      <c r="Q8" s="3282"/>
      <c r="R8" s="769" t="s">
        <v>17</v>
      </c>
      <c r="S8" s="770">
        <f t="shared" si="0"/>
        <v>0</v>
      </c>
      <c r="T8" s="769" t="s">
        <v>17</v>
      </c>
      <c r="U8" s="770">
        <f t="shared" si="1"/>
        <v>0</v>
      </c>
      <c r="V8" s="769" t="s">
        <v>17</v>
      </c>
      <c r="W8" s="770">
        <f t="shared" si="2"/>
        <v>0</v>
      </c>
      <c r="X8" s="771"/>
      <c r="Y8" s="3281" t="s">
        <v>2553</v>
      </c>
      <c r="Z8" s="3282"/>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95" t="s">
        <v>2556</v>
      </c>
      <c r="Q9" s="1797" t="str">
        <f t="shared" ref="Q9:Q14" si="6">B9</f>
        <v>用途</v>
      </c>
      <c r="R9" s="769" t="s">
        <v>17</v>
      </c>
      <c r="S9" s="770">
        <f t="shared" si="0"/>
        <v>100</v>
      </c>
      <c r="T9" s="769" t="s">
        <v>17</v>
      </c>
      <c r="U9" s="770">
        <f t="shared" si="1"/>
        <v>100</v>
      </c>
      <c r="V9" s="769" t="s">
        <v>17</v>
      </c>
      <c r="W9" s="770">
        <f t="shared" si="2"/>
        <v>100</v>
      </c>
      <c r="X9" s="771"/>
      <c r="Y9" s="3115"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95"/>
      <c r="Q10" s="1797" t="str">
        <f t="shared" si="6"/>
        <v>土地使用年限（年）</v>
      </c>
      <c r="R10" s="769" t="s">
        <v>17</v>
      </c>
      <c r="S10" s="770">
        <f t="shared" si="0"/>
        <v>100</v>
      </c>
      <c r="T10" s="769" t="s">
        <v>17</v>
      </c>
      <c r="U10" s="770">
        <f t="shared" si="1"/>
        <v>100</v>
      </c>
      <c r="V10" s="769" t="s">
        <v>17</v>
      </c>
      <c r="W10" s="770">
        <f t="shared" si="2"/>
        <v>100</v>
      </c>
      <c r="X10" s="771"/>
      <c r="Y10" s="3115"/>
      <c r="Z10" s="54"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95"/>
      <c r="Q11" s="1797">
        <f t="shared" si="6"/>
        <v>111</v>
      </c>
      <c r="R11" s="769" t="s">
        <v>17</v>
      </c>
      <c r="S11" s="770">
        <f t="shared" si="0"/>
        <v>100</v>
      </c>
      <c r="T11" s="769" t="s">
        <v>17</v>
      </c>
      <c r="U11" s="770">
        <f t="shared" si="1"/>
        <v>100</v>
      </c>
      <c r="V11" s="769" t="s">
        <v>17</v>
      </c>
      <c r="W11" s="770">
        <f t="shared" si="2"/>
        <v>100</v>
      </c>
      <c r="X11" s="771"/>
      <c r="Y11" s="3115"/>
      <c r="Z11" s="54">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95"/>
      <c r="Q12" s="1797">
        <f t="shared" si="6"/>
        <v>111</v>
      </c>
      <c r="R12" s="769" t="s">
        <v>17</v>
      </c>
      <c r="S12" s="770">
        <f t="shared" si="0"/>
        <v>100</v>
      </c>
      <c r="T12" s="769" t="s">
        <v>17</v>
      </c>
      <c r="U12" s="770">
        <f t="shared" si="1"/>
        <v>100</v>
      </c>
      <c r="V12" s="769" t="s">
        <v>17</v>
      </c>
      <c r="W12" s="770">
        <f t="shared" si="2"/>
        <v>100</v>
      </c>
      <c r="X12" s="771"/>
      <c r="Y12" s="3115"/>
      <c r="Z12" s="54">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15"/>
      <c r="Z13" s="54">
        <f t="shared" si="7"/>
        <v>111</v>
      </c>
      <c r="AA13" s="772">
        <f t="shared" si="3"/>
        <v>1</v>
      </c>
      <c r="AB13" s="772">
        <f t="shared" si="4"/>
        <v>1</v>
      </c>
      <c r="AC13" s="772">
        <f t="shared" si="5"/>
        <v>1</v>
      </c>
    </row>
    <row r="14" spans="1:29" ht="85.5">
      <c r="A14" s="439" t="s">
        <v>2560</v>
      </c>
      <c r="B14" s="68" t="s">
        <v>2710</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10" t="s">
        <v>2561</v>
      </c>
      <c r="Q14" s="1812" t="str">
        <f t="shared" si="6"/>
        <v>交通便捷度</v>
      </c>
      <c r="R14" s="773" t="s">
        <v>17</v>
      </c>
      <c r="S14" s="774">
        <f t="shared" si="0"/>
        <v>100</v>
      </c>
      <c r="T14" s="773" t="s">
        <v>17</v>
      </c>
      <c r="U14" s="774">
        <f t="shared" si="1"/>
        <v>100</v>
      </c>
      <c r="V14" s="773" t="s">
        <v>17</v>
      </c>
      <c r="W14" s="774">
        <f t="shared" si="2"/>
        <v>100</v>
      </c>
      <c r="X14" s="1815"/>
      <c r="Y14" s="3310"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11"/>
      <c r="Q15" s="1812"/>
      <c r="R15" s="773"/>
      <c r="S15" s="774"/>
      <c r="T15" s="773"/>
      <c r="U15" s="774"/>
      <c r="V15" s="773"/>
      <c r="W15" s="774"/>
      <c r="X15" s="1815"/>
      <c r="Y15" s="3311"/>
      <c r="Z15" s="1816"/>
      <c r="AA15" s="1813">
        <v>1</v>
      </c>
      <c r="AB15" s="1813">
        <v>1</v>
      </c>
      <c r="AC15" s="1813">
        <v>1</v>
      </c>
    </row>
    <row r="16" spans="1:29" ht="42.75">
      <c r="A16" s="427"/>
      <c r="B16" s="450" t="s">
        <v>2689</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11"/>
      <c r="Q16" s="1812" t="str">
        <f>B16</f>
        <v>公共配套设施</v>
      </c>
      <c r="R16" s="773" t="s">
        <v>17</v>
      </c>
      <c r="S16" s="774">
        <f>F16</f>
        <v>100</v>
      </c>
      <c r="T16" s="773" t="s">
        <v>17</v>
      </c>
      <c r="U16" s="774">
        <f>H16</f>
        <v>100</v>
      </c>
      <c r="V16" s="773" t="s">
        <v>17</v>
      </c>
      <c r="W16" s="774">
        <f>J16</f>
        <v>100</v>
      </c>
      <c r="X16" s="1815"/>
      <c r="Y16" s="3311"/>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11"/>
      <c r="Q17" s="1812"/>
      <c r="R17" s="773"/>
      <c r="S17" s="774"/>
      <c r="T17" s="773"/>
      <c r="U17" s="774"/>
      <c r="V17" s="773"/>
      <c r="W17" s="774"/>
      <c r="X17" s="1815"/>
      <c r="Y17" s="3311"/>
      <c r="Z17" s="1816"/>
      <c r="AA17" s="1813">
        <v>1</v>
      </c>
      <c r="AB17" s="1813">
        <v>1</v>
      </c>
      <c r="AC17" s="1813">
        <v>1</v>
      </c>
    </row>
    <row r="18" spans="1:29" ht="28.5">
      <c r="A18" s="427"/>
      <c r="B18" s="1386" t="s">
        <v>2690</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11"/>
      <c r="Q18" s="1812" t="str">
        <f>B18</f>
        <v>基础设施水平</v>
      </c>
      <c r="R18" s="773" t="s">
        <v>17</v>
      </c>
      <c r="S18" s="774">
        <f>F18</f>
        <v>100</v>
      </c>
      <c r="T18" s="773" t="s">
        <v>17</v>
      </c>
      <c r="U18" s="774">
        <f>H18</f>
        <v>100</v>
      </c>
      <c r="V18" s="773" t="s">
        <v>17</v>
      </c>
      <c r="W18" s="774">
        <f>J18</f>
        <v>100</v>
      </c>
      <c r="X18" s="1815"/>
      <c r="Y18" s="3311"/>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11"/>
      <c r="Q19" s="1812"/>
      <c r="R19" s="773"/>
      <c r="S19" s="774"/>
      <c r="T19" s="773"/>
      <c r="U19" s="774"/>
      <c r="V19" s="773"/>
      <c r="W19" s="774"/>
      <c r="X19" s="1815"/>
      <c r="Y19" s="3311"/>
      <c r="Z19" s="1816"/>
      <c r="AA19" s="1813">
        <v>1</v>
      </c>
      <c r="AB19" s="1813">
        <v>1</v>
      </c>
      <c r="AC19" s="1813">
        <v>1</v>
      </c>
    </row>
    <row r="20" spans="1:29" ht="57">
      <c r="A20" s="427"/>
      <c r="B20" s="450" t="s">
        <v>2711</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11"/>
      <c r="Q20" s="1812" t="str">
        <f>B20</f>
        <v>自然及人文环境</v>
      </c>
      <c r="R20" s="773" t="s">
        <v>17</v>
      </c>
      <c r="S20" s="774">
        <f>F20</f>
        <v>100</v>
      </c>
      <c r="T20" s="773" t="s">
        <v>17</v>
      </c>
      <c r="U20" s="774">
        <f>H20</f>
        <v>100</v>
      </c>
      <c r="V20" s="773" t="s">
        <v>17</v>
      </c>
      <c r="W20" s="774">
        <f>J20</f>
        <v>100</v>
      </c>
      <c r="X20" s="1815"/>
      <c r="Y20" s="331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11"/>
      <c r="Q21" s="1812"/>
      <c r="R21" s="773"/>
      <c r="S21" s="774"/>
      <c r="T21" s="773"/>
      <c r="U21" s="774"/>
      <c r="V21" s="773"/>
      <c r="W21" s="774"/>
      <c r="X21" s="1815"/>
      <c r="Y21" s="3311"/>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11"/>
      <c r="Q22" s="1812" t="str">
        <f>B22</f>
        <v>楼层</v>
      </c>
      <c r="R22" s="773" t="s">
        <v>17</v>
      </c>
      <c r="S22" s="774">
        <f>F22</f>
        <v>100</v>
      </c>
      <c r="T22" s="773" t="s">
        <v>17</v>
      </c>
      <c r="U22" s="774">
        <f>H22</f>
        <v>100</v>
      </c>
      <c r="V22" s="773" t="s">
        <v>17</v>
      </c>
      <c r="W22" s="774">
        <f>J22</f>
        <v>100</v>
      </c>
      <c r="X22" s="1815"/>
      <c r="Y22" s="3311"/>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11"/>
      <c r="Q23" s="1812">
        <f>B23</f>
        <v>111</v>
      </c>
      <c r="R23" s="773" t="s">
        <v>17</v>
      </c>
      <c r="S23" s="774">
        <f>F23</f>
        <v>100</v>
      </c>
      <c r="T23" s="773" t="s">
        <v>17</v>
      </c>
      <c r="U23" s="774">
        <f>H23</f>
        <v>100</v>
      </c>
      <c r="V23" s="773" t="s">
        <v>17</v>
      </c>
      <c r="W23" s="774">
        <f>J23</f>
        <v>100</v>
      </c>
      <c r="X23" s="1815"/>
      <c r="Y23" s="3311"/>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11"/>
      <c r="Q24" s="1812">
        <f t="shared" ref="Q24:Q34" si="11">B24</f>
        <v>111</v>
      </c>
      <c r="R24" s="773" t="s">
        <v>17</v>
      </c>
      <c r="S24" s="774">
        <f>F24</f>
        <v>100</v>
      </c>
      <c r="T24" s="773" t="s">
        <v>17</v>
      </c>
      <c r="U24" s="774">
        <f>H24</f>
        <v>100</v>
      </c>
      <c r="V24" s="773" t="s">
        <v>17</v>
      </c>
      <c r="W24" s="774">
        <f>J24</f>
        <v>100</v>
      </c>
      <c r="X24" s="1815"/>
      <c r="Y24" s="3311"/>
      <c r="Z24" s="1816">
        <f>Q24</f>
        <v>111</v>
      </c>
      <c r="AA24" s="1813">
        <f t="shared" si="3"/>
        <v>1</v>
      </c>
      <c r="AB24" s="1813">
        <f t="shared" si="4"/>
        <v>1</v>
      </c>
      <c r="AC24" s="1813">
        <f t="shared" si="5"/>
        <v>1</v>
      </c>
    </row>
    <row r="25" spans="1:29" s="116"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11"/>
      <c r="Q25" s="1797">
        <f t="shared" si="11"/>
        <v>111</v>
      </c>
      <c r="R25" s="769" t="s">
        <v>17</v>
      </c>
      <c r="S25" s="770">
        <f>F25</f>
        <v>100</v>
      </c>
      <c r="T25" s="769" t="s">
        <v>17</v>
      </c>
      <c r="U25" s="770">
        <f>H25</f>
        <v>100</v>
      </c>
      <c r="V25" s="769" t="s">
        <v>17</v>
      </c>
      <c r="W25" s="770">
        <f>J25</f>
        <v>100</v>
      </c>
      <c r="X25" s="771"/>
      <c r="Y25" s="3311"/>
      <c r="Z25" s="54">
        <f>Q25</f>
        <v>111</v>
      </c>
      <c r="AA25" s="1813">
        <f>D25/F25</f>
        <v>1</v>
      </c>
      <c r="AB25" s="1813">
        <f>D25/H25</f>
        <v>1</v>
      </c>
      <c r="AC25" s="1813">
        <f>D25/J25</f>
        <v>1</v>
      </c>
    </row>
    <row r="26" spans="1:29" ht="28.5">
      <c r="A26" s="465" t="s">
        <v>2564</v>
      </c>
      <c r="B26" s="70" t="s">
        <v>2715</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312"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13"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13"/>
      <c r="Q27" s="775" t="str">
        <f t="shared" si="11"/>
        <v>成新率</v>
      </c>
      <c r="R27" s="776" t="s">
        <v>17</v>
      </c>
      <c r="S27" s="777" t="e">
        <f t="shared" si="12"/>
        <v>#N/A</v>
      </c>
      <c r="T27" s="776" t="s">
        <v>17</v>
      </c>
      <c r="U27" s="777" t="e">
        <f t="shared" si="13"/>
        <v>#N/A</v>
      </c>
      <c r="V27" s="776" t="s">
        <v>17</v>
      </c>
      <c r="W27" s="777" t="e">
        <f t="shared" si="14"/>
        <v>#N/A</v>
      </c>
      <c r="X27" s="778"/>
      <c r="Y27" s="3313"/>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13"/>
      <c r="Q28" s="1812" t="str">
        <f t="shared" si="11"/>
        <v>物业等级</v>
      </c>
      <c r="R28" s="773" t="s">
        <v>17</v>
      </c>
      <c r="S28" s="774">
        <f t="shared" si="12"/>
        <v>100</v>
      </c>
      <c r="T28" s="773" t="s">
        <v>17</v>
      </c>
      <c r="U28" s="774">
        <f t="shared" si="13"/>
        <v>100</v>
      </c>
      <c r="V28" s="773" t="s">
        <v>17</v>
      </c>
      <c r="W28" s="774">
        <f t="shared" si="14"/>
        <v>100</v>
      </c>
      <c r="X28" s="1815"/>
      <c r="Y28" s="3313"/>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13"/>
      <c r="Q29" s="1812" t="str">
        <f t="shared" si="11"/>
        <v>有无电梯</v>
      </c>
      <c r="R29" s="773" t="s">
        <v>17</v>
      </c>
      <c r="S29" s="774">
        <f t="shared" si="12"/>
        <v>100</v>
      </c>
      <c r="T29" s="773" t="s">
        <v>17</v>
      </c>
      <c r="U29" s="774">
        <f t="shared" si="13"/>
        <v>100</v>
      </c>
      <c r="V29" s="773" t="s">
        <v>17</v>
      </c>
      <c r="W29" s="774">
        <f t="shared" si="14"/>
        <v>100</v>
      </c>
      <c r="X29" s="1815"/>
      <c r="Y29" s="3313"/>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13"/>
      <c r="Q30" s="1812" t="str">
        <f t="shared" si="11"/>
        <v>建筑面积</v>
      </c>
      <c r="R30" s="773" t="s">
        <v>17</v>
      </c>
      <c r="S30" s="774" t="e">
        <f t="shared" si="12"/>
        <v>#N/A</v>
      </c>
      <c r="T30" s="773" t="s">
        <v>17</v>
      </c>
      <c r="U30" s="774" t="e">
        <f t="shared" si="13"/>
        <v>#N/A</v>
      </c>
      <c r="V30" s="773" t="s">
        <v>17</v>
      </c>
      <c r="W30" s="774" t="e">
        <f t="shared" si="14"/>
        <v>#N/A</v>
      </c>
      <c r="X30" s="1815"/>
      <c r="Y30" s="3313"/>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13"/>
      <c r="Q31" s="1797" t="str">
        <f t="shared" si="11"/>
        <v>是否封闭</v>
      </c>
      <c r="R31" s="769" t="s">
        <v>17</v>
      </c>
      <c r="S31" s="770">
        <f t="shared" si="12"/>
        <v>100</v>
      </c>
      <c r="T31" s="769" t="s">
        <v>17</v>
      </c>
      <c r="U31" s="770">
        <f t="shared" si="13"/>
        <v>100</v>
      </c>
      <c r="V31" s="769" t="s">
        <v>17</v>
      </c>
      <c r="W31" s="770">
        <f t="shared" si="14"/>
        <v>100</v>
      </c>
      <c r="X31" s="771"/>
      <c r="Y31" s="3313"/>
      <c r="Z31" s="54"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13" t="s">
        <v>2566</v>
      </c>
      <c r="Q32" s="1812">
        <f t="shared" si="11"/>
        <v>111</v>
      </c>
      <c r="R32" s="773" t="s">
        <v>17</v>
      </c>
      <c r="S32" s="774">
        <f t="shared" si="12"/>
        <v>100</v>
      </c>
      <c r="T32" s="773" t="s">
        <v>17</v>
      </c>
      <c r="U32" s="774">
        <f t="shared" si="13"/>
        <v>100</v>
      </c>
      <c r="V32" s="773" t="s">
        <v>17</v>
      </c>
      <c r="W32" s="774">
        <f t="shared" si="14"/>
        <v>100</v>
      </c>
      <c r="X32" s="1815"/>
      <c r="Y32" s="3313" t="s">
        <v>2566</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13"/>
      <c r="Q33" s="1812">
        <f t="shared" si="11"/>
        <v>111</v>
      </c>
      <c r="R33" s="773" t="s">
        <v>17</v>
      </c>
      <c r="S33" s="774">
        <f t="shared" si="12"/>
        <v>100</v>
      </c>
      <c r="T33" s="773" t="s">
        <v>17</v>
      </c>
      <c r="U33" s="774">
        <f t="shared" si="13"/>
        <v>100</v>
      </c>
      <c r="V33" s="773" t="s">
        <v>17</v>
      </c>
      <c r="W33" s="774">
        <f t="shared" si="14"/>
        <v>100</v>
      </c>
      <c r="X33" s="1815"/>
      <c r="Y33" s="3313"/>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13"/>
      <c r="Q34" s="1812">
        <f t="shared" si="11"/>
        <v>111</v>
      </c>
      <c r="R34" s="773" t="s">
        <v>17</v>
      </c>
      <c r="S34" s="774">
        <f t="shared" si="12"/>
        <v>100</v>
      </c>
      <c r="T34" s="773" t="s">
        <v>17</v>
      </c>
      <c r="U34" s="774">
        <f t="shared" si="13"/>
        <v>100</v>
      </c>
      <c r="V34" s="773" t="s">
        <v>17</v>
      </c>
      <c r="W34" s="774">
        <f t="shared" si="14"/>
        <v>100</v>
      </c>
      <c r="X34" s="1815"/>
      <c r="Y34" s="3313"/>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95" t="str">
        <f>A35</f>
        <v>成交单价（元/平方米）</v>
      </c>
      <c r="Q35" s="3295"/>
      <c r="R35" s="3349">
        <f>E35</f>
        <v>0</v>
      </c>
      <c r="S35" s="3349"/>
      <c r="T35" s="3349">
        <f>G35</f>
        <v>0</v>
      </c>
      <c r="U35" s="3349"/>
      <c r="V35" s="3349">
        <f>I35</f>
        <v>0</v>
      </c>
      <c r="W35" s="3349"/>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95" t="str">
        <f>A36</f>
        <v>比较价值（元/平方米）</v>
      </c>
      <c r="Q36" s="3295"/>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315" t="str">
        <f>A37</f>
        <v>估价对象XX用房的比较价值（楼面单价，元/平方米）</v>
      </c>
      <c r="Q37" s="3316"/>
      <c r="R37" s="3348" t="e">
        <f>IF(F1="售价",ROUND(AVERAGE(R36:V36),0),ROUND(AVERAGE(R36:V36),1))</f>
        <v>#DIV/0!</v>
      </c>
      <c r="S37" s="3348"/>
      <c r="T37" s="3348"/>
      <c r="U37" s="3348"/>
      <c r="V37" s="3348"/>
      <c r="W37" s="334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63"/>
      <c r="B4" s="3053" t="s">
        <v>1626</v>
      </c>
      <c r="C4" s="3053"/>
      <c r="D4" s="3053"/>
      <c r="E4" s="1963"/>
    </row>
    <row r="5" spans="1:5" ht="16.5" thickTop="1">
      <c r="A5" s="1961"/>
      <c r="B5" s="3051" t="s">
        <v>1618</v>
      </c>
      <c r="C5" s="1964" t="s">
        <v>1619</v>
      </c>
      <c r="D5" s="1042">
        <f ca="1">结果表!H101</f>
        <v>274424</v>
      </c>
      <c r="E5" s="1961"/>
    </row>
    <row r="6" spans="1:5" ht="15.75">
      <c r="A6" s="1961"/>
      <c r="B6" s="3051"/>
      <c r="C6" s="1964" t="s">
        <v>1620</v>
      </c>
      <c r="D6" s="1042" t="str">
        <f ca="1">NUMBERSTRING(INT(D5*10000),2)&amp;"元整"</f>
        <v>贰拾柒亿肆仟肆佰贰拾肆万元整</v>
      </c>
      <c r="E6" s="1961"/>
    </row>
    <row r="7" spans="1:5" ht="15.75">
      <c r="A7" s="1961"/>
      <c r="B7" s="3056"/>
      <c r="C7" s="1965" t="s">
        <v>1621</v>
      </c>
      <c r="D7" s="1043">
        <f ca="1">结果表!H102</f>
        <v>17358</v>
      </c>
      <c r="E7" s="1961"/>
    </row>
    <row r="8" spans="1:5" ht="15.75">
      <c r="A8" s="1961"/>
      <c r="B8" s="3057" t="str">
        <f>结果表!E103</f>
        <v>2.估价师知悉的法定优先受偿款</v>
      </c>
      <c r="C8" s="1966" t="s">
        <v>1622</v>
      </c>
      <c r="D8" s="1043">
        <f>结果表!H103</f>
        <v>457</v>
      </c>
      <c r="E8" s="1961"/>
    </row>
    <row r="9" spans="1:5" ht="15.75">
      <c r="A9" s="1961"/>
      <c r="B9" s="3059"/>
      <c r="C9" s="1964" t="s">
        <v>1620</v>
      </c>
      <c r="D9" s="1042" t="str">
        <f>NUMBERSTRING(INT(D8*10000),2)&amp;"元整"</f>
        <v>肆佰伍拾柒万元整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457</v>
      </c>
      <c r="E12" s="1961"/>
    </row>
    <row r="13" spans="1:5" ht="15.75">
      <c r="A13" s="1961"/>
      <c r="B13" s="3050" t="str">
        <f>结果表!E107</f>
        <v>3.房地产抵押价值</v>
      </c>
      <c r="C13" s="1969" t="s">
        <v>1619</v>
      </c>
      <c r="D13" s="1045">
        <f ca="1">结果表!H107</f>
        <v>273967</v>
      </c>
      <c r="E13" s="1961"/>
    </row>
    <row r="14" spans="1:5" ht="15.75">
      <c r="A14" s="1961"/>
      <c r="B14" s="3051"/>
      <c r="C14" s="1964" t="s">
        <v>1620</v>
      </c>
      <c r="D14" s="1042" t="str">
        <f ca="1">NUMBERSTRING(INT(D13*10000),2)&amp;"元整"</f>
        <v>贰拾柒亿叁仟玖佰陆拾柒万元整</v>
      </c>
      <c r="E14" s="1961"/>
    </row>
    <row r="15" spans="1:5" ht="15">
      <c r="A15" s="1961"/>
      <c r="B15" s="3056"/>
      <c r="C15" s="1965" t="s">
        <v>1630</v>
      </c>
      <c r="D15" s="1054">
        <f ca="1">结果表!H108</f>
        <v>17329</v>
      </c>
      <c r="E15" s="1961"/>
    </row>
    <row r="16" spans="1:5" ht="15">
      <c r="A16" s="1961"/>
      <c r="B16" s="3057" t="str">
        <f>结果表!E109</f>
        <v>——</v>
      </c>
      <c r="C16" s="1969" t="s">
        <v>1631</v>
      </c>
      <c r="D16" s="1970" t="str">
        <f>结果表!H109</f>
        <v>——</v>
      </c>
      <c r="E16" s="1961"/>
    </row>
    <row r="17" spans="1:5" ht="15.75">
      <c r="A17" s="1961"/>
      <c r="B17" s="3058"/>
      <c r="C17" s="1964" t="s">
        <v>1632</v>
      </c>
      <c r="D17" s="1042" t="e">
        <f>NUMBERSTRING(INT(D16*10000),2)&amp;"元整"</f>
        <v>#VALUE!</v>
      </c>
      <c r="E17" s="1961"/>
    </row>
    <row r="18" spans="1:5" ht="15">
      <c r="A18" s="1961"/>
      <c r="B18" s="3059"/>
      <c r="C18" s="1965" t="s">
        <v>1621</v>
      </c>
      <c r="D18" s="1054" t="str">
        <f>结果表!H110</f>
        <v>——</v>
      </c>
      <c r="E18" s="1961"/>
    </row>
    <row r="19" spans="1:5" ht="15.75">
      <c r="A19" s="1961"/>
      <c r="B19" s="3050" t="str">
        <f>结果表!E111</f>
        <v>——</v>
      </c>
      <c r="C19" s="1969" t="s">
        <v>1619</v>
      </c>
      <c r="D19" s="1043" t="str">
        <f>结果表!H111</f>
        <v>——</v>
      </c>
      <c r="E19" s="1961"/>
    </row>
    <row r="20" spans="1:5" ht="15.75">
      <c r="A20" s="1961"/>
      <c r="B20" s="3051"/>
      <c r="C20" s="1964" t="s">
        <v>1632</v>
      </c>
      <c r="D20" s="1042" t="e">
        <f>NUMBERSTRING(INT(D19*10000),2)&amp;"元整"</f>
        <v>#VALUE!</v>
      </c>
      <c r="E20" s="1961"/>
    </row>
    <row r="21" spans="1:5" ht="15.75" thickBot="1">
      <c r="A21" s="1961"/>
      <c r="B21" s="3052"/>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96" t="s">
        <v>2647</v>
      </c>
      <c r="D4" s="3297"/>
      <c r="E4" s="3298" t="s">
        <v>2648</v>
      </c>
      <c r="F4" s="3299"/>
      <c r="G4" s="3296" t="s">
        <v>2649</v>
      </c>
      <c r="H4" s="3297"/>
      <c r="I4" s="3296" t="s">
        <v>2650</v>
      </c>
      <c r="J4" s="3297"/>
      <c r="K4" s="609" t="s">
        <v>2651</v>
      </c>
      <c r="L4" s="1132"/>
      <c r="M4" s="1133"/>
      <c r="N4" s="1133"/>
      <c r="O4" s="1133"/>
      <c r="P4" s="3300" t="s">
        <v>2652</v>
      </c>
      <c r="Q4" s="3301"/>
      <c r="R4" s="3283" t="s">
        <v>2648</v>
      </c>
      <c r="S4" s="3284"/>
      <c r="T4" s="3283" t="s">
        <v>2649</v>
      </c>
      <c r="U4" s="3284"/>
      <c r="V4" s="3308" t="s">
        <v>2650</v>
      </c>
      <c r="W4" s="3308"/>
      <c r="X4" s="1815"/>
      <c r="Y4" s="3283" t="s">
        <v>2652</v>
      </c>
      <c r="Z4" s="3284"/>
      <c r="AA4" s="3278" t="s">
        <v>2648</v>
      </c>
      <c r="AB4" s="3279" t="s">
        <v>2649</v>
      </c>
      <c r="AC4" s="3278" t="s">
        <v>2650</v>
      </c>
    </row>
    <row r="5" spans="1:29" ht="15">
      <c r="A5" s="403"/>
      <c r="B5" s="404"/>
      <c r="C5" s="3289" t="s">
        <v>2543</v>
      </c>
      <c r="D5" s="3290"/>
      <c r="E5" s="3287" t="s">
        <v>2544</v>
      </c>
      <c r="F5" s="3288"/>
      <c r="G5" s="3289" t="s">
        <v>2545</v>
      </c>
      <c r="H5" s="3290"/>
      <c r="I5" s="3289" t="s">
        <v>2546</v>
      </c>
      <c r="J5" s="3290"/>
      <c r="K5" s="609"/>
      <c r="L5" s="1132"/>
      <c r="M5" s="1133"/>
      <c r="N5" s="1133"/>
      <c r="O5" s="1133"/>
      <c r="P5" s="3302"/>
      <c r="Q5" s="3303"/>
      <c r="R5" s="3285"/>
      <c r="S5" s="3286"/>
      <c r="T5" s="3285"/>
      <c r="U5" s="3286"/>
      <c r="V5" s="3308"/>
      <c r="W5" s="3308"/>
      <c r="X5" s="1815"/>
      <c r="Y5" s="3285"/>
      <c r="Z5" s="3286"/>
      <c r="AA5" s="3279"/>
      <c r="AB5" s="3279"/>
      <c r="AC5" s="3279"/>
    </row>
    <row r="6" spans="1:29" ht="15.75" thickBot="1">
      <c r="A6" s="405"/>
      <c r="B6" s="406"/>
      <c r="C6" s="3371" t="s">
        <v>2798</v>
      </c>
      <c r="D6" s="3372"/>
      <c r="E6" s="3373" t="s">
        <v>2798</v>
      </c>
      <c r="F6" s="3374"/>
      <c r="G6" s="3371" t="s">
        <v>2798</v>
      </c>
      <c r="H6" s="3372"/>
      <c r="I6" s="3371" t="s">
        <v>2798</v>
      </c>
      <c r="J6" s="3372"/>
      <c r="K6" s="609" t="s">
        <v>2548</v>
      </c>
      <c r="L6" s="1132"/>
      <c r="M6" s="1133"/>
      <c r="N6" s="1133"/>
      <c r="O6" s="1133"/>
      <c r="P6" s="3304"/>
      <c r="Q6" s="3305"/>
      <c r="R6" s="3285"/>
      <c r="S6" s="3286"/>
      <c r="T6" s="3306"/>
      <c r="U6" s="3307"/>
      <c r="V6" s="3308"/>
      <c r="W6" s="3308"/>
      <c r="X6" s="1815"/>
      <c r="Y6" s="3306"/>
      <c r="Z6" s="3307"/>
      <c r="AA6" s="3280"/>
      <c r="AB6" s="3280"/>
      <c r="AC6" s="3280"/>
    </row>
    <row r="7" spans="1:29" s="116" customFormat="1" ht="15.75" thickBot="1">
      <c r="A7" s="407" t="s">
        <v>2549</v>
      </c>
      <c r="B7" s="408"/>
      <c r="C7" s="409">
        <f>'数据-取费表'!B2</f>
        <v>43481</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281" t="s">
        <v>2550</v>
      </c>
      <c r="Q7" s="3309"/>
      <c r="R7" s="769" t="s">
        <v>17</v>
      </c>
      <c r="S7" s="770">
        <f t="shared" ref="S7:S15" si="0">F7</f>
        <v>0</v>
      </c>
      <c r="T7" s="769" t="s">
        <v>17</v>
      </c>
      <c r="U7" s="770">
        <f t="shared" ref="U7:U15" si="1">H7</f>
        <v>0</v>
      </c>
      <c r="V7" s="769" t="s">
        <v>17</v>
      </c>
      <c r="W7" s="770">
        <f t="shared" ref="W7:W15" si="2">J7</f>
        <v>0</v>
      </c>
      <c r="X7" s="771"/>
      <c r="Y7" s="3281" t="s">
        <v>2550</v>
      </c>
      <c r="Z7" s="3282"/>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81" t="s">
        <v>2553</v>
      </c>
      <c r="Q8" s="3282"/>
      <c r="R8" s="769" t="s">
        <v>17</v>
      </c>
      <c r="S8" s="770">
        <f t="shared" si="0"/>
        <v>0</v>
      </c>
      <c r="T8" s="769" t="s">
        <v>17</v>
      </c>
      <c r="U8" s="770">
        <f t="shared" si="1"/>
        <v>0</v>
      </c>
      <c r="V8" s="769" t="s">
        <v>17</v>
      </c>
      <c r="W8" s="770">
        <f t="shared" si="2"/>
        <v>0</v>
      </c>
      <c r="X8" s="771"/>
      <c r="Y8" s="3281" t="s">
        <v>2553</v>
      </c>
      <c r="Z8" s="3282"/>
      <c r="AA8" s="772" t="e">
        <f t="shared" ref="AA8:AA40" si="3">D8/F8</f>
        <v>#DIV/0!</v>
      </c>
      <c r="AB8" s="772" t="e">
        <f t="shared" ref="AB8:AB40" si="4">D8/H8</f>
        <v>#DIV/0!</v>
      </c>
      <c r="AC8" s="772" t="e">
        <f t="shared" ref="AC8:AC40" si="5">D8/J8</f>
        <v>#DIV/0!</v>
      </c>
    </row>
    <row r="9" spans="1:29" s="116" customFormat="1">
      <c r="A9" s="414" t="s">
        <v>2554</v>
      </c>
      <c r="B9" s="70" t="s">
        <v>2555</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295" t="s">
        <v>2556</v>
      </c>
      <c r="Q9" s="1797" t="str">
        <f t="shared" ref="Q9:Q15" si="6">B9</f>
        <v>用途</v>
      </c>
      <c r="R9" s="769" t="s">
        <v>17</v>
      </c>
      <c r="S9" s="770">
        <f t="shared" si="0"/>
        <v>100</v>
      </c>
      <c r="T9" s="769" t="s">
        <v>17</v>
      </c>
      <c r="U9" s="770">
        <f t="shared" si="1"/>
        <v>100</v>
      </c>
      <c r="V9" s="769" t="s">
        <v>17</v>
      </c>
      <c r="W9" s="770">
        <f t="shared" si="2"/>
        <v>100</v>
      </c>
      <c r="X9" s="771"/>
      <c r="Y9" s="3115"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 ca="1">ROUND(100/'数据-取费表'!G16,0)</f>
        <v>103</v>
      </c>
      <c r="G10" s="431"/>
      <c r="H10" s="135">
        <f ca="1">ROUND(100/'数据-取费表'!G16,0)</f>
        <v>103</v>
      </c>
      <c r="I10" s="431"/>
      <c r="J10" s="135">
        <f ca="1">ROUND(100/'数据-取费表'!G16,0)</f>
        <v>103</v>
      </c>
      <c r="K10" s="671"/>
      <c r="L10" s="1137"/>
      <c r="M10" s="1138"/>
      <c r="N10" s="1138"/>
      <c r="O10" s="1139"/>
      <c r="P10" s="3295"/>
      <c r="Q10" s="1797" t="str">
        <f t="shared" si="6"/>
        <v>土地使用年限（年）</v>
      </c>
      <c r="R10" s="769" t="s">
        <v>17</v>
      </c>
      <c r="S10" s="770">
        <f t="shared" ca="1" si="0"/>
        <v>103</v>
      </c>
      <c r="T10" s="769" t="s">
        <v>17</v>
      </c>
      <c r="U10" s="770">
        <f t="shared" ca="1" si="1"/>
        <v>103</v>
      </c>
      <c r="V10" s="769" t="s">
        <v>17</v>
      </c>
      <c r="W10" s="770">
        <f t="shared" ca="1" si="2"/>
        <v>103</v>
      </c>
      <c r="X10" s="771"/>
      <c r="Y10" s="3115"/>
      <c r="Z10" s="54" t="str">
        <f t="shared" si="7"/>
        <v>土地使用年限（年）</v>
      </c>
      <c r="AA10" s="772">
        <f t="shared" ca="1" si="3"/>
        <v>0.970873786407767</v>
      </c>
      <c r="AB10" s="772">
        <f t="shared" ca="1" si="4"/>
        <v>0.970873786407767</v>
      </c>
      <c r="AC10" s="772">
        <f t="shared" ca="1" si="5"/>
        <v>0.970873786407767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95"/>
      <c r="Q11" s="1797" t="str">
        <f t="shared" si="6"/>
        <v>容积率</v>
      </c>
      <c r="R11" s="769" t="s">
        <v>17</v>
      </c>
      <c r="S11" s="770" t="e">
        <f t="shared" si="0"/>
        <v>#N/A</v>
      </c>
      <c r="T11" s="769" t="s">
        <v>17</v>
      </c>
      <c r="U11" s="770" t="e">
        <f t="shared" si="1"/>
        <v>#N/A</v>
      </c>
      <c r="V11" s="769" t="s">
        <v>17</v>
      </c>
      <c r="W11" s="770" t="e">
        <f t="shared" si="2"/>
        <v>#N/A</v>
      </c>
      <c r="X11" s="771"/>
      <c r="Y11" s="3115"/>
      <c r="Z11" s="54"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95"/>
      <c r="Q12" s="1797">
        <f t="shared" si="6"/>
        <v>111</v>
      </c>
      <c r="R12" s="769" t="s">
        <v>17</v>
      </c>
      <c r="S12" s="770">
        <f t="shared" si="0"/>
        <v>100</v>
      </c>
      <c r="T12" s="769" t="s">
        <v>17</v>
      </c>
      <c r="U12" s="770">
        <f t="shared" si="1"/>
        <v>100</v>
      </c>
      <c r="V12" s="769" t="s">
        <v>17</v>
      </c>
      <c r="W12" s="770">
        <f t="shared" si="2"/>
        <v>100</v>
      </c>
      <c r="X12" s="771"/>
      <c r="Y12" s="3115"/>
      <c r="Z12" s="54">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95"/>
      <c r="Q13" s="1797">
        <f t="shared" si="6"/>
        <v>111</v>
      </c>
      <c r="R13" s="769" t="s">
        <v>17</v>
      </c>
      <c r="S13" s="770">
        <f t="shared" si="0"/>
        <v>100</v>
      </c>
      <c r="T13" s="769" t="s">
        <v>17</v>
      </c>
      <c r="U13" s="770">
        <f t="shared" si="1"/>
        <v>100</v>
      </c>
      <c r="V13" s="769" t="s">
        <v>17</v>
      </c>
      <c r="W13" s="770">
        <f t="shared" si="2"/>
        <v>100</v>
      </c>
      <c r="X13" s="771"/>
      <c r="Y13" s="3115"/>
      <c r="Z13" s="54">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95"/>
      <c r="Q14" s="1797">
        <f t="shared" si="6"/>
        <v>111</v>
      </c>
      <c r="R14" s="769" t="s">
        <v>17</v>
      </c>
      <c r="S14" s="770">
        <f t="shared" si="0"/>
        <v>100</v>
      </c>
      <c r="T14" s="769" t="s">
        <v>17</v>
      </c>
      <c r="U14" s="770">
        <f t="shared" si="1"/>
        <v>100</v>
      </c>
      <c r="V14" s="769" t="s">
        <v>17</v>
      </c>
      <c r="W14" s="770">
        <f t="shared" si="2"/>
        <v>100</v>
      </c>
      <c r="X14" s="771"/>
      <c r="Y14" s="3115"/>
      <c r="Z14" s="54">
        <f t="shared" si="7"/>
        <v>111</v>
      </c>
      <c r="AA14" s="772">
        <f t="shared" si="3"/>
        <v>1</v>
      </c>
      <c r="AB14" s="772">
        <f t="shared" si="4"/>
        <v>1</v>
      </c>
      <c r="AC14" s="772">
        <f t="shared" si="5"/>
        <v>1</v>
      </c>
    </row>
    <row r="15" spans="1:29" ht="57">
      <c r="A15" s="439" t="s">
        <v>2560</v>
      </c>
      <c r="B15" s="628" t="s">
        <v>2799</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10" t="s">
        <v>2561</v>
      </c>
      <c r="Q15" s="1812" t="str">
        <f t="shared" si="6"/>
        <v>产业集聚程度</v>
      </c>
      <c r="R15" s="773" t="s">
        <v>17</v>
      </c>
      <c r="S15" s="774">
        <f t="shared" si="0"/>
        <v>100</v>
      </c>
      <c r="T15" s="773" t="s">
        <v>17</v>
      </c>
      <c r="U15" s="774">
        <f t="shared" si="1"/>
        <v>100</v>
      </c>
      <c r="V15" s="773" t="s">
        <v>17</v>
      </c>
      <c r="W15" s="774">
        <f t="shared" si="2"/>
        <v>100</v>
      </c>
      <c r="X15" s="1815"/>
      <c r="Y15" s="3310" t="s">
        <v>2561</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11"/>
      <c r="Q16" s="1812"/>
      <c r="R16" s="773"/>
      <c r="S16" s="774"/>
      <c r="T16" s="773"/>
      <c r="U16" s="774"/>
      <c r="V16" s="773"/>
      <c r="W16" s="774"/>
      <c r="X16" s="1815"/>
      <c r="Y16" s="3311"/>
      <c r="Z16" s="1816"/>
      <c r="AA16" s="1813">
        <v>1</v>
      </c>
      <c r="AB16" s="1813">
        <v>1</v>
      </c>
      <c r="AC16" s="1813">
        <v>1</v>
      </c>
    </row>
    <row r="17" spans="1:29" ht="85.5">
      <c r="A17" s="427"/>
      <c r="B17" s="630" t="s">
        <v>2710</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11"/>
      <c r="Q17" s="1812" t="str">
        <f>B17</f>
        <v>交通便捷度</v>
      </c>
      <c r="R17" s="773" t="s">
        <v>17</v>
      </c>
      <c r="S17" s="774">
        <f>F17</f>
        <v>100</v>
      </c>
      <c r="T17" s="773" t="s">
        <v>17</v>
      </c>
      <c r="U17" s="774">
        <f>H17</f>
        <v>100</v>
      </c>
      <c r="V17" s="773" t="s">
        <v>17</v>
      </c>
      <c r="W17" s="774">
        <f>J17</f>
        <v>100</v>
      </c>
      <c r="X17" s="1815"/>
      <c r="Y17" s="3311"/>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11"/>
      <c r="Q18" s="1812"/>
      <c r="R18" s="773"/>
      <c r="S18" s="774"/>
      <c r="T18" s="773"/>
      <c r="U18" s="774"/>
      <c r="V18" s="773"/>
      <c r="W18" s="774"/>
      <c r="X18" s="1815"/>
      <c r="Y18" s="3311"/>
      <c r="Z18" s="1816"/>
      <c r="AA18" s="1813">
        <v>1</v>
      </c>
      <c r="AB18" s="1813">
        <v>1</v>
      </c>
      <c r="AC18" s="1813">
        <v>1</v>
      </c>
    </row>
    <row r="19" spans="1:29" ht="15">
      <c r="A19" s="427"/>
      <c r="B19" s="630" t="s">
        <v>2749</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11"/>
      <c r="Q19" s="1812" t="str">
        <f t="shared" ref="Q19:Q33" si="8">B19</f>
        <v>区域土地利用方向</v>
      </c>
      <c r="R19" s="773" t="s">
        <v>17</v>
      </c>
      <c r="S19" s="774">
        <f>F19</f>
        <v>100</v>
      </c>
      <c r="T19" s="773" t="s">
        <v>17</v>
      </c>
      <c r="U19" s="774">
        <f>H19</f>
        <v>100</v>
      </c>
      <c r="V19" s="773" t="s">
        <v>17</v>
      </c>
      <c r="W19" s="774">
        <f>J19</f>
        <v>100</v>
      </c>
      <c r="X19" s="1815"/>
      <c r="Y19" s="3311"/>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11"/>
      <c r="Q20" s="1812"/>
      <c r="R20" s="773"/>
      <c r="S20" s="774"/>
      <c r="T20" s="773"/>
      <c r="U20" s="774"/>
      <c r="V20" s="773"/>
      <c r="W20" s="774"/>
      <c r="X20" s="1815"/>
      <c r="Y20" s="3311"/>
      <c r="Z20" s="1816"/>
      <c r="AA20" s="1813"/>
      <c r="AB20" s="1813"/>
      <c r="AC20" s="1813"/>
    </row>
    <row r="21" spans="1:29" ht="71.25">
      <c r="A21" s="403"/>
      <c r="B21" s="630" t="s">
        <v>2800</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11"/>
      <c r="Q21" s="1812" t="str">
        <f t="shared" si="8"/>
        <v>环境状况</v>
      </c>
      <c r="R21" s="773" t="s">
        <v>17</v>
      </c>
      <c r="S21" s="774">
        <f>F21</f>
        <v>100</v>
      </c>
      <c r="T21" s="773" t="s">
        <v>17</v>
      </c>
      <c r="U21" s="774">
        <f>H21</f>
        <v>100</v>
      </c>
      <c r="V21" s="773" t="s">
        <v>17</v>
      </c>
      <c r="W21" s="774">
        <f>J21</f>
        <v>100</v>
      </c>
      <c r="X21" s="1815"/>
      <c r="Y21" s="3311"/>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11"/>
      <c r="Q22" s="1812"/>
      <c r="R22" s="773"/>
      <c r="S22" s="774"/>
      <c r="T22" s="773"/>
      <c r="U22" s="774"/>
      <c r="V22" s="773"/>
      <c r="W22" s="774"/>
      <c r="X22" s="1815"/>
      <c r="Y22" s="3311"/>
      <c r="Z22" s="1816"/>
      <c r="AA22" s="1813">
        <v>1</v>
      </c>
      <c r="AB22" s="1813">
        <v>1</v>
      </c>
      <c r="AC22" s="1813">
        <v>1</v>
      </c>
    </row>
    <row r="23" spans="1:29" s="116" customFormat="1" ht="42.75">
      <c r="A23" s="648"/>
      <c r="B23" s="632" t="s">
        <v>2655</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11"/>
      <c r="Q23" s="1797" t="str">
        <f t="shared" si="8"/>
        <v>公共配套设施</v>
      </c>
      <c r="R23" s="769" t="s">
        <v>17</v>
      </c>
      <c r="S23" s="770">
        <f>F23</f>
        <v>100</v>
      </c>
      <c r="T23" s="769" t="s">
        <v>17</v>
      </c>
      <c r="U23" s="770">
        <f>H23</f>
        <v>100</v>
      </c>
      <c r="V23" s="769" t="s">
        <v>17</v>
      </c>
      <c r="W23" s="770">
        <f>J23</f>
        <v>100</v>
      </c>
      <c r="X23" s="771"/>
      <c r="Y23" s="3311"/>
      <c r="Z23" s="54" t="str">
        <f>Q23</f>
        <v>公共配套设施</v>
      </c>
      <c r="AA23" s="1813">
        <f>D23/F23</f>
        <v>1</v>
      </c>
      <c r="AB23" s="1813">
        <f>D23/H23</f>
        <v>1</v>
      </c>
      <c r="AC23" s="1813">
        <f>D23/J23</f>
        <v>1</v>
      </c>
    </row>
    <row r="24" spans="1:29" s="116" customFormat="1" ht="15">
      <c r="A24" s="648"/>
      <c r="B24" s="631"/>
      <c r="C24" s="2705"/>
      <c r="D24" s="447"/>
      <c r="E24" s="2616"/>
      <c r="F24" s="447"/>
      <c r="G24" s="2616"/>
      <c r="H24" s="447"/>
      <c r="I24" s="446"/>
      <c r="J24" s="447"/>
      <c r="K24" s="671"/>
      <c r="L24" s="1134"/>
      <c r="M24" s="1135"/>
      <c r="N24" s="1135"/>
      <c r="O24" s="1136"/>
      <c r="P24" s="3311"/>
      <c r="Q24" s="1797"/>
      <c r="R24" s="769"/>
      <c r="S24" s="770"/>
      <c r="T24" s="769"/>
      <c r="U24" s="770"/>
      <c r="V24" s="769"/>
      <c r="W24" s="770"/>
      <c r="X24" s="771"/>
      <c r="Y24" s="3311"/>
      <c r="Z24" s="54"/>
      <c r="AA24" s="772">
        <v>1</v>
      </c>
      <c r="AB24" s="772">
        <v>1</v>
      </c>
      <c r="AC24" s="772">
        <v>1</v>
      </c>
    </row>
    <row r="25" spans="1:29" s="116" customFormat="1" ht="28.5">
      <c r="A25" s="648"/>
      <c r="B25" s="632" t="s">
        <v>2656</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11"/>
      <c r="Q25" s="1797" t="str">
        <f t="shared" ref="Q25" si="9">B25</f>
        <v>基础设施水平</v>
      </c>
      <c r="R25" s="769" t="s">
        <v>17</v>
      </c>
      <c r="S25" s="770">
        <f>F25</f>
        <v>100</v>
      </c>
      <c r="T25" s="769" t="s">
        <v>17</v>
      </c>
      <c r="U25" s="770">
        <f>H25</f>
        <v>100</v>
      </c>
      <c r="V25" s="769" t="s">
        <v>17</v>
      </c>
      <c r="W25" s="770">
        <f>J25</f>
        <v>100</v>
      </c>
      <c r="X25" s="771"/>
      <c r="Y25" s="3311"/>
      <c r="Z25" s="54" t="str">
        <f>Q25</f>
        <v>基础设施水平</v>
      </c>
      <c r="AA25" s="1813">
        <f>D25/F25</f>
        <v>1</v>
      </c>
      <c r="AB25" s="1813">
        <f>D25/H25</f>
        <v>1</v>
      </c>
      <c r="AC25" s="1813">
        <f>D25/J25</f>
        <v>1</v>
      </c>
    </row>
    <row r="26" spans="1:29" s="116" customFormat="1" ht="15">
      <c r="A26" s="648"/>
      <c r="B26" s="631"/>
      <c r="C26" s="2705"/>
      <c r="D26" s="447"/>
      <c r="E26" s="2706"/>
      <c r="F26" s="447"/>
      <c r="G26" s="2706"/>
      <c r="H26" s="447"/>
      <c r="I26" s="2706"/>
      <c r="J26" s="447"/>
      <c r="K26" s="671"/>
      <c r="L26" s="1134"/>
      <c r="M26" s="1135"/>
      <c r="N26" s="1135"/>
      <c r="O26" s="1136"/>
      <c r="P26" s="3311"/>
      <c r="Q26" s="1797"/>
      <c r="R26" s="769"/>
      <c r="S26" s="770"/>
      <c r="T26" s="769"/>
      <c r="U26" s="770"/>
      <c r="V26" s="769"/>
      <c r="W26" s="770"/>
      <c r="X26" s="771"/>
      <c r="Y26" s="3311"/>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1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11"/>
      <c r="Z27" s="1816" t="str">
        <f t="shared" ref="Z27:Z40" si="13">Q27</f>
        <v>临街状况</v>
      </c>
      <c r="AA27" s="1813">
        <f t="shared" si="3"/>
        <v>1</v>
      </c>
      <c r="AB27" s="1813">
        <f t="shared" si="4"/>
        <v>1</v>
      </c>
      <c r="AC27" s="1813">
        <f t="shared" si="5"/>
        <v>1</v>
      </c>
    </row>
    <row r="28" spans="1:29" ht="27">
      <c r="A28" s="427"/>
      <c r="B28" s="632" t="s">
        <v>2692</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11"/>
      <c r="Q28" s="1812" t="str">
        <f t="shared" si="8"/>
        <v>毗邻道路的类型与等级</v>
      </c>
      <c r="R28" s="773" t="s">
        <v>17</v>
      </c>
      <c r="S28" s="774">
        <f t="shared" si="10"/>
        <v>100</v>
      </c>
      <c r="T28" s="773" t="s">
        <v>17</v>
      </c>
      <c r="U28" s="774">
        <f t="shared" si="11"/>
        <v>100</v>
      </c>
      <c r="V28" s="773" t="s">
        <v>17</v>
      </c>
      <c r="W28" s="774">
        <f t="shared" si="12"/>
        <v>100</v>
      </c>
      <c r="X28" s="1815"/>
      <c r="Y28" s="3311"/>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11"/>
      <c r="Q29" s="1812"/>
      <c r="R29" s="773"/>
      <c r="S29" s="774"/>
      <c r="T29" s="773"/>
      <c r="U29" s="774"/>
      <c r="V29" s="773"/>
      <c r="W29" s="774"/>
      <c r="X29" s="1815"/>
      <c r="Y29" s="3311"/>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11"/>
      <c r="Q30" s="1812" t="str">
        <f t="shared" si="8"/>
        <v>土地级别</v>
      </c>
      <c r="R30" s="773" t="s">
        <v>17</v>
      </c>
      <c r="S30" s="774">
        <f t="shared" si="10"/>
        <v>100</v>
      </c>
      <c r="T30" s="773" t="s">
        <v>17</v>
      </c>
      <c r="U30" s="774">
        <f t="shared" si="11"/>
        <v>100</v>
      </c>
      <c r="V30" s="773" t="s">
        <v>17</v>
      </c>
      <c r="W30" s="774">
        <f t="shared" si="12"/>
        <v>100</v>
      </c>
      <c r="X30" s="1815"/>
      <c r="Y30" s="3311"/>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11"/>
      <c r="Q31" s="1812">
        <f t="shared" si="8"/>
        <v>111</v>
      </c>
      <c r="R31" s="773" t="s">
        <v>17</v>
      </c>
      <c r="S31" s="774">
        <f t="shared" si="10"/>
        <v>100</v>
      </c>
      <c r="T31" s="773" t="s">
        <v>17</v>
      </c>
      <c r="U31" s="774">
        <f t="shared" si="11"/>
        <v>100</v>
      </c>
      <c r="V31" s="773" t="s">
        <v>17</v>
      </c>
      <c r="W31" s="774">
        <f t="shared" si="12"/>
        <v>100</v>
      </c>
      <c r="X31" s="1815"/>
      <c r="Y31" s="3311"/>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12" t="s">
        <v>2566</v>
      </c>
      <c r="Q32" s="1812">
        <f t="shared" si="8"/>
        <v>111</v>
      </c>
      <c r="R32" s="773" t="s">
        <v>17</v>
      </c>
      <c r="S32" s="774">
        <f t="shared" si="10"/>
        <v>100</v>
      </c>
      <c r="T32" s="773" t="s">
        <v>17</v>
      </c>
      <c r="U32" s="774">
        <f t="shared" si="11"/>
        <v>100</v>
      </c>
      <c r="V32" s="773" t="s">
        <v>17</v>
      </c>
      <c r="W32" s="774">
        <f t="shared" si="12"/>
        <v>100</v>
      </c>
      <c r="X32" s="1815"/>
      <c r="Y32" s="3313" t="s">
        <v>2566</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13"/>
      <c r="Q33" s="1812">
        <f t="shared" si="8"/>
        <v>111</v>
      </c>
      <c r="R33" s="776" t="s">
        <v>17</v>
      </c>
      <c r="S33" s="777">
        <f t="shared" si="10"/>
        <v>100</v>
      </c>
      <c r="T33" s="776" t="s">
        <v>17</v>
      </c>
      <c r="U33" s="777">
        <f t="shared" si="11"/>
        <v>100</v>
      </c>
      <c r="V33" s="776" t="s">
        <v>17</v>
      </c>
      <c r="W33" s="777">
        <f t="shared" si="12"/>
        <v>100</v>
      </c>
      <c r="X33" s="778"/>
      <c r="Y33" s="3313"/>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13"/>
      <c r="Q34" s="1812" t="str">
        <f>B34</f>
        <v>宗地面积</v>
      </c>
      <c r="R34" s="773" t="s">
        <v>17</v>
      </c>
      <c r="S34" s="774" t="e">
        <f t="shared" si="10"/>
        <v>#N/A</v>
      </c>
      <c r="T34" s="773" t="s">
        <v>17</v>
      </c>
      <c r="U34" s="774" t="e">
        <f t="shared" si="11"/>
        <v>#N/A</v>
      </c>
      <c r="V34" s="773" t="s">
        <v>17</v>
      </c>
      <c r="W34" s="774" t="e">
        <f t="shared" si="12"/>
        <v>#N/A</v>
      </c>
      <c r="X34" s="1815"/>
      <c r="Y34" s="3313"/>
      <c r="Z34" s="1816" t="str">
        <f t="shared" si="13"/>
        <v>宗地面积</v>
      </c>
      <c r="AA34" s="1813" t="e">
        <f t="shared" si="3"/>
        <v>#N/A</v>
      </c>
      <c r="AB34" s="1813" t="e">
        <f t="shared" si="4"/>
        <v>#N/A</v>
      </c>
      <c r="AC34" s="1813" t="e">
        <f t="shared" si="5"/>
        <v>#N/A</v>
      </c>
    </row>
    <row r="35" spans="1:29" ht="15">
      <c r="A35" s="471"/>
      <c r="B35" s="421" t="s">
        <v>2753</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13"/>
      <c r="Q35" s="1812" t="str">
        <f t="shared" ref="Q35:Q40" si="14">B35</f>
        <v>宗地形状</v>
      </c>
      <c r="R35" s="773" t="s">
        <v>17</v>
      </c>
      <c r="S35" s="774">
        <f t="shared" si="10"/>
        <v>100</v>
      </c>
      <c r="T35" s="773" t="s">
        <v>17</v>
      </c>
      <c r="U35" s="774">
        <f t="shared" si="11"/>
        <v>100</v>
      </c>
      <c r="V35" s="773" t="s">
        <v>17</v>
      </c>
      <c r="W35" s="774">
        <f t="shared" si="12"/>
        <v>100</v>
      </c>
      <c r="X35" s="1815"/>
      <c r="Y35" s="3313"/>
      <c r="Z35" s="1816" t="str">
        <f t="shared" si="13"/>
        <v>宗地形状</v>
      </c>
      <c r="AA35" s="1813">
        <f t="shared" si="3"/>
        <v>1</v>
      </c>
      <c r="AB35" s="1813">
        <f t="shared" si="4"/>
        <v>1</v>
      </c>
      <c r="AC35" s="1813">
        <f t="shared" si="5"/>
        <v>1</v>
      </c>
    </row>
    <row r="36" spans="1:29" s="116" customFormat="1" ht="15">
      <c r="A36" s="472"/>
      <c r="B36" s="421" t="s">
        <v>2755</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13"/>
      <c r="Q36" s="1812" t="str">
        <f t="shared" si="14"/>
        <v>宗地开发程度</v>
      </c>
      <c r="R36" s="769" t="s">
        <v>17</v>
      </c>
      <c r="S36" s="770">
        <f t="shared" si="10"/>
        <v>100</v>
      </c>
      <c r="T36" s="769" t="s">
        <v>17</v>
      </c>
      <c r="U36" s="770">
        <f t="shared" si="11"/>
        <v>100</v>
      </c>
      <c r="V36" s="769" t="s">
        <v>17</v>
      </c>
      <c r="W36" s="770">
        <f t="shared" si="12"/>
        <v>100</v>
      </c>
      <c r="X36" s="771"/>
      <c r="Y36" s="3313"/>
      <c r="Z36" s="54" t="str">
        <f t="shared" si="13"/>
        <v>宗地开发程度</v>
      </c>
      <c r="AA36" s="772">
        <f t="shared" si="3"/>
        <v>1</v>
      </c>
      <c r="AB36" s="772">
        <f t="shared" si="4"/>
        <v>1</v>
      </c>
      <c r="AC36" s="772">
        <f t="shared" si="5"/>
        <v>1</v>
      </c>
    </row>
    <row r="37" spans="1:29" ht="15">
      <c r="A37" s="471"/>
      <c r="B37" s="421" t="s">
        <v>2756</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13" t="s">
        <v>2566</v>
      </c>
      <c r="Q37" s="1812" t="str">
        <f t="shared" si="14"/>
        <v>工程地质条件</v>
      </c>
      <c r="R37" s="773" t="s">
        <v>17</v>
      </c>
      <c r="S37" s="774">
        <f t="shared" si="10"/>
        <v>100</v>
      </c>
      <c r="T37" s="773" t="s">
        <v>17</v>
      </c>
      <c r="U37" s="774">
        <f t="shared" si="11"/>
        <v>100</v>
      </c>
      <c r="V37" s="773" t="s">
        <v>17</v>
      </c>
      <c r="W37" s="774">
        <f t="shared" si="12"/>
        <v>100</v>
      </c>
      <c r="X37" s="1815"/>
      <c r="Y37" s="3313"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13"/>
      <c r="Q38" s="1812">
        <f t="shared" si="14"/>
        <v>111</v>
      </c>
      <c r="R38" s="773" t="s">
        <v>17</v>
      </c>
      <c r="S38" s="774">
        <f t="shared" si="10"/>
        <v>100</v>
      </c>
      <c r="T38" s="773" t="s">
        <v>17</v>
      </c>
      <c r="U38" s="774">
        <f t="shared" si="11"/>
        <v>100</v>
      </c>
      <c r="V38" s="773" t="s">
        <v>17</v>
      </c>
      <c r="W38" s="774">
        <f t="shared" si="12"/>
        <v>100</v>
      </c>
      <c r="X38" s="1815"/>
      <c r="Y38" s="331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13"/>
      <c r="Q39" s="1812">
        <f t="shared" si="14"/>
        <v>111</v>
      </c>
      <c r="R39" s="773" t="s">
        <v>17</v>
      </c>
      <c r="S39" s="774">
        <f t="shared" si="10"/>
        <v>100</v>
      </c>
      <c r="T39" s="773" t="s">
        <v>17</v>
      </c>
      <c r="U39" s="774">
        <f t="shared" si="11"/>
        <v>100</v>
      </c>
      <c r="V39" s="773" t="s">
        <v>17</v>
      </c>
      <c r="W39" s="774">
        <f t="shared" si="12"/>
        <v>100</v>
      </c>
      <c r="X39" s="1815"/>
      <c r="Y39" s="3313"/>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13"/>
      <c r="Q40" s="1812">
        <f t="shared" si="14"/>
        <v>111</v>
      </c>
      <c r="R40" s="776" t="s">
        <v>17</v>
      </c>
      <c r="S40" s="777">
        <f t="shared" si="10"/>
        <v>100</v>
      </c>
      <c r="T40" s="776" t="s">
        <v>17</v>
      </c>
      <c r="U40" s="777">
        <f t="shared" si="11"/>
        <v>100</v>
      </c>
      <c r="V40" s="776" t="s">
        <v>17</v>
      </c>
      <c r="W40" s="777">
        <f t="shared" si="12"/>
        <v>100</v>
      </c>
      <c r="X40" s="778"/>
      <c r="Y40" s="3313"/>
      <c r="Z40" s="779">
        <f t="shared" si="13"/>
        <v>111</v>
      </c>
      <c r="AA40" s="1813">
        <f t="shared" si="3"/>
        <v>1</v>
      </c>
      <c r="AB40" s="1813">
        <f t="shared" si="4"/>
        <v>1</v>
      </c>
      <c r="AC40" s="1813">
        <f t="shared" si="5"/>
        <v>1</v>
      </c>
    </row>
    <row r="41" spans="1:29" ht="15">
      <c r="A41" s="478" t="s">
        <v>2721</v>
      </c>
      <c r="B41" s="2709" t="s">
        <v>2801</v>
      </c>
      <c r="C41" s="681" t="s">
        <v>1</v>
      </c>
      <c r="D41" s="480"/>
      <c r="E41" s="481"/>
      <c r="F41" s="482"/>
      <c r="G41" s="483"/>
      <c r="H41" s="484"/>
      <c r="I41" s="481"/>
      <c r="J41" s="484"/>
      <c r="K41" s="782"/>
      <c r="L41" s="1145"/>
      <c r="M41" s="1133"/>
      <c r="N41" s="1133"/>
      <c r="O41" s="1146"/>
      <c r="P41" s="3295" t="str">
        <f>A41</f>
        <v>成交单价</v>
      </c>
      <c r="Q41" s="3295"/>
      <c r="R41" s="3308">
        <f>E41</f>
        <v>0</v>
      </c>
      <c r="S41" s="3308"/>
      <c r="T41" s="3308">
        <f>G41</f>
        <v>0</v>
      </c>
      <c r="U41" s="3308"/>
      <c r="V41" s="3308">
        <f>I41</f>
        <v>0</v>
      </c>
      <c r="W41" s="3308"/>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95" t="str">
        <f>A42</f>
        <v>比较价值（元/平方米）</v>
      </c>
      <c r="Q42" s="3295"/>
      <c r="R42" s="3314" t="e">
        <f>ROUND(PRODUCT(R41,AA7:AA40),0)</f>
        <v>#DIV/0!</v>
      </c>
      <c r="S42" s="3314"/>
      <c r="T42" s="3314" t="e">
        <f>ROUND(PRODUCT(T41,AB7:AB40),0)</f>
        <v>#DIV/0!</v>
      </c>
      <c r="U42" s="3314"/>
      <c r="V42" s="3314" t="e">
        <f>ROUND(PRODUCT(V41,AC7:AC40),0)</f>
        <v>#DIV/0!</v>
      </c>
      <c r="W42" s="3314"/>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315" t="str">
        <f>A43</f>
        <v>估价对象XX用房的比较价值（楼面单价，元/平方米）</v>
      </c>
      <c r="Q43" s="3316"/>
      <c r="R43" s="3317" t="e">
        <f>ROUND(AVERAGE(R42:V42),0)</f>
        <v>#DIV/0!</v>
      </c>
      <c r="S43" s="3317"/>
      <c r="T43" s="3317"/>
      <c r="U43" s="3317"/>
      <c r="V43" s="3317"/>
      <c r="W43" s="331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10" t="s">
        <v>2761</v>
      </c>
      <c r="D50" s="2711" t="s">
        <v>2762</v>
      </c>
      <c r="E50" s="685" t="s">
        <v>2763</v>
      </c>
      <c r="F50" s="686" t="s">
        <v>2764</v>
      </c>
      <c r="G50" s="3296" t="s">
        <v>2765</v>
      </c>
      <c r="H50" s="3318"/>
      <c r="I50" s="1816" t="s">
        <v>2802</v>
      </c>
      <c r="J50" s="1816">
        <f>项目基本情况!F35</f>
        <v>0</v>
      </c>
      <c r="K50" s="2713" t="s">
        <v>2767</v>
      </c>
      <c r="L50" s="1108"/>
      <c r="M50" s="1146"/>
      <c r="N50" s="1146"/>
      <c r="O50" s="1146"/>
    </row>
    <row r="51" spans="1:17" s="691" customFormat="1">
      <c r="A51" s="687" t="s">
        <v>2768</v>
      </c>
      <c r="B51" s="688" t="e">
        <f>C43</f>
        <v>#DIV/0!</v>
      </c>
      <c r="C51" s="689">
        <v>1</v>
      </c>
      <c r="D51" s="1165">
        <v>1</v>
      </c>
      <c r="E51" s="689">
        <f>'数据-汇总表'!E8+'数据-汇总表'!E9</f>
        <v>116557.48</v>
      </c>
      <c r="F51" s="690" t="e">
        <f t="shared" ref="F51:F60" si="15">ROUND(B51*E51/10000,0)</f>
        <v>#DIV/0!</v>
      </c>
      <c r="G51" s="3319"/>
      <c r="H51" s="3295"/>
      <c r="I51" s="944">
        <v>1</v>
      </c>
      <c r="J51" s="944">
        <v>1</v>
      </c>
      <c r="K51" s="1147"/>
      <c r="L51" s="943"/>
      <c r="M51" s="943"/>
      <c r="N51" s="943"/>
      <c r="O51" s="943"/>
    </row>
    <row r="52" spans="1:17" s="691" customFormat="1">
      <c r="A52" s="692" t="s">
        <v>2769</v>
      </c>
      <c r="B52" s="261" t="e">
        <f>ROUND($C$43*C52*D52,0)</f>
        <v>#DIV/0!</v>
      </c>
      <c r="C52" s="199">
        <f t="shared" ref="C52:C60" si="16">IF($C$50="北京市系数",I52,J52)</f>
        <v>0.6</v>
      </c>
      <c r="D52" s="1166">
        <v>0.25</v>
      </c>
      <c r="E52" s="693"/>
      <c r="F52" s="690" t="e">
        <f t="shared" si="15"/>
        <v>#DIV/0!</v>
      </c>
      <c r="G52" s="3320" t="s">
        <v>2770</v>
      </c>
      <c r="H52" s="1106" t="str">
        <f>项目基本情况!B37</f>
        <v>八级</v>
      </c>
      <c r="I52" s="944">
        <f>SUMIF(修正!A45:A56,H52,修正!B45:B56)</f>
        <v>0.6</v>
      </c>
      <c r="J52" s="945"/>
      <c r="K52" s="1146"/>
      <c r="L52" s="943"/>
      <c r="M52" s="943"/>
      <c r="N52" s="943"/>
      <c r="O52" s="943"/>
    </row>
    <row r="53" spans="1:17" s="691" customFormat="1">
      <c r="A53" s="692" t="s">
        <v>2771</v>
      </c>
      <c r="B53" s="261" t="e">
        <f t="shared" ref="B53:B60" si="17">ROUND($C$43*C53*D53,0)</f>
        <v>#DIV/0!</v>
      </c>
      <c r="C53" s="199">
        <f t="shared" si="16"/>
        <v>0.3</v>
      </c>
      <c r="D53" s="1166">
        <v>0.25</v>
      </c>
      <c r="E53" s="693"/>
      <c r="F53" s="690" t="e">
        <f t="shared" si="15"/>
        <v>#DIV/0!</v>
      </c>
      <c r="G53" s="3320"/>
      <c r="H53" s="1106" t="str">
        <f>项目基本情况!B37</f>
        <v>八级</v>
      </c>
      <c r="I53" s="944">
        <f>SUMIF(修正!A45:A56,H53,修正!C45:C56)</f>
        <v>0.3</v>
      </c>
      <c r="J53" s="945"/>
      <c r="K53" s="1147"/>
      <c r="L53" s="943"/>
      <c r="M53" s="943"/>
      <c r="N53" s="943"/>
      <c r="O53" s="943"/>
    </row>
    <row r="54" spans="1:17" s="691" customFormat="1">
      <c r="A54" s="692" t="s">
        <v>2772</v>
      </c>
      <c r="B54" s="261" t="e">
        <f t="shared" si="17"/>
        <v>#DIV/0!</v>
      </c>
      <c r="C54" s="199">
        <f t="shared" si="16"/>
        <v>0.2</v>
      </c>
      <c r="D54" s="1166">
        <v>0.25</v>
      </c>
      <c r="E54" s="693"/>
      <c r="F54" s="690" t="e">
        <f t="shared" si="15"/>
        <v>#DIV/0!</v>
      </c>
      <c r="G54" s="3320"/>
      <c r="H54" s="1106" t="str">
        <f>项目基本情况!B37</f>
        <v>八级</v>
      </c>
      <c r="I54" s="944">
        <f>SUMIF(修正!A45:A56,H54,修正!D45:D56)</f>
        <v>0.2</v>
      </c>
      <c r="J54" s="945"/>
      <c r="K54" s="1146"/>
      <c r="L54" s="943"/>
      <c r="M54" s="943"/>
      <c r="N54" s="943"/>
      <c r="O54" s="943"/>
    </row>
    <row r="55" spans="1:17" s="691" customFormat="1">
      <c r="A55" s="692" t="s">
        <v>2773</v>
      </c>
      <c r="B55" s="261" t="e">
        <f t="shared" si="17"/>
        <v>#DIV/0!</v>
      </c>
      <c r="C55" s="199">
        <f t="shared" si="16"/>
        <v>0.2</v>
      </c>
      <c r="D55" s="1166">
        <v>0.25</v>
      </c>
      <c r="E55" s="693"/>
      <c r="F55" s="690" t="e">
        <f t="shared" si="15"/>
        <v>#DIV/0!</v>
      </c>
      <c r="G55" s="3320"/>
      <c r="H55" s="1106" t="str">
        <f>项目基本情况!B37</f>
        <v>八级</v>
      </c>
      <c r="I55" s="944">
        <f>SUMIF(修正!A45:A56,H55,修正!E45:E56)</f>
        <v>0.2</v>
      </c>
      <c r="J55" s="945"/>
      <c r="K55" s="1147"/>
      <c r="L55" s="943"/>
      <c r="M55" s="943"/>
      <c r="N55" s="943"/>
      <c r="O55" s="943"/>
    </row>
    <row r="56" spans="1:17" s="691" customFormat="1">
      <c r="A56" s="692" t="s">
        <v>2774</v>
      </c>
      <c r="B56" s="261" t="e">
        <f t="shared" si="17"/>
        <v>#DIV/0!</v>
      </c>
      <c r="C56" s="199">
        <f t="shared" si="16"/>
        <v>0</v>
      </c>
      <c r="D56" s="1166">
        <v>0.25</v>
      </c>
      <c r="E56" s="260">
        <f>'数据-汇总表'!E11</f>
        <v>2477.33</v>
      </c>
      <c r="F56" s="690" t="e">
        <f t="shared" si="15"/>
        <v>#DIV/0!</v>
      </c>
      <c r="G56" s="2714"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0.15</v>
      </c>
      <c r="D58" s="1166">
        <v>0.25</v>
      </c>
      <c r="E58" s="260">
        <f>'数据-汇总表'!E13</f>
        <v>22306.690000000002</v>
      </c>
      <c r="F58" s="690" t="e">
        <f t="shared" si="15"/>
        <v>#DIV/0!</v>
      </c>
      <c r="G58" s="1111" t="s">
        <v>2779</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2780</v>
      </c>
      <c r="B59" s="261" t="e">
        <f t="shared" si="17"/>
        <v>#DIV/0!</v>
      </c>
      <c r="C59" s="199">
        <f t="shared" si="16"/>
        <v>0.15</v>
      </c>
      <c r="D59" s="1166">
        <v>0.25</v>
      </c>
      <c r="E59" s="260">
        <f>'数据-汇总表'!E14</f>
        <v>0</v>
      </c>
      <c r="F59" s="690" t="e">
        <f t="shared" si="15"/>
        <v>#DIV/0!</v>
      </c>
      <c r="G59" s="2714" t="s">
        <v>2770</v>
      </c>
      <c r="H59" s="1106" t="str">
        <f>项目基本情况!B37</f>
        <v>八级</v>
      </c>
      <c r="I59" s="944">
        <f>SUMIF(修正!A45:A56,H59,修正!H45:H56)</f>
        <v>0.15</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5"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1026</v>
      </c>
      <c r="E61" s="695">
        <f>IF(B41="楼面地价",SUM(E51:E60),'数据-汇总表'!D3)</f>
        <v>59391.98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6"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21" t="s">
        <v>2803</v>
      </c>
      <c r="B66" s="331" t="str">
        <f>"北京市平均增长率"&amp;TEXT(基准地价修正!P24,"0.00%")</f>
        <v>北京市平均增长率1.36%</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5" t="s">
        <v>183</v>
      </c>
      <c r="B18" s="881" t="s">
        <v>560</v>
      </c>
      <c r="C18" s="882" t="s">
        <v>561</v>
      </c>
      <c r="D18" s="883"/>
      <c r="E18" s="881">
        <v>1</v>
      </c>
      <c r="F18" s="884" t="s">
        <v>562</v>
      </c>
      <c r="G18" s="885"/>
      <c r="H18" s="877"/>
      <c r="I18" s="877"/>
    </row>
    <row r="19" spans="1:9" s="886" customFormat="1" ht="19.5" customHeight="1">
      <c r="A19" s="3375"/>
      <c r="B19" s="3375" t="s">
        <v>563</v>
      </c>
      <c r="C19" s="882" t="s">
        <v>564</v>
      </c>
      <c r="D19" s="883"/>
      <c r="E19" s="881">
        <v>0.9</v>
      </c>
      <c r="F19" s="884" t="s">
        <v>565</v>
      </c>
      <c r="G19" s="885"/>
      <c r="H19" s="877"/>
      <c r="I19" s="877"/>
    </row>
    <row r="20" spans="1:9" s="886" customFormat="1" ht="19.5" customHeight="1">
      <c r="A20" s="3375"/>
      <c r="B20" s="3375"/>
      <c r="C20" s="882" t="s">
        <v>566</v>
      </c>
      <c r="D20" s="883"/>
      <c r="E20" s="881">
        <v>1.1000000000000001</v>
      </c>
      <c r="F20" s="884" t="s">
        <v>567</v>
      </c>
      <c r="G20" s="885"/>
      <c r="H20" s="877"/>
      <c r="I20" s="877"/>
    </row>
    <row r="21" spans="1:9" s="886" customFormat="1" ht="19.5" customHeight="1">
      <c r="A21" s="3375"/>
      <c r="B21" s="3375"/>
      <c r="C21" s="882" t="s">
        <v>568</v>
      </c>
      <c r="D21" s="883"/>
      <c r="E21" s="881">
        <v>0.8</v>
      </c>
      <c r="F21" s="884" t="s">
        <v>569</v>
      </c>
      <c r="G21" s="885"/>
      <c r="H21" s="877"/>
      <c r="I21" s="877"/>
    </row>
    <row r="22" spans="1:9" s="886" customFormat="1" ht="19.5" customHeight="1">
      <c r="A22" s="3375"/>
      <c r="B22" s="3375"/>
      <c r="C22" s="882" t="s">
        <v>570</v>
      </c>
      <c r="D22" s="883"/>
      <c r="E22" s="881">
        <v>0.5</v>
      </c>
      <c r="F22" s="884"/>
      <c r="G22" s="885"/>
      <c r="H22" s="877"/>
      <c r="I22" s="877"/>
    </row>
    <row r="23" spans="1:9" s="886" customFormat="1" ht="19.5" customHeight="1">
      <c r="A23" s="3375" t="s">
        <v>184</v>
      </c>
      <c r="B23" s="881" t="s">
        <v>560</v>
      </c>
      <c r="C23" s="882" t="s">
        <v>571</v>
      </c>
      <c r="D23" s="883"/>
      <c r="E23" s="881">
        <v>1</v>
      </c>
      <c r="F23" s="884" t="s">
        <v>572</v>
      </c>
      <c r="G23" s="885"/>
      <c r="H23" s="877"/>
      <c r="I23" s="877"/>
    </row>
    <row r="24" spans="1:9" s="886" customFormat="1" ht="19.5" customHeight="1">
      <c r="A24" s="3375"/>
      <c r="B24" s="3375" t="s">
        <v>563</v>
      </c>
      <c r="C24" s="882" t="s">
        <v>573</v>
      </c>
      <c r="D24" s="883"/>
      <c r="E24" s="881">
        <v>0.5</v>
      </c>
      <c r="F24" s="884"/>
      <c r="G24" s="885"/>
      <c r="H24" s="877"/>
      <c r="I24" s="877"/>
    </row>
    <row r="25" spans="1:9" s="886" customFormat="1" ht="19.5" customHeight="1">
      <c r="A25" s="3375"/>
      <c r="B25" s="3375"/>
      <c r="C25" s="882" t="s">
        <v>574</v>
      </c>
      <c r="D25" s="883"/>
      <c r="E25" s="881">
        <v>1.1000000000000001</v>
      </c>
      <c r="F25" s="884"/>
      <c r="G25" s="885"/>
      <c r="H25" s="877"/>
      <c r="I25" s="877"/>
    </row>
    <row r="26" spans="1:9" s="886" customFormat="1" ht="19.5" customHeight="1">
      <c r="A26" s="3375"/>
      <c r="B26" s="3375"/>
      <c r="C26" s="882" t="s">
        <v>575</v>
      </c>
      <c r="D26" s="883"/>
      <c r="E26" s="881">
        <v>1.1000000000000001</v>
      </c>
      <c r="F26" s="884"/>
      <c r="G26" s="885"/>
      <c r="H26" s="877"/>
      <c r="I26" s="877"/>
    </row>
    <row r="27" spans="1:9" s="886" customFormat="1" ht="19.5" customHeight="1">
      <c r="A27" s="3375"/>
      <c r="B27" s="3375"/>
      <c r="C27" s="882" t="s">
        <v>576</v>
      </c>
      <c r="D27" s="883"/>
      <c r="E27" s="881">
        <v>0.9</v>
      </c>
      <c r="F27" s="884" t="s">
        <v>577</v>
      </c>
      <c r="G27" s="885"/>
      <c r="H27" s="877"/>
      <c r="I27" s="877"/>
    </row>
    <row r="28" spans="1:9" s="886" customFormat="1" ht="19.5" customHeight="1">
      <c r="A28" s="3375"/>
      <c r="B28" s="3375"/>
      <c r="C28" s="882" t="s">
        <v>578</v>
      </c>
      <c r="D28" s="883"/>
      <c r="E28" s="881">
        <v>0.9</v>
      </c>
      <c r="F28" s="884" t="s">
        <v>579</v>
      </c>
      <c r="G28" s="885"/>
      <c r="H28" s="877"/>
      <c r="I28" s="877"/>
    </row>
    <row r="29" spans="1:9" s="886" customFormat="1" ht="19.5" customHeight="1">
      <c r="A29" s="3375"/>
      <c r="B29" s="3375"/>
      <c r="C29" s="882" t="s">
        <v>580</v>
      </c>
      <c r="D29" s="883"/>
      <c r="E29" s="881">
        <v>0.9</v>
      </c>
      <c r="F29" s="884" t="s">
        <v>581</v>
      </c>
      <c r="G29" s="885"/>
      <c r="H29" s="877"/>
      <c r="I29" s="877"/>
    </row>
    <row r="30" spans="1:9" s="886" customFormat="1" ht="19.5" customHeight="1">
      <c r="A30" s="3375"/>
      <c r="B30" s="3375"/>
      <c r="C30" s="882" t="s">
        <v>582</v>
      </c>
      <c r="D30" s="883"/>
      <c r="E30" s="881">
        <v>0.9</v>
      </c>
      <c r="F30" s="884" t="s">
        <v>583</v>
      </c>
      <c r="G30" s="885"/>
      <c r="H30" s="877"/>
      <c r="I30" s="877"/>
    </row>
    <row r="31" spans="1:9" s="886" customFormat="1" ht="19.5" customHeight="1">
      <c r="A31" s="3375"/>
      <c r="B31" s="3375"/>
      <c r="C31" s="882" t="s">
        <v>584</v>
      </c>
      <c r="D31" s="883"/>
      <c r="E31" s="881">
        <v>0.8</v>
      </c>
      <c r="F31" s="884" t="s">
        <v>585</v>
      </c>
      <c r="G31" s="885"/>
      <c r="H31" s="877"/>
      <c r="I31" s="877"/>
    </row>
    <row r="32" spans="1:9" s="886" customFormat="1" ht="19.5" customHeight="1">
      <c r="A32" s="3375"/>
      <c r="B32" s="3375"/>
      <c r="C32" s="882" t="s">
        <v>586</v>
      </c>
      <c r="D32" s="883"/>
      <c r="E32" s="881">
        <v>0.8</v>
      </c>
      <c r="F32" s="884" t="s">
        <v>587</v>
      </c>
      <c r="G32" s="885"/>
      <c r="H32" s="877"/>
      <c r="I32" s="877"/>
    </row>
    <row r="33" spans="1:9" s="886" customFormat="1" ht="19.5" customHeight="1">
      <c r="A33" s="3375" t="s">
        <v>185</v>
      </c>
      <c r="B33" s="881" t="s">
        <v>560</v>
      </c>
      <c r="C33" s="882" t="s">
        <v>588</v>
      </c>
      <c r="D33" s="883"/>
      <c r="E33" s="881">
        <v>1</v>
      </c>
      <c r="F33" s="884" t="s">
        <v>589</v>
      </c>
      <c r="G33" s="885"/>
      <c r="H33" s="877"/>
      <c r="I33" s="877"/>
    </row>
    <row r="34" spans="1:9" s="886" customFormat="1" ht="19.5" customHeight="1">
      <c r="A34" s="3375"/>
      <c r="B34" s="881" t="s">
        <v>563</v>
      </c>
      <c r="C34" s="882" t="s">
        <v>590</v>
      </c>
      <c r="D34" s="883"/>
      <c r="E34" s="881">
        <v>1.5</v>
      </c>
      <c r="F34" s="884" t="s">
        <v>591</v>
      </c>
      <c r="G34" s="885"/>
      <c r="H34" s="877"/>
      <c r="I34" s="877"/>
    </row>
    <row r="35" spans="1:9" s="886" customFormat="1" ht="19.5" customHeight="1">
      <c r="A35" s="3375" t="s">
        <v>186</v>
      </c>
      <c r="B35" s="881" t="s">
        <v>560</v>
      </c>
      <c r="C35" s="882" t="s">
        <v>592</v>
      </c>
      <c r="D35" s="883"/>
      <c r="E35" s="881">
        <v>1</v>
      </c>
      <c r="F35" s="884" t="s">
        <v>593</v>
      </c>
      <c r="G35" s="885"/>
      <c r="H35" s="877"/>
      <c r="I35" s="877"/>
    </row>
    <row r="36" spans="1:9" s="886" customFormat="1" ht="19.5" customHeight="1">
      <c r="A36" s="3375"/>
      <c r="B36" s="3375" t="s">
        <v>563</v>
      </c>
      <c r="C36" s="882" t="s">
        <v>594</v>
      </c>
      <c r="D36" s="883"/>
      <c r="E36" s="881">
        <v>1</v>
      </c>
      <c r="F36" s="884" t="s">
        <v>595</v>
      </c>
      <c r="G36" s="885"/>
      <c r="H36" s="877"/>
      <c r="I36" s="877"/>
    </row>
    <row r="37" spans="1:9" s="886" customFormat="1" ht="19.5" customHeight="1">
      <c r="A37" s="3375"/>
      <c r="B37" s="3375"/>
      <c r="C37" s="882" t="s">
        <v>596</v>
      </c>
      <c r="D37" s="883"/>
      <c r="E37" s="881">
        <v>1.5</v>
      </c>
      <c r="F37" s="884" t="s">
        <v>597</v>
      </c>
      <c r="G37" s="885"/>
      <c r="H37" s="877"/>
      <c r="I37" s="877"/>
    </row>
    <row r="38" spans="1:9" s="886" customFormat="1" ht="19.5" customHeight="1">
      <c r="A38" s="3375"/>
      <c r="B38" s="3375"/>
      <c r="C38" s="882" t="s">
        <v>598</v>
      </c>
      <c r="D38" s="883"/>
      <c r="E38" s="881">
        <v>1</v>
      </c>
      <c r="F38" s="884" t="s">
        <v>599</v>
      </c>
      <c r="G38" s="885"/>
      <c r="H38" s="877"/>
      <c r="I38" s="877"/>
    </row>
    <row r="39" spans="1:9" s="886" customFormat="1" ht="19.5" customHeight="1">
      <c r="A39" s="3375"/>
      <c r="B39" s="33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5" t="s">
        <v>614</v>
      </c>
      <c r="C61" s="817" t="s">
        <v>615</v>
      </c>
      <c r="D61" s="817" t="s">
        <v>616</v>
      </c>
      <c r="E61" s="894">
        <v>0.5</v>
      </c>
      <c r="F61" s="881">
        <v>80</v>
      </c>
    </row>
    <row r="62" spans="1:8" s="877" customFormat="1" ht="24">
      <c r="A62" s="881">
        <v>2</v>
      </c>
      <c r="B62" s="3375"/>
      <c r="C62" s="817" t="s">
        <v>617</v>
      </c>
      <c r="D62" s="817" t="s">
        <v>618</v>
      </c>
      <c r="E62" s="894">
        <v>0.5</v>
      </c>
      <c r="F62" s="881">
        <v>80</v>
      </c>
    </row>
    <row r="63" spans="1:8" s="877" customFormat="1" ht="36">
      <c r="A63" s="881">
        <v>3</v>
      </c>
      <c r="B63" s="3375"/>
      <c r="C63" s="817" t="s">
        <v>619</v>
      </c>
      <c r="D63" s="817" t="s">
        <v>620</v>
      </c>
      <c r="E63" s="894">
        <v>0.5</v>
      </c>
      <c r="F63" s="881">
        <v>80</v>
      </c>
    </row>
    <row r="64" spans="1:8" s="877" customFormat="1" ht="36">
      <c r="A64" s="881">
        <v>4</v>
      </c>
      <c r="B64" s="3375"/>
      <c r="C64" s="817" t="s">
        <v>621</v>
      </c>
      <c r="D64" s="817" t="s">
        <v>622</v>
      </c>
      <c r="E64" s="894">
        <v>0.4</v>
      </c>
      <c r="F64" s="881">
        <v>60</v>
      </c>
    </row>
    <row r="65" spans="1:6" s="877" customFormat="1" ht="36">
      <c r="A65" s="881">
        <v>5</v>
      </c>
      <c r="B65" s="3375"/>
      <c r="C65" s="817" t="s">
        <v>623</v>
      </c>
      <c r="D65" s="817" t="s">
        <v>624</v>
      </c>
      <c r="E65" s="894">
        <v>0.2</v>
      </c>
      <c r="F65" s="881">
        <v>30</v>
      </c>
    </row>
    <row r="66" spans="1:6" s="877" customFormat="1" ht="36">
      <c r="A66" s="881">
        <v>6</v>
      </c>
      <c r="B66" s="3375"/>
      <c r="C66" s="817" t="s">
        <v>625</v>
      </c>
      <c r="D66" s="817" t="s">
        <v>626</v>
      </c>
      <c r="E66" s="894">
        <v>0.3</v>
      </c>
      <c r="F66" s="881">
        <v>50</v>
      </c>
    </row>
    <row r="67" spans="1:6" s="877" customFormat="1" ht="36">
      <c r="A67" s="881">
        <v>7</v>
      </c>
      <c r="B67" s="3375"/>
      <c r="C67" s="817" t="s">
        <v>627</v>
      </c>
      <c r="D67" s="817" t="s">
        <v>628</v>
      </c>
      <c r="E67" s="894">
        <v>0.2</v>
      </c>
      <c r="F67" s="881">
        <v>30</v>
      </c>
    </row>
    <row r="68" spans="1:6" s="877" customFormat="1" ht="36">
      <c r="A68" s="881">
        <v>8</v>
      </c>
      <c r="B68" s="3375"/>
      <c r="C68" s="817" t="s">
        <v>629</v>
      </c>
      <c r="D68" s="817" t="s">
        <v>630</v>
      </c>
      <c r="E68" s="894">
        <v>0.2</v>
      </c>
      <c r="F68" s="881">
        <v>30</v>
      </c>
    </row>
    <row r="69" spans="1:6" s="877" customFormat="1" ht="36">
      <c r="A69" s="881">
        <v>9</v>
      </c>
      <c r="B69" s="3375"/>
      <c r="C69" s="817" t="s">
        <v>631</v>
      </c>
      <c r="D69" s="817" t="s">
        <v>632</v>
      </c>
      <c r="E69" s="894">
        <v>0.2</v>
      </c>
      <c r="F69" s="881">
        <v>30</v>
      </c>
    </row>
    <row r="70" spans="1:6" s="877" customFormat="1" ht="48">
      <c r="A70" s="881">
        <v>10</v>
      </c>
      <c r="B70" s="3375"/>
      <c r="C70" s="817" t="s">
        <v>633</v>
      </c>
      <c r="D70" s="817" t="s">
        <v>634</v>
      </c>
      <c r="E70" s="894">
        <v>0.2</v>
      </c>
      <c r="F70" s="881">
        <v>30</v>
      </c>
    </row>
    <row r="71" spans="1:6" s="877" customFormat="1" ht="48">
      <c r="A71" s="881">
        <v>11</v>
      </c>
      <c r="B71" s="3375"/>
      <c r="C71" s="817" t="s">
        <v>635</v>
      </c>
      <c r="D71" s="817" t="s">
        <v>636</v>
      </c>
      <c r="E71" s="894">
        <v>0.2</v>
      </c>
      <c r="F71" s="881">
        <v>30</v>
      </c>
    </row>
    <row r="72" spans="1:6" s="877" customFormat="1" ht="36">
      <c r="A72" s="881">
        <v>12</v>
      </c>
      <c r="B72" s="3375"/>
      <c r="C72" s="817" t="s">
        <v>637</v>
      </c>
      <c r="D72" s="817" t="s">
        <v>638</v>
      </c>
      <c r="E72" s="894">
        <v>0.5</v>
      </c>
      <c r="F72" s="881">
        <v>80</v>
      </c>
    </row>
    <row r="73" spans="1:6" s="877" customFormat="1" ht="24">
      <c r="A73" s="881">
        <v>13</v>
      </c>
      <c r="B73" s="3375"/>
      <c r="C73" s="817" t="s">
        <v>639</v>
      </c>
      <c r="D73" s="817" t="s">
        <v>640</v>
      </c>
      <c r="E73" s="894">
        <v>0.4</v>
      </c>
      <c r="F73" s="881">
        <v>60</v>
      </c>
    </row>
    <row r="74" spans="1:6" s="877" customFormat="1" ht="24">
      <c r="A74" s="881">
        <v>14</v>
      </c>
      <c r="B74" s="3375"/>
      <c r="C74" s="817" t="s">
        <v>641</v>
      </c>
      <c r="D74" s="817" t="s">
        <v>642</v>
      </c>
      <c r="E74" s="894">
        <v>0.2</v>
      </c>
      <c r="F74" s="881">
        <v>30</v>
      </c>
    </row>
    <row r="75" spans="1:6" s="877" customFormat="1" ht="24">
      <c r="A75" s="881">
        <v>15</v>
      </c>
      <c r="B75" s="3375"/>
      <c r="C75" s="817" t="s">
        <v>643</v>
      </c>
      <c r="D75" s="817" t="s">
        <v>644</v>
      </c>
      <c r="E75" s="894">
        <v>0.2</v>
      </c>
      <c r="F75" s="881">
        <v>30</v>
      </c>
    </row>
    <row r="76" spans="1:6" s="877" customFormat="1" ht="24">
      <c r="A76" s="881">
        <v>16</v>
      </c>
      <c r="B76" s="3375" t="s">
        <v>645</v>
      </c>
      <c r="C76" s="817" t="s">
        <v>646</v>
      </c>
      <c r="D76" s="817" t="s">
        <v>647</v>
      </c>
      <c r="E76" s="894">
        <v>0.5</v>
      </c>
      <c r="F76" s="881">
        <v>80</v>
      </c>
    </row>
    <row r="77" spans="1:6" s="877" customFormat="1" ht="24">
      <c r="A77" s="881">
        <v>17</v>
      </c>
      <c r="B77" s="3375"/>
      <c r="C77" s="817" t="s">
        <v>648</v>
      </c>
      <c r="D77" s="817" t="s">
        <v>649</v>
      </c>
      <c r="E77" s="894">
        <v>0.5</v>
      </c>
      <c r="F77" s="881">
        <v>80</v>
      </c>
    </row>
    <row r="78" spans="1:6" s="877" customFormat="1" ht="24">
      <c r="A78" s="881">
        <v>18</v>
      </c>
      <c r="B78" s="3375"/>
      <c r="C78" s="817" t="s">
        <v>650</v>
      </c>
      <c r="D78" s="817" t="s">
        <v>651</v>
      </c>
      <c r="E78" s="894">
        <v>0.2</v>
      </c>
      <c r="F78" s="881">
        <v>30</v>
      </c>
    </row>
    <row r="79" spans="1:6" s="877" customFormat="1" ht="24">
      <c r="A79" s="881">
        <v>19</v>
      </c>
      <c r="B79" s="3375"/>
      <c r="C79" s="817" t="s">
        <v>652</v>
      </c>
      <c r="D79" s="817" t="s">
        <v>653</v>
      </c>
      <c r="E79" s="894">
        <v>0.5</v>
      </c>
      <c r="F79" s="881">
        <v>80</v>
      </c>
    </row>
    <row r="80" spans="1:6" s="877" customFormat="1" ht="36">
      <c r="A80" s="881">
        <v>20</v>
      </c>
      <c r="B80" s="3375"/>
      <c r="C80" s="817" t="s">
        <v>654</v>
      </c>
      <c r="D80" s="817" t="s">
        <v>655</v>
      </c>
      <c r="E80" s="894">
        <v>0.2</v>
      </c>
      <c r="F80" s="881">
        <v>30</v>
      </c>
    </row>
    <row r="81" spans="1:6" s="877" customFormat="1" ht="36">
      <c r="A81" s="881">
        <v>21</v>
      </c>
      <c r="B81" s="3375"/>
      <c r="C81" s="817" t="s">
        <v>656</v>
      </c>
      <c r="D81" s="817" t="s">
        <v>657</v>
      </c>
      <c r="E81" s="894">
        <v>0.2</v>
      </c>
      <c r="F81" s="881">
        <v>30</v>
      </c>
    </row>
    <row r="82" spans="1:6" s="877" customFormat="1" ht="48">
      <c r="A82" s="881">
        <v>22</v>
      </c>
      <c r="B82" s="3375"/>
      <c r="C82" s="817" t="s">
        <v>658</v>
      </c>
      <c r="D82" s="817" t="s">
        <v>659</v>
      </c>
      <c r="E82" s="894">
        <v>0.2</v>
      </c>
      <c r="F82" s="881">
        <v>30</v>
      </c>
    </row>
    <row r="83" spans="1:6" s="877" customFormat="1" ht="48">
      <c r="A83" s="881">
        <v>23</v>
      </c>
      <c r="B83" s="3375"/>
      <c r="C83" s="817" t="s">
        <v>660</v>
      </c>
      <c r="D83" s="817" t="s">
        <v>661</v>
      </c>
      <c r="E83" s="894">
        <v>0.2</v>
      </c>
      <c r="F83" s="881">
        <v>30</v>
      </c>
    </row>
    <row r="84" spans="1:6" s="877" customFormat="1" ht="36">
      <c r="A84" s="881">
        <v>24</v>
      </c>
      <c r="B84" s="3375"/>
      <c r="C84" s="817" t="s">
        <v>662</v>
      </c>
      <c r="D84" s="817" t="s">
        <v>663</v>
      </c>
      <c r="E84" s="894">
        <v>0.2</v>
      </c>
      <c r="F84" s="881">
        <v>30</v>
      </c>
    </row>
    <row r="85" spans="1:6" s="877" customFormat="1" ht="36">
      <c r="A85" s="881">
        <v>25</v>
      </c>
      <c r="B85" s="3375"/>
      <c r="C85" s="817" t="s">
        <v>664</v>
      </c>
      <c r="D85" s="817" t="s">
        <v>665</v>
      </c>
      <c r="E85" s="894">
        <v>0.5</v>
      </c>
      <c r="F85" s="881">
        <v>80</v>
      </c>
    </row>
    <row r="86" spans="1:6" s="877" customFormat="1" ht="36">
      <c r="A86" s="881">
        <v>26</v>
      </c>
      <c r="B86" s="3375"/>
      <c r="C86" s="817" t="s">
        <v>666</v>
      </c>
      <c r="D86" s="817" t="s">
        <v>667</v>
      </c>
      <c r="E86" s="894">
        <v>0.2</v>
      </c>
      <c r="F86" s="881">
        <v>30</v>
      </c>
    </row>
    <row r="87" spans="1:6" s="877" customFormat="1" ht="36">
      <c r="A87" s="881">
        <v>27</v>
      </c>
      <c r="B87" s="3375"/>
      <c r="C87" s="817" t="s">
        <v>668</v>
      </c>
      <c r="D87" s="817" t="s">
        <v>669</v>
      </c>
      <c r="E87" s="894">
        <v>0.2</v>
      </c>
      <c r="F87" s="881">
        <v>30</v>
      </c>
    </row>
    <row r="88" spans="1:6" s="877" customFormat="1" ht="36">
      <c r="A88" s="881">
        <v>28</v>
      </c>
      <c r="B88" s="3375"/>
      <c r="C88" s="817" t="s">
        <v>670</v>
      </c>
      <c r="D88" s="817" t="s">
        <v>671</v>
      </c>
      <c r="E88" s="894">
        <v>0.2</v>
      </c>
      <c r="F88" s="881">
        <v>30</v>
      </c>
    </row>
    <row r="89" spans="1:6" s="877" customFormat="1" ht="24">
      <c r="A89" s="881">
        <v>29</v>
      </c>
      <c r="B89" s="3375"/>
      <c r="C89" s="817" t="s">
        <v>672</v>
      </c>
      <c r="D89" s="817" t="s">
        <v>673</v>
      </c>
      <c r="E89" s="894">
        <v>0.2</v>
      </c>
      <c r="F89" s="881">
        <v>30</v>
      </c>
    </row>
    <row r="90" spans="1:6" s="877" customFormat="1" ht="24">
      <c r="A90" s="881">
        <v>30</v>
      </c>
      <c r="B90" s="3375"/>
      <c r="C90" s="817" t="s">
        <v>674</v>
      </c>
      <c r="D90" s="817" t="s">
        <v>675</v>
      </c>
      <c r="E90" s="894">
        <v>0.2</v>
      </c>
      <c r="F90" s="881">
        <v>30</v>
      </c>
    </row>
    <row r="91" spans="1:6" s="877" customFormat="1" ht="36">
      <c r="A91" s="881">
        <v>31</v>
      </c>
      <c r="B91" s="3375"/>
      <c r="C91" s="817" t="s">
        <v>676</v>
      </c>
      <c r="D91" s="817" t="s">
        <v>677</v>
      </c>
      <c r="E91" s="894">
        <v>0.2</v>
      </c>
      <c r="F91" s="881">
        <v>30</v>
      </c>
    </row>
    <row r="92" spans="1:6" s="877" customFormat="1" ht="24">
      <c r="A92" s="881">
        <v>32</v>
      </c>
      <c r="B92" s="3375" t="s">
        <v>678</v>
      </c>
      <c r="C92" s="881" t="s">
        <v>679</v>
      </c>
      <c r="D92" s="817" t="s">
        <v>680</v>
      </c>
      <c r="E92" s="894">
        <v>0.2</v>
      </c>
      <c r="F92" s="881">
        <v>30</v>
      </c>
    </row>
    <row r="93" spans="1:6" s="877" customFormat="1" ht="36">
      <c r="A93" s="881">
        <v>33</v>
      </c>
      <c r="B93" s="3375"/>
      <c r="C93" s="881" t="s">
        <v>681</v>
      </c>
      <c r="D93" s="817" t="s">
        <v>682</v>
      </c>
      <c r="E93" s="894">
        <v>0.2</v>
      </c>
      <c r="F93" s="881">
        <v>30</v>
      </c>
    </row>
    <row r="94" spans="1:6" s="877" customFormat="1" ht="48">
      <c r="A94" s="881">
        <v>34</v>
      </c>
      <c r="B94" s="3375"/>
      <c r="C94" s="881" t="s">
        <v>683</v>
      </c>
      <c r="D94" s="817" t="s">
        <v>684</v>
      </c>
      <c r="E94" s="894">
        <v>0.2</v>
      </c>
      <c r="F94" s="881">
        <v>30</v>
      </c>
    </row>
    <row r="95" spans="1:6" s="877" customFormat="1" ht="36">
      <c r="A95" s="881">
        <v>35</v>
      </c>
      <c r="B95" s="3375"/>
      <c r="C95" s="881" t="s">
        <v>685</v>
      </c>
      <c r="D95" s="817" t="s">
        <v>686</v>
      </c>
      <c r="E95" s="894">
        <v>0.2</v>
      </c>
      <c r="F95" s="881">
        <v>30</v>
      </c>
    </row>
    <row r="96" spans="1:6" s="877" customFormat="1" ht="48">
      <c r="A96" s="881">
        <v>36</v>
      </c>
      <c r="B96" s="3375"/>
      <c r="C96" s="817" t="s">
        <v>687</v>
      </c>
      <c r="D96" s="817" t="s">
        <v>688</v>
      </c>
      <c r="E96" s="894">
        <v>0.2</v>
      </c>
      <c r="F96" s="881">
        <v>30</v>
      </c>
    </row>
    <row r="97" spans="1:6" s="877" customFormat="1" ht="36">
      <c r="A97" s="881">
        <v>37</v>
      </c>
      <c r="B97" s="3375"/>
      <c r="C97" s="881" t="s">
        <v>689</v>
      </c>
      <c r="D97" s="817" t="s">
        <v>690</v>
      </c>
      <c r="E97" s="894">
        <v>0.2</v>
      </c>
      <c r="F97" s="881">
        <v>30</v>
      </c>
    </row>
    <row r="98" spans="1:6" s="877" customFormat="1" ht="36">
      <c r="A98" s="881">
        <v>38</v>
      </c>
      <c r="B98" s="3375"/>
      <c r="C98" s="881" t="s">
        <v>691</v>
      </c>
      <c r="D98" s="817" t="s">
        <v>692</v>
      </c>
      <c r="E98" s="894">
        <v>0.2</v>
      </c>
      <c r="F98" s="881">
        <v>30</v>
      </c>
    </row>
    <row r="99" spans="1:6" s="877" customFormat="1" ht="36">
      <c r="A99" s="881">
        <v>39</v>
      </c>
      <c r="B99" s="3375" t="s">
        <v>693</v>
      </c>
      <c r="C99" s="881" t="s">
        <v>694</v>
      </c>
      <c r="D99" s="817" t="s">
        <v>695</v>
      </c>
      <c r="E99" s="894">
        <v>0.3</v>
      </c>
      <c r="F99" s="881">
        <v>50</v>
      </c>
    </row>
    <row r="100" spans="1:6" s="877" customFormat="1" ht="24">
      <c r="A100" s="881">
        <v>40</v>
      </c>
      <c r="B100" s="3375"/>
      <c r="C100" s="881" t="s">
        <v>696</v>
      </c>
      <c r="D100" s="817" t="s">
        <v>697</v>
      </c>
      <c r="E100" s="894">
        <v>0.2</v>
      </c>
      <c r="F100" s="881">
        <v>30</v>
      </c>
    </row>
    <row r="101" spans="1:6" s="877" customFormat="1" ht="36">
      <c r="A101" s="881">
        <v>41</v>
      </c>
      <c r="B101" s="33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5" t="s">
        <v>708</v>
      </c>
      <c r="C105" s="881" t="s">
        <v>709</v>
      </c>
      <c r="D105" s="817" t="s">
        <v>710</v>
      </c>
      <c r="E105" s="894">
        <v>0.2</v>
      </c>
      <c r="F105" s="881">
        <v>30</v>
      </c>
    </row>
    <row r="106" spans="1:6" s="877" customFormat="1" ht="36">
      <c r="A106" s="881">
        <v>46</v>
      </c>
      <c r="B106" s="3375"/>
      <c r="C106" s="881" t="s">
        <v>711</v>
      </c>
      <c r="D106" s="817" t="s">
        <v>712</v>
      </c>
      <c r="E106" s="894">
        <v>0.2</v>
      </c>
      <c r="F106" s="881">
        <v>30</v>
      </c>
    </row>
    <row r="107" spans="1:6" s="877" customFormat="1" ht="36">
      <c r="A107" s="881">
        <v>47</v>
      </c>
      <c r="B107" s="3375" t="s">
        <v>713</v>
      </c>
      <c r="C107" s="881" t="s">
        <v>714</v>
      </c>
      <c r="D107" s="817" t="s">
        <v>715</v>
      </c>
      <c r="E107" s="894">
        <v>0.3</v>
      </c>
      <c r="F107" s="881">
        <v>50</v>
      </c>
    </row>
    <row r="108" spans="1:6" s="877" customFormat="1" ht="36">
      <c r="A108" s="881">
        <v>48</v>
      </c>
      <c r="B108" s="33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5" t="s">
        <v>724</v>
      </c>
      <c r="C111" s="881" t="s">
        <v>725</v>
      </c>
      <c r="D111" s="817" t="s">
        <v>726</v>
      </c>
      <c r="E111" s="894">
        <v>0.2</v>
      </c>
      <c r="F111" s="881">
        <v>30</v>
      </c>
    </row>
    <row r="112" spans="1:6" s="877" customFormat="1" ht="24">
      <c r="A112" s="881">
        <v>52</v>
      </c>
      <c r="B112" s="3375"/>
      <c r="C112" s="881" t="s">
        <v>727</v>
      </c>
      <c r="D112" s="817" t="s">
        <v>728</v>
      </c>
      <c r="E112" s="894">
        <v>0.2</v>
      </c>
      <c r="F112" s="881">
        <v>30</v>
      </c>
    </row>
    <row r="113" spans="1:6" s="877" customFormat="1" ht="24">
      <c r="A113" s="881">
        <v>53</v>
      </c>
      <c r="B113" s="33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5" t="s">
        <v>737</v>
      </c>
      <c r="C116" s="881" t="s">
        <v>738</v>
      </c>
      <c r="D116" s="817" t="s">
        <v>739</v>
      </c>
      <c r="E116" s="894">
        <v>0.2</v>
      </c>
      <c r="F116" s="881">
        <v>30</v>
      </c>
    </row>
    <row r="117" spans="1:6" ht="36">
      <c r="A117" s="881">
        <v>57</v>
      </c>
      <c r="B117" s="33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0.96889999999999998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1" t="s">
        <v>1146</v>
      </c>
      <c r="C1" s="3381"/>
      <c r="D1" s="3381"/>
      <c r="E1" s="3381"/>
      <c r="F1" s="3381"/>
      <c r="G1" s="3377" t="s">
        <v>1147</v>
      </c>
      <c r="H1" s="3377"/>
      <c r="I1" s="3377"/>
      <c r="J1" s="3377"/>
      <c r="K1" s="3377"/>
      <c r="L1" s="3377"/>
      <c r="N1" s="3377" t="s">
        <v>1148</v>
      </c>
      <c r="O1" s="3377"/>
      <c r="P1" s="3377"/>
      <c r="Q1" s="3377"/>
      <c r="R1" s="1448"/>
      <c r="S1" s="3377" t="s">
        <v>1149</v>
      </c>
      <c r="T1" s="3377"/>
      <c r="U1" s="3377"/>
      <c r="V1" s="3377"/>
      <c r="X1" s="3376" t="s">
        <v>1150</v>
      </c>
      <c r="Y1" s="3377"/>
      <c r="Z1" s="3377"/>
      <c r="AA1" s="3377"/>
      <c r="AB1" s="3377"/>
      <c r="AD1" s="3376" t="s">
        <v>1151</v>
      </c>
      <c r="AE1" s="3377"/>
      <c r="AF1" s="3377"/>
      <c r="AG1" s="3377"/>
      <c r="AH1" s="3377"/>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3040</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379">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79"/>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79"/>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86"/>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382">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79"/>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79"/>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86"/>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82">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79"/>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79"/>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80"/>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78">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79"/>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79"/>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80"/>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78">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79"/>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79"/>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80"/>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83">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84"/>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84"/>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85"/>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78">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79"/>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79"/>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80"/>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78">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79">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79">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80">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78">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79">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79">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80">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78">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79">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79">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80">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78">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79">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79">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80">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78">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79">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79">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80">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78">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79">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79">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80">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78">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79">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79">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80">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78">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79">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79">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80">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78">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79">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79">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80">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78">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79">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79">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80">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3006</v>
      </c>
      <c r="C1" s="3388" t="s">
        <v>3007</v>
      </c>
      <c r="D1" s="3389"/>
      <c r="E1" s="3389"/>
      <c r="F1" s="3389"/>
      <c r="G1" s="3389"/>
      <c r="H1" s="3389"/>
      <c r="I1" s="3389"/>
      <c r="J1" s="3389"/>
      <c r="K1" s="3389"/>
      <c r="L1" s="3389"/>
      <c r="M1" s="3389"/>
      <c r="N1" s="3389"/>
      <c r="O1" s="3389"/>
      <c r="P1" s="3389"/>
      <c r="Q1" s="3389"/>
      <c r="R1" s="3389"/>
      <c r="S1" s="3390"/>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3016</v>
      </c>
      <c r="B17" s="2922"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4" t="s">
        <v>3020</v>
      </c>
      <c r="E20" s="1795"/>
      <c r="F20" s="1206" t="e">
        <f ca="1">SUMIF(INDIRECT("'"&amp;H20&amp;"'"&amp;"!A:A"),"承租人权益价值",INDIRECT("'"&amp;H20&amp;"'"&amp;"!c:c"))</f>
        <v>#REF!</v>
      </c>
      <c r="G20" s="1206" t="s">
        <v>3021</v>
      </c>
      <c r="H20" s="2925"/>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3">
        <f>SUM(B24:B10000)</f>
        <v>100</v>
      </c>
      <c r="C22" s="3170" t="s">
        <v>33</v>
      </c>
      <c r="D22" s="3171"/>
      <c r="E22" s="3171"/>
      <c r="F22" s="3171"/>
      <c r="G22" s="3171"/>
      <c r="H22" s="3171"/>
      <c r="I22" s="3171"/>
      <c r="J22" s="3171"/>
      <c r="K22" s="3171"/>
      <c r="L22" s="3171"/>
      <c r="M22" s="3171"/>
      <c r="N22" s="3171"/>
      <c r="O22" s="3171"/>
      <c r="P22" s="3171"/>
      <c r="Q22" s="3387"/>
      <c r="R22" s="715">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137997</v>
      </c>
      <c r="C2" s="2" t="s">
        <v>133</v>
      </c>
      <c r="D2" s="242"/>
      <c r="E2" s="242"/>
      <c r="F2" s="242"/>
      <c r="G2" s="242"/>
    </row>
    <row r="3" spans="1:7" s="243" customFormat="1" ht="18" customHeight="1" thickBot="1">
      <c r="A3" s="246" t="s">
        <v>85</v>
      </c>
      <c r="B3" s="247">
        <f ca="1">ROUND(B2*10000/'数据-汇总表'!E3,0)</f>
        <v>8729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1347</v>
      </c>
      <c r="D9" s="1034">
        <f>'数据-汇总表'!E5</f>
        <v>89778.47</v>
      </c>
      <c r="E9" s="268">
        <f>'数据-取费表'!B27</f>
        <v>150</v>
      </c>
      <c r="F9" s="264"/>
      <c r="G9" s="269"/>
    </row>
    <row r="10" spans="1:7" s="257" customFormat="1" ht="13.5" customHeight="1">
      <c r="A10" s="952" t="s">
        <v>801</v>
      </c>
      <c r="B10" s="267" t="s">
        <v>94</v>
      </c>
      <c r="C10" s="268">
        <f>ROUND(D10*E10/10000,0)</f>
        <v>1298</v>
      </c>
      <c r="D10" s="1034">
        <f>'数据-汇总表'!E6</f>
        <v>68318.399999999994</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3162</v>
      </c>
      <c r="D19" s="1038">
        <f>'数据-汇总表'!E3</f>
        <v>158096.87</v>
      </c>
      <c r="E19" s="254">
        <f>'数据-取费表'!B31</f>
        <v>200</v>
      </c>
      <c r="F19" s="274"/>
      <c r="G19" s="1" t="s">
        <v>1071</v>
      </c>
    </row>
    <row r="20" spans="1:7" s="257" customFormat="1" ht="13.5" customHeight="1">
      <c r="A20" s="950" t="s">
        <v>1054</v>
      </c>
      <c r="B20" s="253" t="s">
        <v>104</v>
      </c>
      <c r="C20" s="275">
        <f>ROUND((C5+C19)*F20,0)</f>
        <v>475</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2335</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308</v>
      </c>
      <c r="D24" s="281"/>
      <c r="E24" s="281"/>
      <c r="F24" s="282"/>
      <c r="G24" s="283" t="s">
        <v>109</v>
      </c>
    </row>
    <row r="25" spans="1:7" s="257" customFormat="1" ht="24">
      <c r="A25" s="953" t="s">
        <v>793</v>
      </c>
      <c r="B25" s="258" t="s">
        <v>1055</v>
      </c>
      <c r="C25" s="1357">
        <f ca="1">ROUND(IF('数据-取费表'!B22&lt;=1,C20*F22*'数据-取费表'!B23/2,C20*(POWER((1+F22),'数据-取费表'!B23/2)-1)),0)</f>
        <v>23</v>
      </c>
      <c r="D25" s="281"/>
      <c r="E25" s="284"/>
      <c r="F25" s="282"/>
      <c r="G25" s="285" t="s">
        <v>110</v>
      </c>
    </row>
    <row r="26" spans="1:7" s="257" customFormat="1">
      <c r="A26" s="953" t="s">
        <v>795</v>
      </c>
      <c r="B26" s="258" t="s">
        <v>1057</v>
      </c>
      <c r="C26" s="281">
        <f ca="1">ROUND(IF('数据-取费表'!B22&lt;=1,F21*F22*'数据-取费表'!B23/2,F21*(POWER((1+F22),'数据-取费表'!B23/2)-1)),4)</f>
        <v>1E-3</v>
      </c>
      <c r="D26" s="281"/>
      <c r="E26" s="284"/>
      <c r="F26" s="282"/>
      <c r="G26" s="286"/>
    </row>
    <row r="27" spans="1:7" s="257" customFormat="1" ht="24.75">
      <c r="A27" s="950" t="s">
        <v>787</v>
      </c>
      <c r="B27" s="287" t="s">
        <v>112</v>
      </c>
      <c r="C27" s="288">
        <f>C28</f>
        <v>4849</v>
      </c>
      <c r="D27" s="278">
        <f>C29</f>
        <v>4.0000000000000001E-3</v>
      </c>
      <c r="E27" s="279" t="s">
        <v>126</v>
      </c>
      <c r="F27" s="289">
        <f>'数据-取费表'!Q16</f>
        <v>0.2</v>
      </c>
      <c r="G27" s="290" t="s">
        <v>1066</v>
      </c>
    </row>
    <row r="28" spans="1:7" s="257" customFormat="1" ht="13.5" customHeight="1">
      <c r="A28" s="953" t="s">
        <v>794</v>
      </c>
      <c r="B28" s="291" t="s">
        <v>1059</v>
      </c>
      <c r="C28" s="292">
        <f>ROUND((C5+C19+C20)*F27*'数据-取费表'!B21/'数据-取费表'!B20,0)</f>
        <v>4849</v>
      </c>
      <c r="D28" s="278"/>
      <c r="E28" s="279"/>
      <c r="F28" s="289"/>
      <c r="G28" s="290"/>
    </row>
    <row r="29" spans="1:7" s="257" customFormat="1" ht="13.5" customHeight="1">
      <c r="A29" s="953" t="s">
        <v>792</v>
      </c>
      <c r="B29" s="291" t="s">
        <v>1060</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34067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77687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69597</v>
      </c>
      <c r="D34" s="260"/>
      <c r="E34" s="263"/>
      <c r="F34" s="300">
        <f>IF('数据-取费表'!B24=0,1,'数据-取费表'!N16)</f>
        <v>1</v>
      </c>
      <c r="G34" s="262" t="s">
        <v>116</v>
      </c>
    </row>
    <row r="35" spans="1:7" ht="13.5" customHeight="1">
      <c r="A35" s="953" t="s">
        <v>796</v>
      </c>
      <c r="B35" s="258" t="s">
        <v>60</v>
      </c>
      <c r="C35" s="263">
        <f>ROUND(C34*F35,0)</f>
        <v>2088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1796</v>
      </c>
      <c r="D36" s="263"/>
      <c r="E36" s="263"/>
      <c r="F36" s="302">
        <f>'数据-取费表'!B34</f>
        <v>0.05</v>
      </c>
      <c r="G36" s="303" t="s">
        <v>62</v>
      </c>
    </row>
    <row r="37" spans="1:7" s="301" customFormat="1" ht="13.5" customHeight="1">
      <c r="A37" s="953" t="s">
        <v>798</v>
      </c>
      <c r="B37" s="258" t="s">
        <v>118</v>
      </c>
      <c r="C37" s="292">
        <f>ROUND(E37*D37*F34/10000,0)</f>
        <v>3162</v>
      </c>
      <c r="D37" s="260">
        <f>'数据-汇总表'!E3</f>
        <v>158096.87</v>
      </c>
      <c r="E37" s="292">
        <f>'数据-取费表'!B35</f>
        <v>200</v>
      </c>
      <c r="F37" s="302"/>
      <c r="G37" s="304" t="s">
        <v>119</v>
      </c>
    </row>
    <row r="38" spans="1:7" ht="13.5" customHeight="1">
      <c r="A38" s="953" t="s">
        <v>799</v>
      </c>
      <c r="B38" s="258" t="s">
        <v>63</v>
      </c>
      <c r="C38" s="263">
        <f>ROUND(C34*F38,0)</f>
        <v>1044</v>
      </c>
      <c r="D38" s="263"/>
      <c r="E38" s="263"/>
      <c r="F38" s="302">
        <f>'数据-取费表'!B36</f>
        <v>1.4999999999999999E-2</v>
      </c>
      <c r="G38" s="262" t="s">
        <v>117</v>
      </c>
    </row>
    <row r="39" spans="1:7" s="257" customFormat="1" ht="13.5" customHeight="1">
      <c r="A39" s="950" t="s">
        <v>783</v>
      </c>
      <c r="B39" s="253" t="s">
        <v>104</v>
      </c>
      <c r="C39" s="275">
        <f>ROUND(C33*F20,0)</f>
        <v>1554</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3764</v>
      </c>
      <c r="D41" s="278">
        <f ca="1">C44</f>
        <v>1E-3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3690</v>
      </c>
      <c r="D42" s="281"/>
      <c r="E42" s="281"/>
      <c r="F42" s="282"/>
      <c r="G42" s="3255" t="s">
        <v>121</v>
      </c>
    </row>
    <row r="43" spans="1:7" ht="13.5" customHeight="1">
      <c r="A43" s="953" t="s">
        <v>792</v>
      </c>
      <c r="B43" s="258" t="s">
        <v>1061</v>
      </c>
      <c r="C43" s="281">
        <f ca="1">ROUND(IF('数据-取费表'!B22&lt;=1,C39*F22*'数据-取费表'!B21/2,C39*(POWER((1+F22),'数据-取费表'!B21/2)-1)),0)</f>
        <v>74</v>
      </c>
      <c r="D43" s="281"/>
      <c r="E43" s="281"/>
      <c r="F43" s="282"/>
      <c r="G43" s="3256"/>
    </row>
    <row r="44" spans="1:7" ht="13.5" customHeight="1">
      <c r="A44" s="953" t="s">
        <v>793</v>
      </c>
      <c r="B44" s="258" t="s">
        <v>1063</v>
      </c>
      <c r="C44" s="281">
        <f ca="1">ROUND(IF('数据-取费表'!B22&lt;=1,C40*F22*'数据-取费表'!B21/2,C40*(POWER((1+F22),'数据-取费表'!B21/2)-1)),4)</f>
        <v>1E-3</v>
      </c>
      <c r="D44" s="281"/>
      <c r="E44" s="281"/>
      <c r="F44" s="282"/>
      <c r="G44" s="3257"/>
    </row>
    <row r="45" spans="1:7" s="257" customFormat="1" ht="13.5" customHeight="1">
      <c r="A45" s="950" t="s">
        <v>786</v>
      </c>
      <c r="B45" s="287" t="s">
        <v>112</v>
      </c>
      <c r="C45" s="288">
        <f>C46</f>
        <v>15848</v>
      </c>
      <c r="D45" s="278">
        <f>C47</f>
        <v>4.0000000000000001E-3</v>
      </c>
      <c r="E45" s="279" t="s">
        <v>129</v>
      </c>
      <c r="F45" s="289"/>
      <c r="G45" s="290" t="s">
        <v>1069</v>
      </c>
    </row>
    <row r="46" spans="1:7" s="257" customFormat="1" ht="13.5" customHeight="1">
      <c r="A46" s="953" t="s">
        <v>794</v>
      </c>
      <c r="B46" s="291" t="s">
        <v>1062</v>
      </c>
      <c r="C46" s="292">
        <f>ROUND((C33+C39)*F27,0)</f>
        <v>15848</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107144</v>
      </c>
      <c r="D49" s="275"/>
      <c r="E49" s="275"/>
      <c r="F49" s="307"/>
      <c r="G49" s="277" t="s">
        <v>1070</v>
      </c>
    </row>
    <row r="50" spans="1:7" s="301" customFormat="1" ht="24">
      <c r="A50" s="950" t="s">
        <v>789</v>
      </c>
      <c r="B50" s="253" t="s">
        <v>124</v>
      </c>
      <c r="C50" s="275"/>
      <c r="D50" s="275"/>
      <c r="E50" s="275"/>
      <c r="F50" s="307">
        <f>IF('数据-取费表'!B24=0,'数据-取费表'!N16,1)</f>
        <v>0.97</v>
      </c>
      <c r="G50" s="290" t="s">
        <v>125</v>
      </c>
    </row>
    <row r="51" spans="1:7" ht="16.5" customHeight="1">
      <c r="A51" s="950" t="s">
        <v>790</v>
      </c>
      <c r="B51" s="253" t="s">
        <v>132</v>
      </c>
      <c r="C51" s="275">
        <f ca="1">ROUND(C49*F50,0)</f>
        <v>103930</v>
      </c>
      <c r="D51" s="275"/>
      <c r="E51" s="275"/>
      <c r="F51" s="307"/>
      <c r="G51" s="277" t="s">
        <v>64</v>
      </c>
    </row>
    <row r="52" spans="1:7" s="251" customFormat="1" ht="16.5" thickBot="1">
      <c r="A52" s="308" t="s">
        <v>65</v>
      </c>
      <c r="B52" s="309"/>
      <c r="C52" s="310">
        <f ca="1">C31+C51</f>
        <v>137997</v>
      </c>
      <c r="D52" s="309"/>
      <c r="E52" s="309"/>
      <c r="F52" s="309"/>
      <c r="G52" s="311"/>
    </row>
    <row r="55" spans="1:7" ht="15">
      <c r="B55" s="313" t="s">
        <v>66</v>
      </c>
      <c r="C55" s="314"/>
    </row>
    <row r="56" spans="1:7">
      <c r="B56" s="316" t="s">
        <v>67</v>
      </c>
      <c r="C56" s="317">
        <f ca="1">ROUND(C51/C52,3)</f>
        <v>0.753</v>
      </c>
    </row>
    <row r="57" spans="1:7">
      <c r="B57" s="316" t="s">
        <v>68</v>
      </c>
      <c r="C57" s="318">
        <f ca="1">1-C56</f>
        <v>0.247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91" t="s">
        <v>156</v>
      </c>
      <c r="B1" s="3391"/>
      <c r="C1" s="3391"/>
      <c r="D1" s="3391"/>
      <c r="E1" s="3391"/>
      <c r="F1" s="339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2" t="s">
        <v>169</v>
      </c>
      <c r="B2" s="3392"/>
      <c r="C2" s="3392"/>
      <c r="D2" s="3392"/>
      <c r="E2" s="3392"/>
      <c r="F2" s="339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1" t="s">
        <v>868</v>
      </c>
      <c r="B1" s="3391"/>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1637</v>
      </c>
      <c r="B2" s="3061" t="s">
        <v>1638</v>
      </c>
      <c r="C2" s="3061" t="s">
        <v>1639</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62"/>
      <c r="B3" s="3062"/>
      <c r="C3" s="3062"/>
      <c r="D3" s="1046" t="s">
        <v>1634</v>
      </c>
      <c r="E3" s="1046" t="s">
        <v>1640</v>
      </c>
      <c r="F3" s="1046" t="s">
        <v>1634</v>
      </c>
      <c r="G3" s="1046" t="s">
        <v>1635</v>
      </c>
      <c r="H3" s="1046" t="s">
        <v>1634</v>
      </c>
      <c r="I3" s="1046" t="s">
        <v>1635</v>
      </c>
    </row>
    <row r="4" spans="1:9" ht="15">
      <c r="A4" s="1975" t="str">
        <f>项目基本情况!S2</f>
        <v>北京市房地产</v>
      </c>
      <c r="B4" s="1046">
        <f>项目基本情况!C17</f>
        <v>158096.87</v>
      </c>
      <c r="C4" s="1046">
        <f>项目基本情况!C18</f>
        <v>59391.98</v>
      </c>
      <c r="D4" s="1046">
        <f ca="1">结果表!D118</f>
        <v>170601</v>
      </c>
      <c r="E4" s="1046">
        <f ca="1">结果表!E118</f>
        <v>10791</v>
      </c>
      <c r="F4" s="1046">
        <f ca="1">结果表!F118</f>
        <v>103823</v>
      </c>
      <c r="G4" s="1046">
        <f ca="1">结果表!G118</f>
        <v>6567</v>
      </c>
      <c r="H4" s="1046">
        <f ca="1">结果表!H118</f>
        <v>274424</v>
      </c>
      <c r="I4" s="1046">
        <f ca="1">结果表!I118</f>
        <v>17358</v>
      </c>
    </row>
    <row r="5" spans="1:9" ht="30" customHeight="1">
      <c r="A5" s="3062" t="s">
        <v>1636</v>
      </c>
      <c r="B5" s="3062"/>
      <c r="C5" s="3062"/>
      <c r="D5" s="3063" t="str">
        <f ca="1">结果表!D119</f>
        <v>壹拾柒亿零陆佰零壹万元整</v>
      </c>
      <c r="E5" s="3063"/>
      <c r="F5" s="3063" t="str">
        <f ca="1">结果表!F119</f>
        <v>壹拾亿叁仟捌佰贰拾叁万元整</v>
      </c>
      <c r="G5" s="3063"/>
      <c r="H5" s="3063" t="str">
        <f ca="1">结果表!H119</f>
        <v>贰拾柒亿肆仟肆佰贰拾肆万元整</v>
      </c>
      <c r="I5" s="3063"/>
    </row>
    <row r="6" spans="1:9" ht="15.75">
      <c r="A6" s="3064" t="str">
        <f>结果表!A120</f>
        <v>估价师知悉的法定优先受偿款</v>
      </c>
      <c r="B6" s="3064"/>
      <c r="C6" s="3064"/>
      <c r="D6" s="3064">
        <f>结果表!D120</f>
        <v>457</v>
      </c>
      <c r="E6" s="3064"/>
      <c r="F6" s="3064"/>
      <c r="G6" s="3064"/>
      <c r="H6" s="3064"/>
      <c r="I6" s="3064"/>
    </row>
    <row r="7" spans="1:9" ht="15">
      <c r="A7" s="3062" t="s">
        <v>1636</v>
      </c>
      <c r="B7" s="3062"/>
      <c r="C7" s="3062"/>
      <c r="D7" s="3065" t="str">
        <f>结果表!D121</f>
        <v>肆佰伍拾柒万元整</v>
      </c>
      <c r="E7" s="3066"/>
      <c r="F7" s="3066"/>
      <c r="G7" s="3066"/>
      <c r="H7" s="3066"/>
      <c r="I7" s="3067"/>
    </row>
    <row r="8" spans="1:9" ht="15.75">
      <c r="A8" s="3064" t="str">
        <f>结果表!A122</f>
        <v>房地产抵押价值</v>
      </c>
      <c r="B8" s="3064"/>
      <c r="C8" s="3064"/>
      <c r="D8" s="3064">
        <f ca="1">结果表!D122</f>
        <v>273967</v>
      </c>
      <c r="E8" s="3064"/>
      <c r="F8" s="3064"/>
      <c r="G8" s="3064"/>
      <c r="H8" s="3064"/>
      <c r="I8" s="3064"/>
    </row>
    <row r="9" spans="1:9" ht="15">
      <c r="A9" s="3062" t="s">
        <v>1636</v>
      </c>
      <c r="B9" s="3062"/>
      <c r="C9" s="3062"/>
      <c r="D9" s="3063" t="str">
        <f ca="1">结果表!D123</f>
        <v>贰拾柒亿叁仟玖佰陆拾柒万元整</v>
      </c>
      <c r="E9" s="3063"/>
      <c r="F9" s="3063"/>
      <c r="G9" s="3063"/>
      <c r="H9" s="3063"/>
      <c r="I9" s="3063"/>
    </row>
    <row r="10" spans="1:9" ht="15.75">
      <c r="A10" s="3064" t="str">
        <f>结果表!A124</f>
        <v/>
      </c>
      <c r="B10" s="3064"/>
      <c r="C10" s="3064"/>
      <c r="D10" s="3064" t="str">
        <f>结果表!D124</f>
        <v>——</v>
      </c>
      <c r="E10" s="3064"/>
      <c r="F10" s="3064"/>
      <c r="G10" s="3064"/>
      <c r="H10" s="3064"/>
      <c r="I10" s="3064"/>
    </row>
    <row r="11" spans="1:9" ht="15">
      <c r="A11" s="3062" t="s">
        <v>1636</v>
      </c>
      <c r="B11" s="3062"/>
      <c r="C11" s="3062"/>
      <c r="D11" s="3063" t="e">
        <f>结果表!D125</f>
        <v>#VALUE!</v>
      </c>
      <c r="E11" s="3063"/>
      <c r="F11" s="3063"/>
      <c r="G11" s="3063"/>
      <c r="H11" s="3063"/>
      <c r="I11" s="3063"/>
    </row>
    <row r="12" spans="1:9" ht="15.75">
      <c r="A12" s="3064" t="str">
        <f>结果表!A126</f>
        <v/>
      </c>
      <c r="B12" s="3064"/>
      <c r="C12" s="3064"/>
      <c r="D12" s="3064" t="str">
        <f>结果表!D126</f>
        <v>——</v>
      </c>
      <c r="E12" s="3064"/>
      <c r="F12" s="3064"/>
      <c r="G12" s="3064"/>
      <c r="H12" s="3064"/>
      <c r="I12" s="3064"/>
    </row>
    <row r="13" spans="1:9" ht="15.75" thickBot="1">
      <c r="A13" s="3068" t="s">
        <v>1636</v>
      </c>
      <c r="B13" s="3068"/>
      <c r="C13" s="3068"/>
      <c r="D13" s="3069" t="e">
        <f>结果表!D127</f>
        <v>#VALUE!</v>
      </c>
      <c r="E13" s="3069"/>
      <c r="F13" s="3069"/>
      <c r="G13" s="3069"/>
      <c r="H13" s="3069"/>
      <c r="I13" s="3069"/>
    </row>
    <row r="14" spans="1:9" ht="15" thickTop="1">
      <c r="A14" s="3070" t="s">
        <v>1641</v>
      </c>
      <c r="B14" s="3070"/>
      <c r="C14" s="3070"/>
      <c r="D14" s="3070"/>
      <c r="E14" s="3070"/>
      <c r="F14" s="3070"/>
      <c r="G14" s="3070"/>
      <c r="H14" s="3070"/>
      <c r="I14" s="3070"/>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workbookViewId="0">
      <selection activeCell="P21" sqref="P21"/>
    </sheetView>
  </sheetViews>
  <sheetFormatPr defaultColWidth="9" defaultRowHeight="13.5"/>
  <cols>
    <col min="1" max="1" width="21.5" style="3015" bestFit="1" customWidth="1"/>
    <col min="2" max="15" width="6.5" style="3004" bestFit="1" customWidth="1"/>
    <col min="16" max="16" width="12.75" style="3004" bestFit="1" customWidth="1"/>
    <col min="17" max="17" width="12.25" style="3004" customWidth="1"/>
    <col min="18" max="18" width="12.875" style="3022" bestFit="1" customWidth="1"/>
    <col min="19" max="65" width="11.25" style="3022" bestFit="1" customWidth="1"/>
    <col min="66" max="66" width="16.125" style="3004" bestFit="1" customWidth="1"/>
    <col min="67" max="67" width="12.75" style="3004" bestFit="1" customWidth="1"/>
    <col min="68" max="16384" width="9" style="3004"/>
  </cols>
  <sheetData>
    <row r="1" spans="1:15">
      <c r="A1" s="3002" t="s">
        <v>3343</v>
      </c>
      <c r="B1" s="3003">
        <v>2019</v>
      </c>
      <c r="C1" s="3003">
        <v>2020</v>
      </c>
      <c r="D1" s="3003">
        <v>2021</v>
      </c>
      <c r="E1" s="3003">
        <v>2022</v>
      </c>
      <c r="F1" s="3003">
        <v>2023</v>
      </c>
      <c r="G1" s="3003">
        <v>2024</v>
      </c>
      <c r="H1" s="3003">
        <v>2025</v>
      </c>
      <c r="I1" s="3003">
        <v>2026</v>
      </c>
      <c r="J1" s="3003">
        <v>2027</v>
      </c>
      <c r="K1" s="3003">
        <v>2028</v>
      </c>
      <c r="L1" s="3003">
        <v>2029</v>
      </c>
      <c r="M1" s="3003">
        <v>2030</v>
      </c>
      <c r="N1" s="3003">
        <v>2031</v>
      </c>
      <c r="O1" s="3003">
        <v>2032</v>
      </c>
    </row>
    <row r="2" spans="1:15">
      <c r="A2" s="3005" t="s">
        <v>3344</v>
      </c>
      <c r="B2" s="3006">
        <v>3894.7189614999993</v>
      </c>
      <c r="C2" s="3006">
        <v>10057.975373695081</v>
      </c>
      <c r="D2" s="3006">
        <v>16030.153306988148</v>
      </c>
      <c r="E2" s="3006">
        <v>16987.650578607427</v>
      </c>
      <c r="F2" s="3006">
        <v>17620.063597019191</v>
      </c>
      <c r="G2" s="3006">
        <v>18302.997160030067</v>
      </c>
      <c r="H2" s="3006">
        <v>19035.285186820132</v>
      </c>
      <c r="I2" s="3006">
        <v>19821.858425382463</v>
      </c>
      <c r="J2" s="3006">
        <v>20668.018366087254</v>
      </c>
      <c r="K2" s="3006">
        <v>21579.430729006577</v>
      </c>
      <c r="L2" s="3006">
        <v>22562.111136953688</v>
      </c>
      <c r="M2" s="3006">
        <v>23622.401958451901</v>
      </c>
      <c r="N2" s="3006">
        <v>24766.939452291899</v>
      </c>
      <c r="O2" s="3006">
        <v>26002.61058713989</v>
      </c>
    </row>
    <row r="3" spans="1:15">
      <c r="A3" s="3007" t="s">
        <v>3345</v>
      </c>
      <c r="B3" s="3006">
        <v>517.00709415300003</v>
      </c>
      <c r="C3" s="3006">
        <v>1256.4735071770203</v>
      </c>
      <c r="D3" s="3006">
        <v>1985.2342839841106</v>
      </c>
      <c r="E3" s="3006">
        <v>2090.093509361116</v>
      </c>
      <c r="F3" s="3006">
        <v>2152.7963146419493</v>
      </c>
      <c r="G3" s="3006">
        <v>2217.3802040812075</v>
      </c>
      <c r="H3" s="3006">
        <v>2283.9016102036439</v>
      </c>
      <c r="I3" s="3006">
        <v>2352.4186585097527</v>
      </c>
      <c r="J3" s="3006">
        <v>2422.991218265046</v>
      </c>
      <c r="K3" s="3006">
        <v>2495.6809548129972</v>
      </c>
      <c r="L3" s="3006">
        <v>2570.5513834573871</v>
      </c>
      <c r="M3" s="3006">
        <v>2647.6679249611088</v>
      </c>
      <c r="N3" s="3006">
        <v>2727.0979627099418</v>
      </c>
      <c r="O3" s="3006">
        <v>2808.9109015912404</v>
      </c>
    </row>
    <row r="4" spans="1:15">
      <c r="A4" s="3005" t="s">
        <v>3346</v>
      </c>
      <c r="B4" s="3006">
        <v>136.44513574184535</v>
      </c>
      <c r="C4" s="3006">
        <v>349.93140868676602</v>
      </c>
      <c r="D4" s="3006">
        <v>557.17693580326579</v>
      </c>
      <c r="E4" s="3006">
        <v>590.0333223083054</v>
      </c>
      <c r="F4" s="3006">
        <v>611.53174984518989</v>
      </c>
      <c r="G4" s="3006">
        <v>634.65084631271986</v>
      </c>
      <c r="H4" s="3006">
        <v>659.35629269145704</v>
      </c>
      <c r="I4" s="3006">
        <v>685.80238403790361</v>
      </c>
      <c r="J4" s="3006">
        <v>714.15493559852484</v>
      </c>
      <c r="K4" s="3006">
        <v>744.59108300472917</v>
      </c>
      <c r="L4" s="3006">
        <v>777.29884083745594</v>
      </c>
      <c r="M4" s="3006">
        <v>812.47638814679408</v>
      </c>
      <c r="N4" s="3006">
        <v>850.33105407222183</v>
      </c>
      <c r="O4" s="3006">
        <v>891.07798418756079</v>
      </c>
    </row>
    <row r="5" spans="1:15">
      <c r="A5" s="3008" t="s">
        <v>3347</v>
      </c>
      <c r="B5" s="3009">
        <f t="shared" ref="B5:O5" si="0">SUM(B2:B4)</f>
        <v>4548.1711913948448</v>
      </c>
      <c r="C5" s="3009">
        <f t="shared" si="0"/>
        <v>11664.380289558867</v>
      </c>
      <c r="D5" s="3009">
        <f t="shared" si="0"/>
        <v>18572.564526775524</v>
      </c>
      <c r="E5" s="3009">
        <f t="shared" si="0"/>
        <v>19667.777410276849</v>
      </c>
      <c r="F5" s="3009">
        <f t="shared" si="0"/>
        <v>20384.391661506332</v>
      </c>
      <c r="G5" s="3009">
        <f t="shared" si="0"/>
        <v>21155.028210423996</v>
      </c>
      <c r="H5" s="3009">
        <f t="shared" si="0"/>
        <v>21978.543089715233</v>
      </c>
      <c r="I5" s="3009">
        <f t="shared" si="0"/>
        <v>22860.079467930118</v>
      </c>
      <c r="J5" s="3009">
        <f t="shared" si="0"/>
        <v>23805.164519950828</v>
      </c>
      <c r="K5" s="3009">
        <f t="shared" si="0"/>
        <v>24819.702766824303</v>
      </c>
      <c r="L5" s="3009">
        <f t="shared" si="0"/>
        <v>25909.96136124853</v>
      </c>
      <c r="M5" s="3009">
        <f t="shared" si="0"/>
        <v>27082.546271559804</v>
      </c>
      <c r="N5" s="3009">
        <f t="shared" si="0"/>
        <v>28344.368469074063</v>
      </c>
      <c r="O5" s="3009">
        <f t="shared" si="0"/>
        <v>29702.59947291869</v>
      </c>
    </row>
    <row r="6" spans="1:15">
      <c r="A6" s="3005" t="s">
        <v>3348</v>
      </c>
      <c r="B6" s="3006">
        <v>7044.1894887957478</v>
      </c>
      <c r="C6" s="3006">
        <v>9176.5911636055171</v>
      </c>
      <c r="D6" s="3006">
        <v>10112.972958998324</v>
      </c>
      <c r="E6" s="3006">
        <v>10517.890496513905</v>
      </c>
      <c r="F6" s="3006">
        <v>10919.04347347473</v>
      </c>
      <c r="G6" s="3006">
        <v>11339.525019075909</v>
      </c>
      <c r="H6" s="3006">
        <v>11780.296203965838</v>
      </c>
      <c r="I6" s="3006">
        <v>12242.368031147702</v>
      </c>
      <c r="J6" s="3006">
        <v>12726.804240847066</v>
      </c>
      <c r="K6" s="3006">
        <v>13234.724295978105</v>
      </c>
      <c r="L6" s="3006">
        <v>13767.306562290963</v>
      </c>
      <c r="M6" s="3006">
        <v>14325.791698612788</v>
      </c>
      <c r="N6" s="3006">
        <v>14911.486274068995</v>
      </c>
      <c r="O6" s="3006">
        <v>15525.766630806173</v>
      </c>
    </row>
    <row r="7" spans="1:15">
      <c r="A7" s="3010" t="s">
        <v>3349</v>
      </c>
      <c r="B7" s="3006">
        <v>3885.0089426737522</v>
      </c>
      <c r="C7" s="3006">
        <v>5303.9652698674645</v>
      </c>
      <c r="D7" s="3006">
        <v>5652.4847685434388</v>
      </c>
      <c r="E7" s="3006">
        <v>5927.1959629468201</v>
      </c>
      <c r="F7" s="3006">
        <v>6224.8429212701521</v>
      </c>
      <c r="G7" s="3006">
        <v>6537.531191791385</v>
      </c>
      <c r="H7" s="3006">
        <v>6866.0324722092091</v>
      </c>
      <c r="I7" s="3006">
        <v>7211.1594696702132</v>
      </c>
      <c r="J7" s="3006">
        <v>7573.7682506748106</v>
      </c>
      <c r="K7" s="3006">
        <v>7954.7607454584922</v>
      </c>
      <c r="L7" s="3006">
        <v>8355.0874191392249</v>
      </c>
      <c r="M7" s="3006">
        <v>8775.7501231003589</v>
      </c>
      <c r="N7" s="3006">
        <v>9217.8051413855628</v>
      </c>
      <c r="O7" s="3006">
        <v>9682.3664483331067</v>
      </c>
    </row>
    <row r="8" spans="1:15">
      <c r="A8" s="3010" t="s">
        <v>3350</v>
      </c>
      <c r="B8" s="3006">
        <v>1709.7952591613334</v>
      </c>
      <c r="C8" s="3006">
        <v>1709.7952591613334</v>
      </c>
      <c r="D8" s="3006">
        <v>1709.7952591613334</v>
      </c>
      <c r="E8" s="3006">
        <v>1709.7952591613334</v>
      </c>
      <c r="F8" s="3006">
        <v>1709.7952591613334</v>
      </c>
      <c r="G8" s="3006">
        <v>1709.7952591613334</v>
      </c>
      <c r="H8" s="3006">
        <v>1709.7952591613334</v>
      </c>
      <c r="I8" s="3006">
        <v>1709.7952591613334</v>
      </c>
      <c r="J8" s="3006">
        <v>1709.7952591613334</v>
      </c>
      <c r="K8" s="3006">
        <v>1709.7952591613334</v>
      </c>
      <c r="L8" s="3006">
        <v>1709.7952591613334</v>
      </c>
      <c r="M8" s="3006">
        <v>1709.7952591613334</v>
      </c>
      <c r="N8" s="3006">
        <v>1709.7952591613334</v>
      </c>
      <c r="O8" s="3006">
        <v>1709.7952591613334</v>
      </c>
    </row>
    <row r="9" spans="1:15">
      <c r="A9" s="3010" t="s">
        <v>3351</v>
      </c>
      <c r="B9" s="3006">
        <v>336.05461119945005</v>
      </c>
      <c r="C9" s="3006">
        <v>816.7077796650633</v>
      </c>
      <c r="D9" s="3006">
        <v>1290.4022845896718</v>
      </c>
      <c r="E9" s="3006">
        <v>1358.5607810847255</v>
      </c>
      <c r="F9" s="3006">
        <v>1399.317604517267</v>
      </c>
      <c r="G9" s="3006">
        <v>1441.297132652785</v>
      </c>
      <c r="H9" s="3006">
        <v>1484.5360466323687</v>
      </c>
      <c r="I9" s="3006">
        <v>1529.0721280313394</v>
      </c>
      <c r="J9" s="3006">
        <v>1574.94429187228</v>
      </c>
      <c r="K9" s="3006">
        <v>1622.1926206284484</v>
      </c>
      <c r="L9" s="3006">
        <v>1670.8583992473018</v>
      </c>
      <c r="M9" s="3006">
        <v>1720.9841512247208</v>
      </c>
      <c r="N9" s="3006">
        <v>1772.6136757614622</v>
      </c>
      <c r="O9" s="3006">
        <v>1825.7920860343063</v>
      </c>
    </row>
    <row r="10" spans="1:15">
      <c r="A10" s="3010" t="s">
        <v>3352</v>
      </c>
      <c r="B10" s="3006">
        <v>658.98431255939295</v>
      </c>
      <c r="C10" s="3006">
        <v>870.05203429931771</v>
      </c>
      <c r="D10" s="3006">
        <v>961.4091458104939</v>
      </c>
      <c r="E10" s="3006">
        <v>999.5057781325421</v>
      </c>
      <c r="F10" s="3006">
        <v>1037.1061983276393</v>
      </c>
      <c r="G10" s="3006">
        <v>1076.5137315117224</v>
      </c>
      <c r="H10" s="3006">
        <v>1117.8181975558789</v>
      </c>
      <c r="I10" s="3006">
        <v>1161.1140952069873</v>
      </c>
      <c r="J10" s="3006">
        <v>1206.5008668564915</v>
      </c>
      <c r="K10" s="3006">
        <v>1254.0831805831415</v>
      </c>
      <c r="L10" s="3006">
        <v>1303.9712308386513</v>
      </c>
      <c r="M10" s="3006">
        <v>1356.281059276268</v>
      </c>
      <c r="N10" s="3006">
        <v>1411.1348973675956</v>
      </c>
      <c r="O10" s="3006">
        <v>1468.6615326143053</v>
      </c>
    </row>
    <row r="11" spans="1:15">
      <c r="A11" s="3010" t="s">
        <v>3353</v>
      </c>
      <c r="B11" s="3006">
        <v>0</v>
      </c>
      <c r="C11" s="3006">
        <v>0</v>
      </c>
      <c r="D11" s="3006">
        <v>0</v>
      </c>
      <c r="E11" s="3006">
        <v>0</v>
      </c>
      <c r="F11" s="3006">
        <v>0</v>
      </c>
      <c r="G11" s="3006">
        <v>0</v>
      </c>
      <c r="H11" s="3006">
        <v>0</v>
      </c>
      <c r="I11" s="3006">
        <v>0</v>
      </c>
      <c r="J11" s="3006">
        <v>0</v>
      </c>
      <c r="K11" s="3006">
        <v>0</v>
      </c>
      <c r="L11" s="3006">
        <v>0</v>
      </c>
      <c r="M11" s="3006">
        <v>0</v>
      </c>
      <c r="N11" s="3006">
        <v>0</v>
      </c>
      <c r="O11" s="3006">
        <v>0</v>
      </c>
    </row>
    <row r="12" spans="1:15">
      <c r="A12" s="3010" t="s">
        <v>3354</v>
      </c>
      <c r="B12" s="3006">
        <v>434.48914821040944</v>
      </c>
      <c r="C12" s="3006">
        <v>456.2136056209298</v>
      </c>
      <c r="D12" s="3006">
        <v>479.02428590197644</v>
      </c>
      <c r="E12" s="3006">
        <v>502.97550019707529</v>
      </c>
      <c r="F12" s="3006">
        <v>528.12427520692904</v>
      </c>
      <c r="G12" s="3006">
        <v>554.53048896727546</v>
      </c>
      <c r="H12" s="3006">
        <v>582.25701341563922</v>
      </c>
      <c r="I12" s="3006">
        <v>611.3698640864211</v>
      </c>
      <c r="J12" s="3006">
        <v>641.93835729074237</v>
      </c>
      <c r="K12" s="3006">
        <v>674.03527515527946</v>
      </c>
      <c r="L12" s="3006">
        <v>707.73703891304365</v>
      </c>
      <c r="M12" s="3006">
        <v>743.12389085869563</v>
      </c>
      <c r="N12" s="3006">
        <v>780.28008540163046</v>
      </c>
      <c r="O12" s="3006">
        <v>819.29408967171207</v>
      </c>
    </row>
    <row r="13" spans="1:15">
      <c r="A13" s="3011" t="s">
        <v>3355</v>
      </c>
      <c r="B13" s="3006">
        <v>19.857214991409769</v>
      </c>
      <c r="C13" s="3006">
        <v>19.857214991409769</v>
      </c>
      <c r="D13" s="3006">
        <v>19.857214991409769</v>
      </c>
      <c r="E13" s="3006">
        <v>19.857214991409769</v>
      </c>
      <c r="F13" s="3006">
        <v>19.857214991409769</v>
      </c>
      <c r="G13" s="3006">
        <v>19.857214991409769</v>
      </c>
      <c r="H13" s="3006">
        <v>19.857214991409769</v>
      </c>
      <c r="I13" s="3006">
        <v>19.857214991409769</v>
      </c>
      <c r="J13" s="3006">
        <v>19.857214991409769</v>
      </c>
      <c r="K13" s="3006">
        <v>19.857214991409769</v>
      </c>
      <c r="L13" s="3006">
        <v>19.857214991409769</v>
      </c>
      <c r="M13" s="3006">
        <v>19.857214991409769</v>
      </c>
      <c r="N13" s="3006">
        <v>19.857214991409769</v>
      </c>
      <c r="O13" s="3006">
        <v>19.857214991409769</v>
      </c>
    </row>
    <row r="14" spans="1:15">
      <c r="A14" s="3012" t="s">
        <v>3356</v>
      </c>
      <c r="B14" s="3006">
        <v>136.44513574184535</v>
      </c>
      <c r="C14" s="3006">
        <v>349.93140868676602</v>
      </c>
      <c r="D14" s="3006">
        <v>557.17693580326568</v>
      </c>
      <c r="E14" s="3006">
        <v>590.0333223083054</v>
      </c>
      <c r="F14" s="3006">
        <v>611.53174984518989</v>
      </c>
      <c r="G14" s="3006">
        <v>634.65084631271986</v>
      </c>
      <c r="H14" s="3006">
        <v>659.35629269145693</v>
      </c>
      <c r="I14" s="3006">
        <v>685.80238403790349</v>
      </c>
      <c r="J14" s="3006">
        <v>714.15493559852484</v>
      </c>
      <c r="K14" s="3006">
        <v>744.59108300472906</v>
      </c>
      <c r="L14" s="3006">
        <v>777.29884083745583</v>
      </c>
      <c r="M14" s="3006">
        <v>812.47638814679408</v>
      </c>
      <c r="N14" s="3006">
        <v>850.33105407222183</v>
      </c>
      <c r="O14" s="3006">
        <v>891.07798418756067</v>
      </c>
    </row>
    <row r="15" spans="1:15">
      <c r="A15" s="3005" t="s">
        <v>3357</v>
      </c>
      <c r="B15" s="3006">
        <v>1362.6748910139484</v>
      </c>
      <c r="C15" s="3006">
        <v>1715.0554545336504</v>
      </c>
      <c r="D15" s="3006">
        <v>347.02976625613564</v>
      </c>
      <c r="E15" s="3006">
        <v>190.79869800011085</v>
      </c>
      <c r="F15" s="3006">
        <v>205.66677182009209</v>
      </c>
      <c r="G15" s="3006">
        <v>221.61566172279603</v>
      </c>
      <c r="H15" s="3006">
        <v>242.57823454987383</v>
      </c>
      <c r="I15" s="3006">
        <v>265.55253938443064</v>
      </c>
      <c r="J15" s="3006">
        <v>290.75485785191557</v>
      </c>
      <c r="K15" s="3006">
        <v>318.42335462529803</v>
      </c>
      <c r="L15" s="3006">
        <v>348.81996715560331</v>
      </c>
      <c r="M15" s="3006">
        <v>382.23243348504661</v>
      </c>
      <c r="N15" s="3006">
        <v>418.97647495905107</v>
      </c>
      <c r="O15" s="3006">
        <v>459.39815604449393</v>
      </c>
    </row>
    <row r="16" spans="1:15">
      <c r="A16" s="3008" t="s">
        <v>3358</v>
      </c>
      <c r="B16" s="3009">
        <f t="shared" ref="B16:O16" si="1">B6+B14+B15</f>
        <v>8543.3095155515421</v>
      </c>
      <c r="C16" s="3009">
        <f t="shared" si="1"/>
        <v>11241.578026825933</v>
      </c>
      <c r="D16" s="3009">
        <f t="shared" si="1"/>
        <v>11017.179661057724</v>
      </c>
      <c r="E16" s="3009">
        <f t="shared" si="1"/>
        <v>11298.722516822321</v>
      </c>
      <c r="F16" s="3009">
        <f t="shared" si="1"/>
        <v>11736.241995140012</v>
      </c>
      <c r="G16" s="3009">
        <f t="shared" si="1"/>
        <v>12195.791527111423</v>
      </c>
      <c r="H16" s="3009">
        <f t="shared" si="1"/>
        <v>12682.230731207168</v>
      </c>
      <c r="I16" s="3009">
        <f t="shared" si="1"/>
        <v>13193.722954570036</v>
      </c>
      <c r="J16" s="3009">
        <f t="shared" si="1"/>
        <v>13731.714034297507</v>
      </c>
      <c r="K16" s="3009">
        <f t="shared" si="1"/>
        <v>14297.738733608132</v>
      </c>
      <c r="L16" s="3009">
        <f t="shared" si="1"/>
        <v>14893.425370284021</v>
      </c>
      <c r="M16" s="3009">
        <f t="shared" si="1"/>
        <v>15520.500520244628</v>
      </c>
      <c r="N16" s="3009">
        <f t="shared" si="1"/>
        <v>16180.793803100267</v>
      </c>
      <c r="O16" s="3009">
        <f t="shared" si="1"/>
        <v>16876.242771038229</v>
      </c>
    </row>
    <row r="17" spans="1:67">
      <c r="A17" s="3013" t="s">
        <v>3359</v>
      </c>
      <c r="B17" s="3014">
        <f t="shared" ref="B17:O17" si="2">B5-B16</f>
        <v>-3995.1383241566973</v>
      </c>
      <c r="C17" s="3014">
        <f t="shared" si="2"/>
        <v>422.80226273293374</v>
      </c>
      <c r="D17" s="3014">
        <f t="shared" si="2"/>
        <v>7555.3848657178005</v>
      </c>
      <c r="E17" s="3014">
        <f t="shared" si="2"/>
        <v>8369.0548934545277</v>
      </c>
      <c r="F17" s="3014">
        <f t="shared" si="2"/>
        <v>8648.1496663663202</v>
      </c>
      <c r="G17" s="3014">
        <f t="shared" si="2"/>
        <v>8959.2366833125725</v>
      </c>
      <c r="H17" s="3014">
        <f t="shared" si="2"/>
        <v>9296.3123585080648</v>
      </c>
      <c r="I17" s="3014">
        <f t="shared" si="2"/>
        <v>9666.3565133600823</v>
      </c>
      <c r="J17" s="3014">
        <f t="shared" si="2"/>
        <v>10073.45048565332</v>
      </c>
      <c r="K17" s="3014">
        <f t="shared" si="2"/>
        <v>10521.964033216171</v>
      </c>
      <c r="L17" s="3014">
        <f t="shared" si="2"/>
        <v>11016.535990964509</v>
      </c>
      <c r="M17" s="3014">
        <f t="shared" si="2"/>
        <v>11562.045751315176</v>
      </c>
      <c r="N17" s="3014">
        <f t="shared" si="2"/>
        <v>12163.574665973796</v>
      </c>
      <c r="O17" s="3014">
        <f t="shared" si="2"/>
        <v>12826.356701880461</v>
      </c>
    </row>
    <row r="18" spans="1:67">
      <c r="A18" s="3005" t="s">
        <v>3360</v>
      </c>
      <c r="B18" s="3006">
        <v>0</v>
      </c>
      <c r="C18" s="3006">
        <v>0</v>
      </c>
      <c r="D18" s="3006">
        <v>0</v>
      </c>
      <c r="E18" s="3006">
        <v>0</v>
      </c>
      <c r="F18" s="3006">
        <v>0</v>
      </c>
      <c r="G18" s="3006">
        <v>0</v>
      </c>
      <c r="H18" s="3006">
        <v>0</v>
      </c>
      <c r="I18" s="3006">
        <v>0</v>
      </c>
      <c r="J18" s="3006">
        <v>0</v>
      </c>
      <c r="K18" s="3006">
        <v>0</v>
      </c>
      <c r="L18" s="3006">
        <v>0</v>
      </c>
      <c r="M18" s="3006">
        <v>0</v>
      </c>
      <c r="N18" s="3006">
        <v>0</v>
      </c>
      <c r="O18" s="3006">
        <v>0</v>
      </c>
    </row>
    <row r="19" spans="1:67">
      <c r="A19" s="3005" t="s">
        <v>3361</v>
      </c>
      <c r="B19" s="3006">
        <v>2464.2740551238194</v>
      </c>
      <c r="C19" s="3006">
        <v>3226.6545805172918</v>
      </c>
      <c r="D19" s="3006">
        <v>1310.1319803321758</v>
      </c>
      <c r="E19" s="3006">
        <v>1106.8657209118926</v>
      </c>
      <c r="F19" s="3006">
        <v>1149.0919549593145</v>
      </c>
      <c r="G19" s="3006">
        <v>1206.0430027424181</v>
      </c>
      <c r="H19" s="3006">
        <v>1273.9927993371755</v>
      </c>
      <c r="I19" s="3006">
        <v>1348.1269271590113</v>
      </c>
      <c r="J19" s="3006">
        <v>1429.1246715021343</v>
      </c>
      <c r="K19" s="3006">
        <v>1517.7246375539819</v>
      </c>
      <c r="L19" s="3006">
        <v>1614.7268327718571</v>
      </c>
      <c r="M19" s="3006">
        <v>1720.9943727963635</v>
      </c>
      <c r="N19" s="3006">
        <v>1837.454779565302</v>
      </c>
      <c r="O19" s="3006">
        <v>1965.1008658274413</v>
      </c>
    </row>
    <row r="20" spans="1:67">
      <c r="A20" s="3008" t="s">
        <v>3362</v>
      </c>
      <c r="B20" s="3009">
        <f t="shared" ref="B20:O20" si="3">SUM(B18:B19)</f>
        <v>2464.2740551238194</v>
      </c>
      <c r="C20" s="3009">
        <f t="shared" si="3"/>
        <v>3226.6545805172918</v>
      </c>
      <c r="D20" s="3009">
        <f t="shared" si="3"/>
        <v>1310.1319803321758</v>
      </c>
      <c r="E20" s="3009">
        <f t="shared" si="3"/>
        <v>1106.8657209118926</v>
      </c>
      <c r="F20" s="3009">
        <f t="shared" si="3"/>
        <v>1149.0919549593145</v>
      </c>
      <c r="G20" s="3009">
        <f t="shared" si="3"/>
        <v>1206.0430027424181</v>
      </c>
      <c r="H20" s="3009">
        <f t="shared" si="3"/>
        <v>1273.9927993371755</v>
      </c>
      <c r="I20" s="3009">
        <f t="shared" si="3"/>
        <v>1348.1269271590113</v>
      </c>
      <c r="J20" s="3009">
        <f t="shared" si="3"/>
        <v>1429.1246715021343</v>
      </c>
      <c r="K20" s="3009">
        <f t="shared" si="3"/>
        <v>1517.7246375539819</v>
      </c>
      <c r="L20" s="3009">
        <f t="shared" si="3"/>
        <v>1614.7268327718571</v>
      </c>
      <c r="M20" s="3009">
        <f t="shared" si="3"/>
        <v>1720.9943727963635</v>
      </c>
      <c r="N20" s="3009">
        <f t="shared" si="3"/>
        <v>1837.454779565302</v>
      </c>
      <c r="O20" s="3009">
        <f t="shared" si="3"/>
        <v>1965.1008658274413</v>
      </c>
      <c r="P20" s="3004">
        <v>1.02</v>
      </c>
    </row>
    <row r="21" spans="1:67">
      <c r="A21" s="3013" t="s">
        <v>3363</v>
      </c>
      <c r="B21" s="3014">
        <f t="shared" ref="B21:O21" si="4">B17-B20</f>
        <v>-6459.4123792805167</v>
      </c>
      <c r="C21" s="3014">
        <f t="shared" si="4"/>
        <v>-2803.8523177843581</v>
      </c>
      <c r="D21" s="3014">
        <f t="shared" si="4"/>
        <v>6245.2528853856247</v>
      </c>
      <c r="E21" s="3014">
        <f t="shared" si="4"/>
        <v>7262.1891725426349</v>
      </c>
      <c r="F21" s="3014">
        <f t="shared" si="4"/>
        <v>7499.0577114070056</v>
      </c>
      <c r="G21" s="3014">
        <f t="shared" si="4"/>
        <v>7753.1936805701544</v>
      </c>
      <c r="H21" s="3014">
        <f t="shared" si="4"/>
        <v>8022.3195591708891</v>
      </c>
      <c r="I21" s="3014">
        <f t="shared" si="4"/>
        <v>8318.2295862010706</v>
      </c>
      <c r="J21" s="3014">
        <f t="shared" si="4"/>
        <v>8644.3258141511869</v>
      </c>
      <c r="K21" s="3014">
        <f t="shared" si="4"/>
        <v>9004.2393956621891</v>
      </c>
      <c r="L21" s="3014">
        <f t="shared" si="4"/>
        <v>9401.809158192651</v>
      </c>
      <c r="M21" s="3014">
        <f t="shared" si="4"/>
        <v>9841.0513785188123</v>
      </c>
      <c r="N21" s="3014">
        <f t="shared" si="4"/>
        <v>10326.119886408494</v>
      </c>
      <c r="O21" s="3014">
        <f t="shared" si="4"/>
        <v>10861.25583605302</v>
      </c>
      <c r="P21" s="3021">
        <f>ROUND(O21*$P$20,0)</f>
        <v>11078</v>
      </c>
      <c r="Q21" s="3021">
        <f t="shared" ref="Q21:BM21" si="5">ROUND(P21*$P$20,0)</f>
        <v>11300</v>
      </c>
      <c r="R21" s="3023">
        <f t="shared" si="5"/>
        <v>11526</v>
      </c>
      <c r="S21" s="3023">
        <f t="shared" si="5"/>
        <v>11757</v>
      </c>
      <c r="T21" s="3023">
        <f t="shared" si="5"/>
        <v>11992</v>
      </c>
      <c r="U21" s="3023">
        <f t="shared" si="5"/>
        <v>12232</v>
      </c>
      <c r="V21" s="3023">
        <f t="shared" si="5"/>
        <v>12477</v>
      </c>
      <c r="W21" s="3023">
        <f t="shared" si="5"/>
        <v>12727</v>
      </c>
      <c r="X21" s="3023">
        <f t="shared" si="5"/>
        <v>12982</v>
      </c>
      <c r="Y21" s="3023">
        <f t="shared" si="5"/>
        <v>13242</v>
      </c>
      <c r="Z21" s="3023">
        <f t="shared" si="5"/>
        <v>13507</v>
      </c>
      <c r="AA21" s="3023">
        <f t="shared" si="5"/>
        <v>13777</v>
      </c>
      <c r="AB21" s="3023">
        <f t="shared" si="5"/>
        <v>14053</v>
      </c>
      <c r="AC21" s="3023">
        <f t="shared" si="5"/>
        <v>14334</v>
      </c>
      <c r="AD21" s="3023">
        <f t="shared" si="5"/>
        <v>14621</v>
      </c>
      <c r="AE21" s="3023">
        <f t="shared" si="5"/>
        <v>14913</v>
      </c>
      <c r="AF21" s="3023">
        <f t="shared" si="5"/>
        <v>15211</v>
      </c>
      <c r="AG21" s="3023">
        <f t="shared" si="5"/>
        <v>15515</v>
      </c>
      <c r="AH21" s="3023">
        <f t="shared" si="5"/>
        <v>15825</v>
      </c>
      <c r="AI21" s="3023">
        <f t="shared" si="5"/>
        <v>16142</v>
      </c>
      <c r="AJ21" s="3023">
        <f t="shared" si="5"/>
        <v>16465</v>
      </c>
      <c r="AK21" s="3023">
        <f t="shared" si="5"/>
        <v>16794</v>
      </c>
      <c r="AL21" s="3023">
        <f t="shared" si="5"/>
        <v>17130</v>
      </c>
      <c r="AM21" s="3023">
        <f t="shared" si="5"/>
        <v>17473</v>
      </c>
      <c r="AN21" s="3023">
        <f t="shared" si="5"/>
        <v>17822</v>
      </c>
      <c r="AO21" s="3023">
        <f t="shared" si="5"/>
        <v>18178</v>
      </c>
      <c r="AP21" s="3023">
        <f t="shared" si="5"/>
        <v>18542</v>
      </c>
      <c r="AQ21" s="3023">
        <f t="shared" si="5"/>
        <v>18913</v>
      </c>
      <c r="AR21" s="3023">
        <f t="shared" si="5"/>
        <v>19291</v>
      </c>
      <c r="AS21" s="3023">
        <f t="shared" si="5"/>
        <v>19677</v>
      </c>
      <c r="AT21" s="3023">
        <f t="shared" si="5"/>
        <v>20071</v>
      </c>
      <c r="AU21" s="3023">
        <f t="shared" si="5"/>
        <v>20472</v>
      </c>
      <c r="AV21" s="3023">
        <f t="shared" si="5"/>
        <v>20881</v>
      </c>
      <c r="AW21" s="3023">
        <f t="shared" si="5"/>
        <v>21299</v>
      </c>
      <c r="AX21" s="3023">
        <f t="shared" si="5"/>
        <v>21725</v>
      </c>
      <c r="AY21" s="3023">
        <f t="shared" si="5"/>
        <v>22160</v>
      </c>
      <c r="AZ21" s="3023">
        <f t="shared" si="5"/>
        <v>22603</v>
      </c>
      <c r="BA21" s="3023">
        <f t="shared" si="5"/>
        <v>23055</v>
      </c>
      <c r="BB21" s="3023">
        <f t="shared" si="5"/>
        <v>23516</v>
      </c>
      <c r="BC21" s="3023">
        <f t="shared" si="5"/>
        <v>23986</v>
      </c>
      <c r="BD21" s="3023">
        <f t="shared" si="5"/>
        <v>24466</v>
      </c>
      <c r="BE21" s="3023">
        <f t="shared" si="5"/>
        <v>24955</v>
      </c>
      <c r="BF21" s="3023">
        <f t="shared" si="5"/>
        <v>25454</v>
      </c>
      <c r="BG21" s="3023">
        <f t="shared" si="5"/>
        <v>25963</v>
      </c>
      <c r="BH21" s="3023">
        <f t="shared" si="5"/>
        <v>26482</v>
      </c>
      <c r="BI21" s="3023">
        <f t="shared" si="5"/>
        <v>27012</v>
      </c>
      <c r="BJ21" s="3023">
        <f t="shared" si="5"/>
        <v>27552</v>
      </c>
      <c r="BK21" s="3023">
        <f t="shared" si="5"/>
        <v>28103</v>
      </c>
      <c r="BL21" s="3023">
        <f t="shared" si="5"/>
        <v>28665</v>
      </c>
      <c r="BM21" s="3023">
        <f t="shared" si="5"/>
        <v>29238</v>
      </c>
      <c r="BN21" s="3021">
        <f>SUM(D21:BM21)</f>
        <v>1040333.0440642637</v>
      </c>
      <c r="BO21" s="3021">
        <f>BN21/62</f>
        <v>16779.565226842962</v>
      </c>
    </row>
    <row r="22" spans="1:67">
      <c r="A22" s="3005" t="s">
        <v>3364</v>
      </c>
      <c r="B22" s="3006">
        <v>0</v>
      </c>
      <c r="C22" s="3006">
        <v>0</v>
      </c>
      <c r="D22" s="3006">
        <v>0</v>
      </c>
      <c r="E22" s="3006">
        <v>0</v>
      </c>
      <c r="F22" s="3006">
        <v>0</v>
      </c>
      <c r="G22" s="3006">
        <v>0</v>
      </c>
      <c r="H22" s="3006">
        <v>0</v>
      </c>
      <c r="I22" s="3006">
        <v>0</v>
      </c>
      <c r="J22" s="3006">
        <v>0</v>
      </c>
      <c r="K22" s="3006">
        <v>0</v>
      </c>
      <c r="L22" s="3006">
        <v>0</v>
      </c>
      <c r="M22" s="3006">
        <v>0</v>
      </c>
      <c r="N22" s="3006">
        <v>0</v>
      </c>
      <c r="O22" s="3006">
        <v>0</v>
      </c>
    </row>
    <row r="23" spans="1:67">
      <c r="A23" s="3005" t="s">
        <v>3365</v>
      </c>
      <c r="B23" s="3006">
        <v>0</v>
      </c>
      <c r="C23" s="3006">
        <v>0</v>
      </c>
      <c r="D23" s="3006">
        <v>0</v>
      </c>
      <c r="E23" s="3006">
        <v>0</v>
      </c>
      <c r="F23" s="3006">
        <v>0</v>
      </c>
      <c r="G23" s="3006">
        <v>0</v>
      </c>
      <c r="H23" s="3006">
        <v>0</v>
      </c>
      <c r="I23" s="3006">
        <v>0</v>
      </c>
      <c r="J23" s="3006">
        <v>0</v>
      </c>
      <c r="K23" s="3006">
        <v>0</v>
      </c>
      <c r="L23" s="3006">
        <v>0</v>
      </c>
      <c r="M23" s="3006">
        <v>0</v>
      </c>
      <c r="N23" s="3006">
        <v>0</v>
      </c>
      <c r="O23" s="3006">
        <v>0</v>
      </c>
    </row>
    <row r="24" spans="1:67">
      <c r="A24" s="3005" t="s">
        <v>3366</v>
      </c>
      <c r="B24" s="3006">
        <v>1308.9857646242669</v>
      </c>
      <c r="C24" s="3006">
        <v>1308.9857646242669</v>
      </c>
      <c r="D24" s="3006">
        <v>1308.9857646242669</v>
      </c>
      <c r="E24" s="3006">
        <v>1308.9857646242669</v>
      </c>
      <c r="F24" s="3006">
        <v>545.41073526011121</v>
      </c>
      <c r="G24" s="3006">
        <v>1308.9857646242669</v>
      </c>
      <c r="H24" s="3006">
        <v>1308.9857646242669</v>
      </c>
      <c r="I24" s="3006">
        <v>1308.9857646242669</v>
      </c>
      <c r="J24" s="3006">
        <v>1308.9857646242669</v>
      </c>
      <c r="K24" s="3006">
        <v>1308.9857646242669</v>
      </c>
      <c r="L24" s="3006">
        <v>1308.9857646242669</v>
      </c>
      <c r="M24" s="3006">
        <v>1308.9857646242669</v>
      </c>
      <c r="N24" s="3006">
        <v>1308.9857646242669</v>
      </c>
      <c r="O24" s="3006">
        <v>1308.9857646242669</v>
      </c>
    </row>
    <row r="25" spans="1:67">
      <c r="A25" s="3005" t="s">
        <v>3367</v>
      </c>
      <c r="B25" s="3006">
        <v>0</v>
      </c>
      <c r="C25" s="3006">
        <v>0</v>
      </c>
      <c r="D25" s="3006">
        <v>0</v>
      </c>
      <c r="E25" s="3006">
        <v>0</v>
      </c>
      <c r="F25" s="3006">
        <v>0</v>
      </c>
      <c r="G25" s="3006">
        <v>0</v>
      </c>
      <c r="H25" s="3006">
        <v>0</v>
      </c>
      <c r="I25" s="3006">
        <v>0</v>
      </c>
      <c r="J25" s="3006">
        <v>0</v>
      </c>
      <c r="K25" s="3006">
        <v>0</v>
      </c>
      <c r="L25" s="3006">
        <v>0</v>
      </c>
      <c r="M25" s="3006">
        <v>0</v>
      </c>
      <c r="N25" s="3006">
        <v>0</v>
      </c>
      <c r="O25" s="3006">
        <v>0</v>
      </c>
    </row>
    <row r="26" spans="1:67">
      <c r="A26" s="3005" t="s">
        <v>3368</v>
      </c>
      <c r="B26" s="3006">
        <v>0</v>
      </c>
      <c r="C26" s="3006">
        <v>0</v>
      </c>
      <c r="D26" s="3006">
        <v>0</v>
      </c>
      <c r="E26" s="3006">
        <v>0</v>
      </c>
      <c r="F26" s="3006">
        <v>0</v>
      </c>
      <c r="G26" s="3006">
        <v>0</v>
      </c>
      <c r="H26" s="3006">
        <v>0</v>
      </c>
      <c r="I26" s="3006">
        <v>0</v>
      </c>
      <c r="J26" s="3006">
        <v>0</v>
      </c>
      <c r="K26" s="3006">
        <v>0</v>
      </c>
      <c r="L26" s="3006">
        <v>0</v>
      </c>
      <c r="M26" s="3006">
        <v>0</v>
      </c>
      <c r="N26" s="3006">
        <v>0</v>
      </c>
      <c r="O26" s="3006">
        <v>0</v>
      </c>
    </row>
    <row r="27" spans="1:67">
      <c r="A27" s="3005" t="s">
        <v>3369</v>
      </c>
      <c r="B27" s="3006">
        <v>0</v>
      </c>
      <c r="C27" s="3006">
        <v>0</v>
      </c>
      <c r="D27" s="3006">
        <v>0</v>
      </c>
      <c r="E27" s="3006">
        <v>0</v>
      </c>
      <c r="F27" s="3006">
        <v>2747.9303078667258</v>
      </c>
      <c r="G27" s="3006">
        <v>2849.7630745942215</v>
      </c>
      <c r="H27" s="3006">
        <v>3157.1587291902219</v>
      </c>
      <c r="I27" s="3006">
        <v>3501.9610660924259</v>
      </c>
      <c r="J27" s="3006">
        <v>3888.3602493895696</v>
      </c>
      <c r="K27" s="3006">
        <v>4321.0275061396896</v>
      </c>
      <c r="L27" s="3006">
        <v>4569.0082343507547</v>
      </c>
      <c r="M27" s="3006">
        <v>5104.2064350459377</v>
      </c>
      <c r="N27" s="3006">
        <v>5702.9352769390107</v>
      </c>
      <c r="O27" s="3006">
        <v>6372.3339833868886</v>
      </c>
    </row>
    <row r="28" spans="1:67">
      <c r="A28" s="3008" t="s">
        <v>3370</v>
      </c>
      <c r="B28" s="3014">
        <f t="shared" ref="B28:O28" si="6">B21-B22-B23-B24-B25+B26+B27</f>
        <v>-7768.3981439047839</v>
      </c>
      <c r="C28" s="3014">
        <f t="shared" si="6"/>
        <v>-4112.8380824086253</v>
      </c>
      <c r="D28" s="3014">
        <f t="shared" si="6"/>
        <v>4936.2671207613575</v>
      </c>
      <c r="E28" s="3014">
        <f t="shared" si="6"/>
        <v>5953.2034079183677</v>
      </c>
      <c r="F28" s="3014">
        <f t="shared" si="6"/>
        <v>9701.5772840136196</v>
      </c>
      <c r="G28" s="3014">
        <f t="shared" si="6"/>
        <v>9293.9709905401087</v>
      </c>
      <c r="H28" s="3014">
        <f t="shared" si="6"/>
        <v>9870.4925237368443</v>
      </c>
      <c r="I28" s="3014">
        <f t="shared" si="6"/>
        <v>10511.20488766923</v>
      </c>
      <c r="J28" s="3014">
        <f t="shared" si="6"/>
        <v>11223.70029891649</v>
      </c>
      <c r="K28" s="3014">
        <f t="shared" si="6"/>
        <v>12016.281137177612</v>
      </c>
      <c r="L28" s="3014">
        <f t="shared" si="6"/>
        <v>12661.831627919139</v>
      </c>
      <c r="M28" s="3014">
        <f t="shared" si="6"/>
        <v>13636.272048940482</v>
      </c>
      <c r="N28" s="3014">
        <f t="shared" si="6"/>
        <v>14720.069398723237</v>
      </c>
      <c r="O28" s="3014">
        <f t="shared" si="6"/>
        <v>15924.604054815642</v>
      </c>
    </row>
    <row r="29" spans="1:67">
      <c r="A29" s="3005" t="s">
        <v>3371</v>
      </c>
      <c r="B29" s="3006">
        <v>0</v>
      </c>
      <c r="C29" s="3006">
        <v>0</v>
      </c>
      <c r="D29" s="3006">
        <v>0</v>
      </c>
      <c r="E29" s="3006">
        <v>0</v>
      </c>
      <c r="F29" s="3006">
        <v>681.2738565526422</v>
      </c>
      <c r="G29" s="3006">
        <v>2323.4927476350272</v>
      </c>
      <c r="H29" s="3006">
        <v>2467.6231309342111</v>
      </c>
      <c r="I29" s="3006">
        <v>2627.8012219173074</v>
      </c>
      <c r="J29" s="3006">
        <v>2805.9250747291226</v>
      </c>
      <c r="K29" s="3006">
        <v>3004.0702842944029</v>
      </c>
      <c r="L29" s="3006">
        <v>3165.4579069797846</v>
      </c>
      <c r="M29" s="3006">
        <v>3409.0680122351205</v>
      </c>
      <c r="N29" s="3006">
        <v>3680.0173496808093</v>
      </c>
      <c r="O29" s="3006">
        <v>3981.1510137039104</v>
      </c>
    </row>
    <row r="30" spans="1:67">
      <c r="A30" s="3008" t="s">
        <v>3372</v>
      </c>
      <c r="B30" s="3014">
        <f t="shared" ref="B30:O30" si="7">B28-B29</f>
        <v>-7768.3981439047839</v>
      </c>
      <c r="C30" s="3014">
        <f t="shared" si="7"/>
        <v>-4112.8380824086253</v>
      </c>
      <c r="D30" s="3014">
        <f t="shared" si="7"/>
        <v>4936.2671207613575</v>
      </c>
      <c r="E30" s="3014">
        <f t="shared" si="7"/>
        <v>5953.2034079183677</v>
      </c>
      <c r="F30" s="3014">
        <f t="shared" si="7"/>
        <v>9020.3034274609781</v>
      </c>
      <c r="G30" s="3014">
        <f t="shared" si="7"/>
        <v>6970.4782429050811</v>
      </c>
      <c r="H30" s="3014">
        <f t="shared" si="7"/>
        <v>7402.8693928026332</v>
      </c>
      <c r="I30" s="3014">
        <f t="shared" si="7"/>
        <v>7883.4036657519227</v>
      </c>
      <c r="J30" s="3014">
        <f t="shared" si="7"/>
        <v>8417.7752241873677</v>
      </c>
      <c r="K30" s="3014">
        <f t="shared" si="7"/>
        <v>9012.2108528832086</v>
      </c>
      <c r="L30" s="3014">
        <f t="shared" si="7"/>
        <v>9496.3737209393548</v>
      </c>
      <c r="M30" s="3014">
        <f t="shared" si="7"/>
        <v>10227.204036705361</v>
      </c>
      <c r="N30" s="3014">
        <f t="shared" si="7"/>
        <v>11040.052049042428</v>
      </c>
      <c r="O30" s="3014">
        <f t="shared" si="7"/>
        <v>11943.45304111173</v>
      </c>
    </row>
  </sheetData>
  <phoneticPr fontId="144" type="noConversion"/>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
  <sheetViews>
    <sheetView workbookViewId="0">
      <selection activeCell="E15" sqref="E15"/>
    </sheetView>
  </sheetViews>
  <sheetFormatPr defaultRowHeight="13.5"/>
  <cols>
    <col min="1" max="1" width="13" customWidth="1"/>
    <col min="2" max="2" width="28.625" customWidth="1"/>
    <col min="5" max="5" width="19.75" customWidth="1"/>
  </cols>
  <sheetData>
    <row r="2" spans="1:5">
      <c r="A2" s="2954" t="s">
        <v>3054</v>
      </c>
      <c r="B2">
        <v>32262951</v>
      </c>
      <c r="E2">
        <v>972679</v>
      </c>
    </row>
    <row r="3" spans="1:5">
      <c r="A3" s="2954" t="s">
        <v>3055</v>
      </c>
      <c r="B3">
        <v>43412425</v>
      </c>
      <c r="E3">
        <v>26748143</v>
      </c>
    </row>
    <row r="4" spans="1:5">
      <c r="A4" s="2954" t="s">
        <v>3056</v>
      </c>
      <c r="B4">
        <v>27226198</v>
      </c>
      <c r="E4">
        <v>5525952</v>
      </c>
    </row>
    <row r="5" spans="1:5">
      <c r="A5" s="2954" t="s">
        <v>3057</v>
      </c>
      <c r="B5">
        <v>4352977</v>
      </c>
      <c r="E5">
        <v>18239</v>
      </c>
    </row>
    <row r="6" spans="1:5">
      <c r="A6" s="2954" t="s">
        <v>3058</v>
      </c>
      <c r="B6">
        <v>382000</v>
      </c>
      <c r="E6">
        <v>379348</v>
      </c>
    </row>
    <row r="7" spans="1:5">
      <c r="B7">
        <f>B3-B4-B5+B6</f>
        <v>12215250</v>
      </c>
      <c r="E7">
        <v>274441</v>
      </c>
    </row>
    <row r="10" spans="1:5">
      <c r="B10">
        <f>B2-B3-B4-B5-B6</f>
        <v>-43110649</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71" t="s">
        <v>1658</v>
      </c>
      <c r="B1" s="3071"/>
      <c r="C1" s="3071"/>
      <c r="D1" s="3071"/>
    </row>
    <row r="2" spans="1:4" ht="18">
      <c r="A2" s="3072" t="s">
        <v>1642</v>
      </c>
      <c r="B2" s="3072"/>
      <c r="C2" s="3072"/>
      <c r="D2" s="3072"/>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3072" t="s">
        <v>1648</v>
      </c>
      <c r="B6" s="3072"/>
      <c r="C6" s="3072"/>
      <c r="D6" s="3072"/>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73" t="s">
        <v>1651</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4" t="str">
        <f>IF(项目基本情况!B8="抵押","4.本次评估估价师所知悉的法定优先受偿款情况说明如下：","——")</f>
        <v>4.本次评估估价师所知悉的法定优先受偿款情况说明如下：</v>
      </c>
      <c r="B14" s="3075"/>
      <c r="C14" s="3075"/>
      <c r="D14" s="3075"/>
    </row>
    <row r="15" spans="1:4" ht="42" customHeight="1">
      <c r="A15" s="30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7" t="s">
        <v>1652</v>
      </c>
      <c r="B16" s="3077"/>
      <c r="C16" s="3077"/>
      <c r="D16" s="3077"/>
    </row>
    <row r="17" spans="1:4" ht="144" customHeight="1">
      <c r="A17" s="3077" t="s">
        <v>1653</v>
      </c>
      <c r="B17" s="3077"/>
      <c r="C17" s="3077"/>
      <c r="D17" s="3077"/>
    </row>
    <row r="18" spans="1:4" ht="15.75" customHeight="1">
      <c r="A18" s="3074" t="str">
        <f>IF(项目基本情况!B8="抵押",结果表!K120,"——")</f>
        <v>故，本次评估估价师知悉的法定优先受偿款为人民币457万元整。</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8"/>
      <c r="C21" s="3078"/>
      <c r="D21" s="3078"/>
    </row>
    <row r="22" spans="1:4" ht="18.75" customHeight="1">
      <c r="A22" s="3079" t="s">
        <v>1654</v>
      </c>
      <c r="B22" s="3079"/>
      <c r="C22" s="3079"/>
      <c r="D22" s="3079"/>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76">
        <v>42551</v>
      </c>
      <c r="D31" s="30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85" t="s">
        <v>1665</v>
      </c>
      <c r="B15" s="3080" t="s">
        <v>136</v>
      </c>
      <c r="C15" s="3081"/>
    </row>
    <row r="16" spans="1:7" ht="13.5">
      <c r="A16" s="3086"/>
      <c r="B16" s="3080" t="s">
        <v>69</v>
      </c>
      <c r="C16" s="3081"/>
    </row>
    <row r="17" spans="1:3" ht="13.5">
      <c r="A17" s="3086"/>
      <c r="B17" s="3083" t="s">
        <v>1666</v>
      </c>
      <c r="C17" s="2002" t="s">
        <v>1665</v>
      </c>
    </row>
    <row r="18" spans="1:3" ht="13.5">
      <c r="A18" s="3086"/>
      <c r="B18" s="3083"/>
      <c r="C18" s="2002" t="s">
        <v>1667</v>
      </c>
    </row>
    <row r="19" spans="1:3" ht="13.5">
      <c r="A19" s="3086"/>
      <c r="B19" s="3083"/>
      <c r="C19" s="2002" t="s">
        <v>1668</v>
      </c>
    </row>
    <row r="20" spans="1:3" ht="13.5">
      <c r="A20" s="3087"/>
      <c r="B20" s="3082" t="s">
        <v>1669</v>
      </c>
      <c r="C20" s="3081"/>
    </row>
    <row r="21" spans="1:3" ht="13.5">
      <c r="A21" s="2003" t="s">
        <v>1670</v>
      </c>
      <c r="B21" s="2004"/>
      <c r="C21" s="2005"/>
    </row>
    <row r="22" spans="1:3" ht="13.5">
      <c r="A22" s="3084" t="s">
        <v>1671</v>
      </c>
      <c r="B22" s="3082" t="s">
        <v>1672</v>
      </c>
      <c r="C22" s="3081"/>
    </row>
    <row r="23" spans="1:3" ht="13.5">
      <c r="A23" s="3084"/>
      <c r="B23" s="3082" t="s">
        <v>1673</v>
      </c>
      <c r="C23" s="3081"/>
    </row>
    <row r="24" spans="1:3" ht="13.5">
      <c r="A24" s="3084"/>
      <c r="B24" s="3082" t="s">
        <v>1674</v>
      </c>
      <c r="C24" s="3081"/>
    </row>
    <row r="25" spans="1:3" ht="13.5">
      <c r="A25" s="3084"/>
      <c r="B25" s="3083" t="s">
        <v>1675</v>
      </c>
      <c r="C25" s="2002" t="s">
        <v>1676</v>
      </c>
    </row>
    <row r="26" spans="1:3" ht="13.5">
      <c r="A26" s="3084"/>
      <c r="B26" s="3083"/>
      <c r="C26" s="2002" t="s">
        <v>1677</v>
      </c>
    </row>
    <row r="27" spans="1:3" ht="13.5">
      <c r="A27" s="3084"/>
      <c r="B27" s="3083"/>
      <c r="C27" s="2002" t="s">
        <v>1678</v>
      </c>
    </row>
    <row r="28" spans="1:3" ht="13.5">
      <c r="A28" s="3084"/>
      <c r="B28" s="3083"/>
      <c r="C28" s="2002" t="s">
        <v>1679</v>
      </c>
    </row>
    <row r="29" spans="1:3" ht="13.5">
      <c r="A29" s="3084"/>
      <c r="B29" s="3083"/>
      <c r="C29" s="2002" t="s">
        <v>1680</v>
      </c>
    </row>
    <row r="30" spans="1:3" ht="13.5">
      <c r="A30" s="3084"/>
      <c r="B30" s="3083"/>
      <c r="C30" s="2002" t="s">
        <v>1681</v>
      </c>
    </row>
    <row r="31" spans="1:3" ht="13.5">
      <c r="A31" s="3084"/>
      <c r="B31" s="3083"/>
      <c r="C31" s="2002" t="s">
        <v>1682</v>
      </c>
    </row>
    <row r="32" spans="1:3" ht="13.5">
      <c r="A32" s="3084"/>
      <c r="B32" s="3083"/>
      <c r="C32" s="2002" t="s">
        <v>1683</v>
      </c>
    </row>
    <row r="33" spans="1:3" ht="13.5">
      <c r="A33" s="3084"/>
      <c r="B33" s="308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43486</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t="str">
        <f ca="1">IF(C10&lt;B2,"已过期",1120060040)</f>
        <v>已过期</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941"/>
      <c r="D12" s="1704"/>
      <c r="E12" s="1024"/>
      <c r="F12" s="1032"/>
    </row>
    <row r="13" spans="1:6" ht="24" customHeight="1">
      <c r="A13" s="1704" t="s">
        <v>840</v>
      </c>
      <c r="B13" s="1024">
        <f ca="1">IF(C13&lt;B2,"已过期",1120070131)</f>
        <v>1120070131</v>
      </c>
      <c r="C13" s="2350">
        <v>43814</v>
      </c>
      <c r="D13" s="2353" t="s">
        <v>840</v>
      </c>
      <c r="E13" s="1024">
        <f ca="1">IF(F13&lt;B2,"已过期",2014110011)</f>
        <v>2014110011</v>
      </c>
      <c r="F13" s="1032">
        <v>49302</v>
      </c>
    </row>
    <row r="14" spans="1:6" ht="24" customHeight="1">
      <c r="A14" s="1704" t="s">
        <v>3047</v>
      </c>
      <c r="B14" s="1024">
        <f ca="1">IF(C14&lt;B2,"已过期",1120040230)</f>
        <v>1120040230</v>
      </c>
      <c r="C14" s="2350">
        <v>43835</v>
      </c>
      <c r="D14" s="2353" t="s">
        <v>3047</v>
      </c>
      <c r="E14" s="1024">
        <f ca="1">IF(F14&lt;B2,"已过期",98030020)</f>
        <v>98030020</v>
      </c>
      <c r="F14" s="1032">
        <v>47118</v>
      </c>
    </row>
    <row r="15" spans="1:6" ht="24" customHeight="1">
      <c r="A15" s="1705" t="s">
        <v>3048</v>
      </c>
      <c r="B15" s="1024">
        <f ca="1">IF(C15&lt;B2,"已过期",1120070085)</f>
        <v>1120070085</v>
      </c>
      <c r="C15" s="2350">
        <v>43814</v>
      </c>
      <c r="D15" s="2354" t="s">
        <v>3048</v>
      </c>
      <c r="E15" s="1024">
        <f ca="1">IF(F15&lt;B2,"已过期",2004110128)</f>
        <v>2004110128</v>
      </c>
      <c r="F15" s="1025">
        <v>47118</v>
      </c>
    </row>
    <row r="16" spans="1:6" ht="24" customHeight="1">
      <c r="A16" s="1704" t="s">
        <v>3049</v>
      </c>
      <c r="B16" s="1024">
        <f ca="1">IF(C16&lt;B2,"已过期",1120140022)</f>
        <v>1120140022</v>
      </c>
      <c r="C16" s="2941">
        <v>44029</v>
      </c>
      <c r="D16" s="2353" t="s">
        <v>3049</v>
      </c>
      <c r="E16" s="1024">
        <f ca="1">IF(F16&lt;B2,"已过期",2008110059)</f>
        <v>2008110059</v>
      </c>
      <c r="F16" s="1032">
        <v>47177</v>
      </c>
    </row>
    <row r="17" spans="1:7" ht="24" customHeight="1">
      <c r="A17" s="1704"/>
      <c r="B17" s="1024"/>
      <c r="C17" s="2350"/>
      <c r="D17" s="2353" t="s">
        <v>3050</v>
      </c>
      <c r="E17" s="1024">
        <f ca="1">IF(F17&lt;B2,"已过期",2014110076)</f>
        <v>2014110076</v>
      </c>
      <c r="F17" s="1032">
        <v>49302</v>
      </c>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841</v>
      </c>
      <c r="E21" s="1024">
        <f ca="1">IF(F21&lt;B2,"已过期",2011110090)</f>
        <v>2011110090</v>
      </c>
      <c r="F21" s="1032">
        <v>48302</v>
      </c>
    </row>
    <row r="22" spans="1:7" ht="24" customHeight="1">
      <c r="A22" s="1704" t="s">
        <v>842</v>
      </c>
      <c r="B22" s="1024">
        <f ca="1">IF(C22&lt;B2,"已过期",1120020033)</f>
        <v>1120020033</v>
      </c>
      <c r="C22" s="2941">
        <v>44339</v>
      </c>
      <c r="D22" s="2353" t="s">
        <v>842</v>
      </c>
      <c r="E22" s="1024">
        <f ca="1">IF(F22&lt;B2,"已过期",2000110137)</f>
        <v>2000110137</v>
      </c>
      <c r="F22" s="1032">
        <v>46387</v>
      </c>
    </row>
    <row r="23" spans="1:7" ht="24" customHeight="1">
      <c r="A23" s="1704"/>
      <c r="B23" s="1024"/>
      <c r="C23" s="2350"/>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3088" t="s">
        <v>843</v>
      </c>
      <c r="B25" s="3088"/>
      <c r="C25" s="3088"/>
      <c r="D25" s="3088"/>
      <c r="E25" s="3088"/>
      <c r="F25" s="3088"/>
      <c r="G25" s="3088"/>
    </row>
    <row r="26" spans="1:7" s="1027" customFormat="1" ht="24" customHeight="1">
      <c r="A26" s="3089" t="s">
        <v>844</v>
      </c>
      <c r="B26" s="3089"/>
      <c r="C26" s="3090"/>
      <c r="D26" s="3091" t="s">
        <v>845</v>
      </c>
      <c r="E26" s="3089"/>
      <c r="F26" s="3089"/>
    </row>
    <row r="27" spans="1:7" s="1029" customFormat="1" ht="24" customHeight="1">
      <c r="A27" s="1028" t="s">
        <v>846</v>
      </c>
      <c r="B27" s="1023" t="s">
        <v>847</v>
      </c>
      <c r="C27" s="2349" t="s">
        <v>848</v>
      </c>
      <c r="D27" s="2357" t="s">
        <v>846</v>
      </c>
      <c r="E27" s="1023" t="s">
        <v>847</v>
      </c>
      <c r="F27" s="1023" t="s">
        <v>848</v>
      </c>
    </row>
    <row r="28" spans="1:7" s="1029" customFormat="1" ht="24" customHeight="1">
      <c r="A28" s="1030" t="s">
        <v>849</v>
      </c>
      <c r="B28" s="1031" t="s">
        <v>850</v>
      </c>
      <c r="C28" s="2355">
        <v>43725</v>
      </c>
      <c r="D28" s="2358" t="s">
        <v>851</v>
      </c>
      <c r="E28" s="1030" t="s">
        <v>852</v>
      </c>
      <c r="F28" s="1060">
        <v>44377</v>
      </c>
    </row>
    <row r="29" spans="1:7" s="1029" customFormat="1" ht="24" customHeight="1">
      <c r="A29" s="1030"/>
      <c r="B29" s="1030"/>
      <c r="C29" s="2356"/>
      <c r="D29" s="2358"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基准地价修正-住宅</vt:lpstr>
      <vt:lpstr>基准地价（汇总）</vt:lpstr>
      <vt:lpstr>收益法</vt:lpstr>
      <vt:lpstr>假设开发法</vt:lpstr>
      <vt:lpstr>收益法 (元)</vt:lpstr>
      <vt:lpstr>收益法-住宅</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二期</vt:lpstr>
      <vt:lpstr>Sheet1</vt:lpstr>
      <vt:lpstr>估价师及机构信息!Print_Area</vt:lpstr>
      <vt:lpstr>收益法!Print_Area</vt:lpstr>
      <vt:lpstr>'收益法 (元)'!Print_Area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2019-01-21T06:39:21Z</dcterms:modified>
</cp:coreProperties>
</file>